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3.xml" ContentType="application/vnd.openxmlformats-officedocument.themeOverrid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5.xml" ContentType="application/vnd.openxmlformats-officedocument.themeOverrid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6.xml" ContentType="application/vnd.openxmlformats-officedocument.themeOverride+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7.xml" ContentType="application/vnd.openxmlformats-officedocument.themeOverride+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8.xml" ContentType="application/vnd.openxmlformats-officedocument.themeOverride+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9.xml" ContentType="application/vnd.openxmlformats-officedocument.themeOverride+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0.xml" ContentType="application/vnd.openxmlformats-officedocument.themeOverride+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1.xml" ContentType="application/vnd.openxmlformats-officedocument.themeOverride+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2.xml" ContentType="application/vnd.openxmlformats-officedocument.themeOverride+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3.xml" ContentType="application/vnd.openxmlformats-officedocument.themeOverride+xml"/>
  <Override PartName="/xl/drawings/drawing5.xml" ContentType="application/vnd.openxmlformats-officedocument.drawing+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4.xml" ContentType="application/vnd.openxmlformats-officedocument.themeOverride+xml"/>
  <Override PartName="/xl/drawings/drawing6.xml" ContentType="application/vnd.openxmlformats-officedocument.drawing+xml"/>
  <Override PartName="/xl/comments7.xml" ContentType="application/vnd.openxmlformats-officedocument.spreadsheetml.comments+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5.xml" ContentType="application/vnd.openxmlformats-officedocument.themeOverride+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6.xml" ContentType="application/vnd.openxmlformats-officedocument.themeOverride+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7.xml" ContentType="application/vnd.openxmlformats-officedocument.themeOverride+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8.xml" ContentType="application/vnd.openxmlformats-officedocument.themeOverride+xml"/>
  <Override PartName="/xl/charts/chartEx1.xml" ContentType="application/vnd.ms-office.chartex+xml"/>
  <Override PartName="/xl/charts/style21.xml" ContentType="application/vnd.ms-office.chartstyle+xml"/>
  <Override PartName="/xl/charts/colors21.xml" ContentType="application/vnd.ms-office.chartcolorstyle+xml"/>
  <Override PartName="/xl/drawings/drawing7.xml" ContentType="application/vnd.openxmlformats-officedocument.drawing+xml"/>
  <Override PartName="/xl/comments8.xml" ContentType="application/vnd.openxmlformats-officedocument.spreadsheetml.comments+xml"/>
  <Override PartName="/xl/charts/chart25.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9.xml" ContentType="application/vnd.openxmlformats-officedocument.themeOverride+xml"/>
  <Override PartName="/xl/charts/chart26.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0.xml" ContentType="application/vnd.openxmlformats-officedocument.themeOverride+xml"/>
  <Override PartName="/xl/drawings/drawing8.xml" ContentType="application/vnd.openxmlformats-officedocument.drawing+xml"/>
  <Override PartName="/xl/charts/chartEx2.xml" ContentType="application/vnd.ms-office.chartex+xml"/>
  <Override PartName="/xl/charts/style24.xml" ContentType="application/vnd.ms-office.chartstyle+xml"/>
  <Override PartName="/xl/charts/colors24.xml" ContentType="application/vnd.ms-office.chartcolorstyle+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1.xml" ContentType="application/vnd.openxmlformats-officedocument.themeOverride+xml"/>
  <Override PartName="/xl/charts/chartEx3.xml" ContentType="application/vnd.ms-office.chartex+xml"/>
  <Override PartName="/xl/charts/style26.xml" ContentType="application/vnd.ms-office.chartstyle+xml"/>
  <Override PartName="/xl/charts/colors26.xml" ContentType="application/vnd.ms-office.chartcolorstyle+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2.xml" ContentType="application/vnd.openxmlformats-officedocument.themeOverride+xml"/>
  <Override PartName="/xl/charts/chartEx4.xml" ContentType="application/vnd.ms-office.chartex+xml"/>
  <Override PartName="/xl/charts/style28.xml" ContentType="application/vnd.ms-office.chartstyle+xml"/>
  <Override PartName="/xl/charts/colors28.xml" ContentType="application/vnd.ms-office.chartcolorstyle+xml"/>
  <Override PartName="/xl/drawings/drawing9.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charts/chart32.xml" ContentType="application/vnd.openxmlformats-officedocument.drawingml.chart+xml"/>
  <Override PartName="/xl/charts/style30.xml" ContentType="application/vnd.ms-office.chartstyle+xml"/>
  <Override PartName="/xl/charts/colors30.xml" ContentType="application/vnd.ms-office.chartcolorstyle+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charts/chart34.xml" ContentType="application/vnd.openxmlformats-officedocument.drawingml.chart+xml"/>
  <Override PartName="/xl/charts/style32.xml" ContentType="application/vnd.ms-office.chartstyle+xml"/>
  <Override PartName="/xl/charts/colors32.xml" ContentType="application/vnd.ms-office.chartcolorstyle+xml"/>
  <Override PartName="/xl/charts/chart35.xml" ContentType="application/vnd.openxmlformats-officedocument.drawingml.chart+xml"/>
  <Override PartName="/xl/charts/style33.xml" ContentType="application/vnd.ms-office.chartstyle+xml"/>
  <Override PartName="/xl/charts/colors33.xml" ContentType="application/vnd.ms-office.chartcolorstyle+xml"/>
  <Override PartName="/xl/charts/chart36.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0.xml" ContentType="application/vnd.openxmlformats-officedocument.drawing+xml"/>
  <Override PartName="/xl/charts/chart3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newstreet1385.sharepoint.com/sites/Corp/Shared/TELECOMS/STOCKS/EMEA/Indonesia/03 XLSmart/Model/Client Version/"/>
    </mc:Choice>
  </mc:AlternateContent>
  <xr:revisionPtr revIDLastSave="9" documentId="8_{A78CF0DE-38F3-48C5-A8FF-C44281D0C93E}" xr6:coauthVersionLast="47" xr6:coauthVersionMax="47" xr10:uidLastSave="{DED8CAF2-C119-4776-9C39-9D90B9DE1684}"/>
  <bookViews>
    <workbookView xWindow="28690" yWindow="-1120" windowWidth="29020" windowHeight="15700" tabRatio="829" firstSheet="1" activeTab="1" xr2:uid="{00000000-000D-0000-FFFF-FFFF00000000}"/>
  </bookViews>
  <sheets>
    <sheet name="__FDSCACHE__" sheetId="20" state="veryHidden" r:id="rId1"/>
    <sheet name="Cover" sheetId="13" r:id="rId2"/>
    <sheet name="DCF" sheetId="4" r:id="rId3"/>
    <sheet name="Valuation" sheetId="27" r:id="rId4"/>
    <sheet name="Income Statement" sheetId="1" r:id="rId5"/>
    <sheet name="Balance Sheet and Cflow" sheetId="2" r:id="rId6"/>
    <sheet name="Inputs" sheetId="19" r:id="rId7"/>
    <sheet name="Forecast changes" sheetId="14" r:id="rId8"/>
    <sheet name="Vs Consensus" sheetId="16" r:id="rId9"/>
    <sheet name="Notes" sheetId="28" r:id="rId10"/>
    <sheet name="Link for Market model" sheetId="18" r:id="rId11"/>
    <sheet name="Lisbon - New" sheetId="7" r:id="rId12"/>
    <sheet name="Anna" sheetId="3" r:id="rId13"/>
    <sheet name="Link for Axiata" sheetId="9" r:id="rId14"/>
    <sheet name="Old" sheetId="26" r:id="rId15"/>
    <sheet name="Merger workings" sheetId="17" r:id="rId16"/>
    <sheet name="XLSmart-Proforma" sheetId="23" r:id="rId17"/>
    <sheet name="XLSmart" sheetId="21" r:id="rId18"/>
    <sheet name="Synergy notes" sheetId="24" r:id="rId19"/>
    <sheet name="Comps with other mergers" sheetId="22" r:id="rId20"/>
    <sheet name="Link to One-pager" sheetId="25" r:id="rId21"/>
    <sheet name="Hipernet" sheetId="15" r:id="rId22"/>
    <sheet name="Rights issue" sheetId="12" r:id="rId23"/>
    <sheet name="ROIC" sheetId="11" r:id="rId24"/>
    <sheet name="Link for Telenor" sheetId="5" r:id="rId25"/>
    <sheet name="New vs old" sheetId="10" r:id="rId26"/>
    <sheet name="Snap charts" sheetId="6" r:id="rId27"/>
    <sheet name="Debt schedule" sheetId="8"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__" localSheetId="7">#REF!</definedName>
    <definedName name="___" localSheetId="6">#REF!</definedName>
    <definedName name="___" localSheetId="8">#REF!</definedName>
    <definedName name="___">#REF!</definedName>
    <definedName name="__FDS_HYPERLINK_TOGGLE_STATE__" hidden="1">"ON"</definedName>
    <definedName name="_1_0Market" localSheetId="6">[1]KPN!#REF!</definedName>
    <definedName name="_1_0Market">[1]KPN!#REF!</definedName>
    <definedName name="_1993A" localSheetId="6">#REF!</definedName>
    <definedName name="_1993A">#REF!</definedName>
    <definedName name="_1994A" localSheetId="6">#REF!</definedName>
    <definedName name="_1994A">#REF!</definedName>
    <definedName name="_1995" localSheetId="6">#REF!</definedName>
    <definedName name="_1995">#REF!</definedName>
    <definedName name="_1995A">#REF!</definedName>
    <definedName name="_1996">#REF!</definedName>
    <definedName name="_1996A">#REF!</definedName>
    <definedName name="_1997">#REF!</definedName>
    <definedName name="_1997A">#REF!</definedName>
    <definedName name="_1998">#REF!</definedName>
    <definedName name="_1998E">#REF!</definedName>
    <definedName name="_1999">#REF!</definedName>
    <definedName name="_1999E">#REF!</definedName>
    <definedName name="_2000">#REF!</definedName>
    <definedName name="_2000E">#REF!</definedName>
    <definedName name="_2001">#REF!</definedName>
    <definedName name="_2001E">#REF!</definedName>
    <definedName name="_2002">#REF!</definedName>
    <definedName name="_2002E">#REF!</definedName>
    <definedName name="_2003E">#REF!</definedName>
    <definedName name="_2004">#REF!</definedName>
    <definedName name="_2004E">#REF!</definedName>
    <definedName name="_2005E">#REF!</definedName>
    <definedName name="_2B_0Working_pr">[1]KPN!#REF!</definedName>
    <definedName name="_3D_0Working_l">[1]KPN!#REF!</definedName>
    <definedName name="_bdm.A5B659AE10F844D28955D8E434AAE2BC.edm" hidden="1">#REF!</definedName>
    <definedName name="_xlnm._FilterDatabase" localSheetId="15" hidden="1">'Merger workings'!$J$244:$K$249</definedName>
    <definedName name="_IW295" localSheetId="7">#REF!</definedName>
    <definedName name="_IW295" localSheetId="6">#REF!</definedName>
    <definedName name="_IW295" localSheetId="8">#REF!</definedName>
    <definedName name="_IW295">[2]Financials!#REF!</definedName>
    <definedName name="_Key1" localSheetId="7" hidden="1">#REF!</definedName>
    <definedName name="_Key1" localSheetId="6" hidden="1">#REF!</definedName>
    <definedName name="_Key1" localSheetId="10" hidden="1">#REF!</definedName>
    <definedName name="_Key1" localSheetId="8" hidden="1">#REF!</definedName>
    <definedName name="_Key1" hidden="1">#REF!</definedName>
    <definedName name="_Order1" hidden="1">255</definedName>
    <definedName name="_Sort" localSheetId="7" hidden="1">#REF!</definedName>
    <definedName name="_Sort" localSheetId="6" hidden="1">#REF!</definedName>
    <definedName name="_Sort" localSheetId="10" hidden="1">#REF!</definedName>
    <definedName name="_Sort" localSheetId="8" hidden="1">#REF!</definedName>
    <definedName name="_Sort" hidden="1">#REF!</definedName>
    <definedName name="_UP" localSheetId="7">#REF!</definedName>
    <definedName name="_UP" localSheetId="6">#REF!</definedName>
    <definedName name="_UP" localSheetId="8">#REF!</definedName>
    <definedName name="_UP">#REF!</definedName>
    <definedName name="_xlchart.v1.0" hidden="1">XLSmart!$Y$169:$Y$171</definedName>
    <definedName name="_xlchart.v1.1" hidden="1">XLSmart!$Z$169:$Z$171</definedName>
    <definedName name="_xlchart.v1.2" hidden="1">ROIC!$B$211:$B$214</definedName>
    <definedName name="_xlchart.v1.3" hidden="1">ROIC!$C$211:$C$214</definedName>
    <definedName name="_xlchart.v1.4" hidden="1">ROIC!$B$205:$B$208</definedName>
    <definedName name="_xlchart.v1.5" hidden="1">ROIC!$C$205:$C$208</definedName>
    <definedName name="_xlchart.v1.6" hidden="1">ROIC!$B$129:$B$134</definedName>
    <definedName name="_xlchart.v1.7" hidden="1">ROIC!$C$129:$C$134</definedName>
    <definedName name="_yr1996" localSheetId="7">#REF!</definedName>
    <definedName name="_yr1996" localSheetId="6">#REF!</definedName>
    <definedName name="_yr1996" localSheetId="8">#REF!</definedName>
    <definedName name="_yr1996">#REF!</definedName>
    <definedName name="a_sted">'[3]A-sted'!$A$8:$J$52</definedName>
    <definedName name="a_sted_akk">'[3]A-sted'!$O$8:$AA$59</definedName>
    <definedName name="aaa" localSheetId="10" hidden="1">{#N/A,#N/A,FALSE,"Denmark";#N/A,#N/A,FALSE,"Denmark"}</definedName>
    <definedName name="aaa" localSheetId="3" hidden="1">{#N/A,#N/A,FALSE,"Denmark";#N/A,#N/A,FALSE,"Denmark"}</definedName>
    <definedName name="aaa" hidden="1">{#N/A,#N/A,FALSE,"Denmark";#N/A,#N/A,FALSE,"Denmark"}</definedName>
    <definedName name="af" localSheetId="7">#REF!</definedName>
    <definedName name="af" localSheetId="6">#REF!</definedName>
    <definedName name="af" localSheetId="8">#REF!</definedName>
    <definedName name="af">#REF!</definedName>
    <definedName name="algeria" localSheetId="7">#REF!</definedName>
    <definedName name="algeria" localSheetId="6">#REF!</definedName>
    <definedName name="algeria" localSheetId="8">#REF!</definedName>
    <definedName name="algeria">#REF!</definedName>
    <definedName name="anscount" hidden="1">1</definedName>
    <definedName name="Användare" localSheetId="7">#REF!</definedName>
    <definedName name="Användare" localSheetId="6">#REF!</definedName>
    <definedName name="Användare" localSheetId="8">#REF!</definedName>
    <definedName name="Användare">#REF!</definedName>
    <definedName name="aRG" localSheetId="6">#REF!</definedName>
    <definedName name="aRG">#REF!</definedName>
    <definedName name="assoc">#REF!</definedName>
    <definedName name="Austria_telenor_mobile_export">#REF!</definedName>
    <definedName name="bangladesh_telenor_mobile_export">#REF!</definedName>
    <definedName name="Belgium_Belgacom_fixed_export">#REF!</definedName>
    <definedName name="Belgium_Belgacom_mobile_export">#REF!</definedName>
    <definedName name="bondcos">#REF!</definedName>
    <definedName name="bondcost">#REF!</definedName>
    <definedName name="bsminority">#REF!</definedName>
    <definedName name="BT_Att">#REF!</definedName>
    <definedName name="BT_BSMins">#REF!</definedName>
    <definedName name="BT_CFPS">#REF!</definedName>
    <definedName name="BT_CFPS_fd">#REF!</definedName>
    <definedName name="BT_DPS">#REF!</definedName>
    <definedName name="BT_DtoE">#REF!</definedName>
    <definedName name="BT_EBITDA">#REF!</definedName>
    <definedName name="BT_EPS_fd">#REF!</definedName>
    <definedName name="BT_FA">#REF!</definedName>
    <definedName name="BT_Min">#REF!</definedName>
    <definedName name="BT_Minorities">#REF!</definedName>
    <definedName name="BT_Mins">#REF!</definedName>
    <definedName name="BT_NAV">#REF!</definedName>
    <definedName name="BT_NDebt">#REF!</definedName>
    <definedName name="BT_netdebt">#REF!</definedName>
    <definedName name="BT_Provs">#REF!</definedName>
    <definedName name="BT_R">#REF!</definedName>
    <definedName name="BT_Rec">#REF!</definedName>
    <definedName name="BT_ROCE">#REF!</definedName>
    <definedName name="BT_ROE">#REF!</definedName>
    <definedName name="BT_Sales">#REF!</definedName>
    <definedName name="BT_Shf">#REF!</definedName>
    <definedName name="BT_Shissued">#REF!</definedName>
    <definedName name="BT_UK_export">[4]IM!$K$12:$AL$48</definedName>
    <definedName name="BT_UP" localSheetId="7">#REF!</definedName>
    <definedName name="BT_UP" localSheetId="6">#REF!</definedName>
    <definedName name="BT_UP" localSheetId="8">#REF!</definedName>
    <definedName name="BT_UP">#REF!</definedName>
    <definedName name="Capital_Employed" localSheetId="7">#REF!</definedName>
    <definedName name="Capital_Employed" localSheetId="8">#REF!</definedName>
    <definedName name="Capital_Employed">#REF!</definedName>
    <definedName name="cash" localSheetId="7">#REF!</definedName>
    <definedName name="cash" localSheetId="8">#REF!</definedName>
    <definedName name="cash">#REF!</definedName>
    <definedName name="casheps">#REF!</definedName>
    <definedName name="changend">#REF!</definedName>
    <definedName name="Chile">#REF!</definedName>
    <definedName name="Company_Code">[5]Front!$E$10</definedName>
    <definedName name="Company_Name">[5]Front!$E$11</definedName>
    <definedName name="Core_old__BT_cap_ex" localSheetId="7">#REF!</definedName>
    <definedName name="Core_old__BT_cap_ex" localSheetId="6">#REF!</definedName>
    <definedName name="Core_old__BT_cap_ex" localSheetId="8">#REF!</definedName>
    <definedName name="Core_old__BT_cap_ex">#REF!</definedName>
    <definedName name="corecapex" localSheetId="7">#REF!</definedName>
    <definedName name="corecapex" localSheetId="8">#REF!</definedName>
    <definedName name="corecapex">#REF!</definedName>
    <definedName name="CPE" localSheetId="7">#REF!</definedName>
    <definedName name="CPE" localSheetId="8">#REF!</definedName>
    <definedName name="CPE">#REF!</definedName>
    <definedName name="creditors">#REF!</definedName>
    <definedName name="cueps">#REF!</definedName>
    <definedName name="Currency">[5]Front!$E$15</definedName>
    <definedName name="Datatabell" localSheetId="7">#REF!</definedName>
    <definedName name="Datatabell" localSheetId="6">#REF!</definedName>
    <definedName name="Datatabell" localSheetId="8">#REF!</definedName>
    <definedName name="Datatabell">#REF!</definedName>
    <definedName name="Date">[5]Front!$E$16</definedName>
    <definedName name="DB">"WIREUK"</definedName>
    <definedName name="DCF_Valuation" localSheetId="6">[6]UK!#REF!</definedName>
    <definedName name="DCF_Valuation">[7]UK!#REF!</definedName>
    <definedName name="debtors" localSheetId="7">#REF!</definedName>
    <definedName name="debtors" localSheetId="6">#REF!</definedName>
    <definedName name="debtors" localSheetId="8">#REF!</definedName>
    <definedName name="debtors">#REF!</definedName>
    <definedName name="depre" localSheetId="7">#REF!</definedName>
    <definedName name="depre" localSheetId="8">#REF!</definedName>
    <definedName name="depre">#REF!</definedName>
    <definedName name="depreciation" localSheetId="7">#REF!</definedName>
    <definedName name="depreciation" localSheetId="8">#REF!</definedName>
    <definedName name="depreciation">#REF!</definedName>
    <definedName name="disposals">#REF!</definedName>
    <definedName name="divpaid">#REF!</definedName>
    <definedName name="djstoxx">'[8]Price Relative'!$AC$56:$AI$66,'[8]Price Relative'!$AN$5:$AT$14</definedName>
    <definedName name="DM_Asia_prices" localSheetId="6">[9]Prices!#REF!</definedName>
    <definedName name="DM_Asia_prices">[9]Prices!#REF!</definedName>
    <definedName name="DM_Asia_ratings">[9]Prices!#REF!</definedName>
    <definedName name="DM_Asia_targets">[9]Prices!#REF!</definedName>
    <definedName name="dps" localSheetId="6">#REF!</definedName>
    <definedName name="dps">#REF!</definedName>
    <definedName name="EgenRappPath" localSheetId="6">#REF!</definedName>
    <definedName name="EgenRappPath">#REF!</definedName>
    <definedName name="EM_Asia_prices" localSheetId="6">[9]Prices!#REF!</definedName>
    <definedName name="EM_Asia_prices">[9]Prices!#REF!</definedName>
    <definedName name="EM_Asia_ratings" localSheetId="6">[9]Prices!#REF!</definedName>
    <definedName name="EM_Asia_ratings">[9]Prices!#REF!</definedName>
    <definedName name="EM_Asia_targets" localSheetId="6">[9]Prices!#REF!</definedName>
    <definedName name="EM_Asia_targets">[9]Prices!#REF!</definedName>
    <definedName name="eps" localSheetId="6">#REF!</definedName>
    <definedName name="eps">#REF!</definedName>
    <definedName name="ExcelPath">#N/A</definedName>
    <definedName name="F.1981.03" localSheetId="6">#REF!</definedName>
    <definedName name="F.1981.03">#REF!</definedName>
    <definedName name="F.1982.03" localSheetId="6">#REF!</definedName>
    <definedName name="F.1982.03">#REF!</definedName>
    <definedName name="F.1983.03" localSheetId="6">#REF!</definedName>
    <definedName name="F.1983.03">#REF!</definedName>
    <definedName name="F.1984.03">#REF!</definedName>
    <definedName name="F.1985.03">#REF!</definedName>
    <definedName name="F.1986.03">#REF!</definedName>
    <definedName name="F.1987.03">#REF!</definedName>
    <definedName name="F.1988.03">#REF!</definedName>
    <definedName name="F.1989.03">#REF!</definedName>
    <definedName name="F.1990.03">#REF!</definedName>
    <definedName name="F.1991.03">#REF!</definedName>
    <definedName name="F.1992.03">#REF!</definedName>
    <definedName name="F.1993.03">#REF!</definedName>
    <definedName name="F.1994.03">#REF!</definedName>
    <definedName name="F.1995.03">#REF!</definedName>
    <definedName name="F.1998.03">#REF!</definedName>
    <definedName name="fcf">#REF!</definedName>
    <definedName name="France_Telecom">#REF!</definedName>
    <definedName name="France_Telecom_Belgium_mobile_interconnect_receipts">#REF!</definedName>
    <definedName name="France_Telecom_Belgium_mobile_interconnect_receipts_from_fixed_operators">#REF!</definedName>
    <definedName name="France_Telecom_Belgium_mobile_interconnect_receipts_from_mobile_operators">#REF!</definedName>
    <definedName name="France_Telecom_Belgium_mobile_other_revenue">#REF!</definedName>
    <definedName name="France_Telecom_Belgium_mobile_retail_and_wholesale_services_revenue">#REF!</definedName>
    <definedName name="France_Telecom_Belgium_mobile_retail_revenue">#REF!</definedName>
    <definedName name="France_Telecom_Belgium_mobile_retail_subscribers">#REF!</definedName>
    <definedName name="France_Telecom_Belgium_mobile_revenue">#REF!</definedName>
    <definedName name="France_Telecom_Belgium_mobile_wholesale_revenue">#REF!</definedName>
    <definedName name="France_Telecom_Belgium_mobile_wholesale_subscribers">#REF!</definedName>
    <definedName name="France_Telecom_Denmark_mobile_interconnect_receipts">#REF!</definedName>
    <definedName name="France_Telecom_Denmark_mobile_interconnect_receipts_from_fixed_operators">#REF!</definedName>
    <definedName name="France_Telecom_Denmark_mobile_interconnect_receipts_from_mobile_operators">#REF!</definedName>
    <definedName name="France_Telecom_Denmark_mobile_other_revenue">#REF!</definedName>
    <definedName name="France_Telecom_Denmark_mobile_retail_and_wholesale_services_revenue">#REF!</definedName>
    <definedName name="France_Telecom_Denmark_mobile_retail_revenue">#REF!</definedName>
    <definedName name="France_Telecom_Denmark_mobile_retail_subscribers">#REF!</definedName>
    <definedName name="France_Telecom_Denmark_mobile_revenue">#REF!</definedName>
    <definedName name="France_Telecom_Denmark_mobile_wholesale_revenue">#REF!</definedName>
    <definedName name="France_Telecom_Denmark_mobile_wholesale_subscribers">#REF!</definedName>
    <definedName name="France_Telecom_Egypt_mobile_interconnect_receipts">#REF!</definedName>
    <definedName name="France_Telecom_Egypt_mobile_interconnect_receipts_from_fixed_operators">#REF!</definedName>
    <definedName name="France_Telecom_Egypt_mobile_interconnect_receipts_from_mobile_operators">#REF!</definedName>
    <definedName name="France_Telecom_Egypt_mobile_other_revenue">#REF!</definedName>
    <definedName name="France_Telecom_Egypt_mobile_retail_and_wholesale_services_revenue">#REF!</definedName>
    <definedName name="France_Telecom_Egypt_mobile_retail_revenue">#REF!</definedName>
    <definedName name="France_Telecom_Egypt_mobile_retail_subscribers">#REF!</definedName>
    <definedName name="France_Telecom_Egypt_mobile_revenue">#REF!</definedName>
    <definedName name="France_Telecom_Egypt_mobile_wholesale_revenue">#REF!</definedName>
    <definedName name="France_Telecom_Egypt_mobile_wholesale_subscribers">#REF!</definedName>
    <definedName name="France_Telecom_France_fixed_broadband_revenue__business">#REF!</definedName>
    <definedName name="France_Telecom_France_fixed_broadband_revenue__residential">#REF!</definedName>
    <definedName name="France_Telecom_France_fixed_broadband_revenue__residential___business">#REF!</definedName>
    <definedName name="France_Telecom_France_fixed_interconnect_receipts">#REF!</definedName>
    <definedName name="France_Telecom_France_fixed_interconnect_receipts_from_fixed_operators">#REF!</definedName>
    <definedName name="France_Telecom_France_fixed_interconnect_receipts_from_mobile_operators">#REF!</definedName>
    <definedName name="France_Telecom_France_fixed_other_revenue">#REF!</definedName>
    <definedName name="France_Telecom_France_fixed_retail_and_wholesale_services_revenue">#REF!</definedName>
    <definedName name="France_Telecom_France_fixed_retail_broadband_business_sites">#REF!</definedName>
    <definedName name="France_Telecom_France_fixed_retail_broadband_homes">#REF!</definedName>
    <definedName name="France_Telecom_France_fixed_retail_broadband_sites__homes_and_businesses">#REF!</definedName>
    <definedName name="France_Telecom_France_fixed_retail_business_sites">#REF!</definedName>
    <definedName name="France_Telecom_France_fixed_retail_homes">#REF!</definedName>
    <definedName name="France_Telecom_France_fixed_retail_lines__business">#REF!</definedName>
    <definedName name="France_Telecom_France_fixed_retail_lines__ISDN">#REF!</definedName>
    <definedName name="France_Telecom_France_fixed_retail_lines__PSTN">#REF!</definedName>
    <definedName name="France_Telecom_France_fixed_retail_lines__PSTN___ISDN">#REF!</definedName>
    <definedName name="France_Telecom_France_fixed_retail_lines__residential">#REF!</definedName>
    <definedName name="France_Telecom_France_fixed_retail_lines__residential___business">#REF!</definedName>
    <definedName name="France_Telecom_France_fixed_retail_revenue__business">#REF!</definedName>
    <definedName name="France_Telecom_France_fixed_retail_revenue__residential">#REF!</definedName>
    <definedName name="France_Telecom_France_fixed_retail_revenue__residential___business">#REF!</definedName>
    <definedName name="France_Telecom_France_fixed_revenue">#REF!</definedName>
    <definedName name="France_Telecom_France_fixed_wholesale_and_interconnect_services_revenue">#REF!</definedName>
    <definedName name="France_Telecom_France_fixed_wholesale_broadband_business_sites">#REF!</definedName>
    <definedName name="France_Telecom_France_fixed_wholesale_broadband_homes">#REF!</definedName>
    <definedName name="France_Telecom_France_fixed_wholesale_broadband_sites__homes_and_businesses">#REF!</definedName>
    <definedName name="France_Telecom_France_fixed_wholesale_business_sites">#REF!</definedName>
    <definedName name="France_Telecom_France_fixed_wholesale_homes">#REF!</definedName>
    <definedName name="France_Telecom_France_fixed_wholesale_lines__business">#REF!</definedName>
    <definedName name="France_Telecom_France_fixed_wholesale_lines__ISDN">#REF!</definedName>
    <definedName name="France_Telecom_France_fixed_wholesale_lines__PSTN">#REF!</definedName>
    <definedName name="France_Telecom_France_fixed_wholesale_lines__PSTN___ISDN">#REF!</definedName>
    <definedName name="France_Telecom_France_fixed_wholesale_lines__residential">#REF!</definedName>
    <definedName name="France_Telecom_France_fixed_wholesale_lines__residential___business">#REF!</definedName>
    <definedName name="France_Telecom_France_fixed_wholesale_revenue">#REF!</definedName>
    <definedName name="France_Telecom_France_mobile_interconnect_receipts">#REF!</definedName>
    <definedName name="France_Telecom_France_mobile_interconnect_receipts_from_fixed_operators">#REF!</definedName>
    <definedName name="France_Telecom_France_mobile_interconnect_receipts_from_mobile_operators">#REF!</definedName>
    <definedName name="France_Telecom_France_mobile_other_revenue">#REF!</definedName>
    <definedName name="France_Telecom_France_mobile_retail_and_wholesale_services_revenue">#REF!</definedName>
    <definedName name="France_Telecom_France_mobile_retail_revenue">#REF!</definedName>
    <definedName name="France_Telecom_France_mobile_retail_subscribers">#REF!</definedName>
    <definedName name="France_Telecom_France_mobile_revenue">#REF!</definedName>
    <definedName name="France_Telecom_France_mobile_wholesale_revenue">#REF!</definedName>
    <definedName name="France_Telecom_France_mobile_wholesale_subscribers">#REF!</definedName>
    <definedName name="France_Telecom_Netherlands_mobile_interconnect_receipts">#REF!</definedName>
    <definedName name="France_Telecom_Netherlands_mobile_interconnect_receipts_from_fixed_operators">#REF!</definedName>
    <definedName name="France_Telecom_Netherlands_mobile_interconnect_receipts_from_mobile_operators">#REF!</definedName>
    <definedName name="France_Telecom_Netherlands_mobile_other_revenue">#REF!</definedName>
    <definedName name="France_Telecom_Netherlands_mobile_retail_and_wholesale_services_revenue">#REF!</definedName>
    <definedName name="France_Telecom_Netherlands_mobile_retail_revenue">#REF!</definedName>
    <definedName name="France_Telecom_Netherlands_mobile_retail_subscribers">#REF!</definedName>
    <definedName name="France_Telecom_Netherlands_mobile_revenue">#REF!</definedName>
    <definedName name="France_Telecom_Netherlands_mobile_wholesale_revenue">#REF!</definedName>
    <definedName name="France_Telecom_Netherlands_mobile_wholesale_subscribers">#REF!</definedName>
    <definedName name="France_Telecom_Poland_fixed_broadband_revenue__business">#REF!</definedName>
    <definedName name="France_Telecom_Poland_fixed_broadband_revenue__residential">#REF!</definedName>
    <definedName name="France_Telecom_Poland_fixed_broadband_revenue__residential___business">#REF!</definedName>
    <definedName name="France_Telecom_Poland_fixed_interconnect_receipts">#REF!</definedName>
    <definedName name="France_Telecom_Poland_fixed_interconnect_receipts_from_fixed_operators">#REF!</definedName>
    <definedName name="France_Telecom_Poland_fixed_interconnect_receipts_from_mobile_operators">#REF!</definedName>
    <definedName name="France_Telecom_Poland_fixed_other_revenue">#REF!</definedName>
    <definedName name="France_Telecom_Poland_fixed_retail_and_wholesale_services_revenue">#REF!</definedName>
    <definedName name="France_Telecom_Poland_fixed_retail_broadband_business_sites">#REF!</definedName>
    <definedName name="France_Telecom_Poland_fixed_retail_broadband_homes">#REF!</definedName>
    <definedName name="France_Telecom_Poland_fixed_retail_broadband_sites__homes_and_businesses">#REF!</definedName>
    <definedName name="France_Telecom_Poland_fixed_retail_business_sites">#REF!</definedName>
    <definedName name="France_Telecom_Poland_fixed_retail_homes">#REF!</definedName>
    <definedName name="France_Telecom_Poland_fixed_retail_lines__business">#REF!</definedName>
    <definedName name="France_Telecom_Poland_fixed_retail_lines__ISDN">#REF!</definedName>
    <definedName name="France_Telecom_Poland_fixed_retail_lines__PSTN">#REF!</definedName>
    <definedName name="France_Telecom_Poland_fixed_retail_lines__PSTN___ISDN">#REF!</definedName>
    <definedName name="France_Telecom_Poland_fixed_retail_lines__residential">#REF!</definedName>
    <definedName name="France_Telecom_Poland_fixed_retail_lines__residential___business">#REF!</definedName>
    <definedName name="France_Telecom_Poland_fixed_retail_revenue__business">#REF!</definedName>
    <definedName name="France_Telecom_Poland_fixed_retail_revenue__residential">#REF!</definedName>
    <definedName name="France_Telecom_Poland_fixed_retail_revenue__residential___business">#REF!</definedName>
    <definedName name="France_Telecom_Poland_fixed_revenue">#REF!</definedName>
    <definedName name="France_Telecom_Poland_fixed_wholesale_and_interconnect_services_revenue">#REF!</definedName>
    <definedName name="France_Telecom_Poland_fixed_wholesale_broadband_business_sites">#REF!</definedName>
    <definedName name="France_Telecom_Poland_fixed_wholesale_broadband_homes">#REF!</definedName>
    <definedName name="France_Telecom_Poland_fixed_wholesale_broadband_sites__homes_and_businesses">#REF!</definedName>
    <definedName name="France_Telecom_Poland_fixed_wholesale_business_sites">#REF!</definedName>
    <definedName name="France_Telecom_Poland_fixed_wholesale_homes">#REF!</definedName>
    <definedName name="France_Telecom_Poland_fixed_wholesale_lines__business">#REF!</definedName>
    <definedName name="France_Telecom_Poland_fixed_wholesale_lines__ISDN">#REF!</definedName>
    <definedName name="France_Telecom_Poland_fixed_wholesale_lines__PSTN">#REF!</definedName>
    <definedName name="France_Telecom_Poland_fixed_wholesale_lines__PSTN___ISDN">#REF!</definedName>
    <definedName name="France_Telecom_Poland_fixed_wholesale_lines__residential">#REF!</definedName>
    <definedName name="France_Telecom_Poland_fixed_wholesale_lines__residential___business">#REF!</definedName>
    <definedName name="France_Telecom_Poland_fixed_wholesale_revenue">#REF!</definedName>
    <definedName name="France_Telecom_Poland_mobile_interconnect_receipts">#REF!</definedName>
    <definedName name="France_Telecom_Poland_mobile_interconnect_receipts_from_fixed_operators">#REF!</definedName>
    <definedName name="France_Telecom_Poland_mobile_interconnect_receipts_from_mobile_operators">#REF!</definedName>
    <definedName name="France_Telecom_Poland_mobile_other_revenue">#REF!</definedName>
    <definedName name="France_Telecom_Poland_mobile_retail_and_wholesale_services_revenue">#REF!</definedName>
    <definedName name="France_Telecom_Poland_mobile_retail_revenue">#REF!</definedName>
    <definedName name="France_Telecom_Poland_mobile_retail_subscribers">#REF!</definedName>
    <definedName name="France_Telecom_Poland_mobile_revenue">#REF!</definedName>
    <definedName name="France_Telecom_Poland_mobile_wholesale_revenue">#REF!</definedName>
    <definedName name="France_Telecom_Poland_mobile_wholesale_subscribers">#REF!</definedName>
    <definedName name="France_Telecom_Romania_mobile_interconnect_receipts">#REF!</definedName>
    <definedName name="France_Telecom_Romania_mobile_interconnect_receipts_from_fixed_operators">#REF!</definedName>
    <definedName name="France_Telecom_Romania_mobile_interconnect_receipts_from_mobile_operators">#REF!</definedName>
    <definedName name="France_Telecom_Romania_mobile_other_revenue">#REF!</definedName>
    <definedName name="France_Telecom_Romania_mobile_retail_and_wholesale_services_revenue">#REF!</definedName>
    <definedName name="France_Telecom_Romania_mobile_retail_revenue">#REF!</definedName>
    <definedName name="France_Telecom_Romania_mobile_retail_subscribers">#REF!</definedName>
    <definedName name="France_Telecom_Romania_mobile_revenue">#REF!</definedName>
    <definedName name="France_Telecom_Romania_mobile_wholesale_revenue">#REF!</definedName>
    <definedName name="France_Telecom_Romania_mobile_wholesale_subscribers">#REF!</definedName>
    <definedName name="France_Telecom_Slovakia_mobile_interconnect_receipts">#REF!</definedName>
    <definedName name="France_Telecom_Slovakia_mobile_interconnect_receipts_from_fixed_operators">#REF!</definedName>
    <definedName name="France_Telecom_Slovakia_mobile_interconnect_receipts_from_mobile_operators">#REF!</definedName>
    <definedName name="France_Telecom_Slovakia_mobile_other_revenue">#REF!</definedName>
    <definedName name="France_Telecom_Slovakia_mobile_retail_and_wholesale_services_revenue">#REF!</definedName>
    <definedName name="France_Telecom_Slovakia_mobile_retail_revenue">#REF!</definedName>
    <definedName name="France_Telecom_Slovakia_mobile_retail_subscribers">#REF!</definedName>
    <definedName name="France_Telecom_Slovakia_mobile_revenue">#REF!</definedName>
    <definedName name="France_Telecom_Slovakia_mobile_wholesale_revenue">#REF!</definedName>
    <definedName name="France_Telecom_Slovakia_mobile_wholesale_subscribers">#REF!</definedName>
    <definedName name="France_Telecom_Switzerland_mobile_interconnect_receipts">#REF!</definedName>
    <definedName name="France_Telecom_Switzerland_mobile_interconnect_receipts_from_fixed_operators">#REF!</definedName>
    <definedName name="France_Telecom_Switzerland_mobile_interconnect_receipts_from_mobile_operators">#REF!</definedName>
    <definedName name="France_Telecom_Switzerland_mobile_other_revenue">#REF!</definedName>
    <definedName name="France_Telecom_Switzerland_mobile_retail_and_wholesale_services_revenue">#REF!</definedName>
    <definedName name="France_Telecom_Switzerland_mobile_retail_revenue">#REF!</definedName>
    <definedName name="France_Telecom_Switzerland_mobile_retail_subscribers">#REF!</definedName>
    <definedName name="France_Telecom_Switzerland_mobile_revenue">#REF!</definedName>
    <definedName name="France_Telecom_Switzerland_mobile_wholesale_revenue">#REF!</definedName>
    <definedName name="France_Telecom_Switzerland_mobile_wholesale_subscribers">#REF!</definedName>
    <definedName name="France_Telecom2">#REF!</definedName>
    <definedName name="France_TelecomFrancefixedretail_revenue__residential">#REF!</definedName>
    <definedName name="FT">#REF!</definedName>
    <definedName name="FT_France_fixed_export">#REF!</definedName>
    <definedName name="FT_france_mobile_export">#REF!</definedName>
    <definedName name="FT_netherlands_mobile_export">#REF!</definedName>
    <definedName name="FT_switzerland_mobile_export">#REF!</definedName>
    <definedName name="FT_UK_mobile_export">#REF!</definedName>
    <definedName name="gdps">#REF!</definedName>
    <definedName name="gls_ACT_EST_ROW" localSheetId="10" hidden="1">#REF!</definedName>
    <definedName name="gls_ACT_EST_ROW" hidden="1">#REF!</definedName>
    <definedName name="gls_ACT_FORM_OFFSET" hidden="1">#REF!</definedName>
    <definedName name="gls_AnalystEmpNoHeading" hidden="1">#REF!</definedName>
    <definedName name="gls_AnalystNameHeading" hidden="1">#REF!</definedName>
    <definedName name="gls_EST_FORM_OFFSET" hidden="1">#REF!</definedName>
    <definedName name="gls_EXTERNAL_COL_REF" hidden="1">#REF!</definedName>
    <definedName name="gls_FIRST_ITEM" hidden="1">#REF!</definedName>
    <definedName name="gls_FIRST_PK" hidden="1">#REF!</definedName>
    <definedName name="gls_FIRST_ROWMULT" hidden="1">#REF!</definedName>
    <definedName name="gls_FIRST_UNITS" hidden="1">#REF!</definedName>
    <definedName name="gls_FIXED_NAMES" hidden="1">#REF!</definedName>
    <definedName name="gls_FONT_STATUS" hidden="1">#REF!</definedName>
    <definedName name="gls_GenAccountingConvention" hidden="1">#REF!</definedName>
    <definedName name="gls_GenCompany" hidden="1">#REF!</definedName>
    <definedName name="gls_GenCompanyInfo" hidden="1">#REF!</definedName>
    <definedName name="gls_GenCountry" hidden="1">#REF!</definedName>
    <definedName name="gls_GenCurrency" hidden="1">#REF!</definedName>
    <definedName name="gls_GenCurrencyMultiplier" hidden="1">#REF!</definedName>
    <definedName name="gls_GenEnterCompInfo" hidden="1">#REF!</definedName>
    <definedName name="gls_GenLastPriceTargetRevised" hidden="1">#REF!</definedName>
    <definedName name="gls_GenLastPublished" hidden="1">#REF!</definedName>
    <definedName name="gls_GenLastRecRevised" hidden="1">#REF!</definedName>
    <definedName name="gls_GenMainInfo" hidden="1">#REF!</definedName>
    <definedName name="gls_GenProfile" hidden="1">#REF!</definedName>
    <definedName name="gls_GenRecComment" hidden="1">#REF!</definedName>
    <definedName name="gls_GenSheetVersion" hidden="1">#REF!</definedName>
    <definedName name="gls_genStockCore" hidden="1">#REF!</definedName>
    <definedName name="gls_genStockRec" hidden="1">#REF!</definedName>
    <definedName name="gls_GenTargetCurrency" hidden="1">#REF!</definedName>
    <definedName name="gls_IssuedStockClassHeading" hidden="1">#REF!</definedName>
    <definedName name="gls_IssuedStockCodeHeading" hidden="1">#REF!</definedName>
    <definedName name="gls_IssuedStockFreeFloatHeading" hidden="1">#REF!</definedName>
    <definedName name="gls_KEY_DATA" hidden="1">#REF!</definedName>
    <definedName name="gls_KEY_VALUE" hidden="1">#REF!</definedName>
    <definedName name="gls_PERIOD_CODE" hidden="1">#REF!</definedName>
    <definedName name="gls_PERIOD_INDICATOR" hidden="1">#REF!</definedName>
    <definedName name="gls_PERIOD_PARENT_OR_CONSOL" hidden="1">#REF!</definedName>
    <definedName name="gls_PERIOD_TYPE" hidden="1">#REF!</definedName>
    <definedName name="gls_PrincipalStockClass" hidden="1">#REF!</definedName>
    <definedName name="gls_ShareholderClassHeading" hidden="1">#REF!</definedName>
    <definedName name="gls_ShareholderHolding" hidden="1">#REF!</definedName>
    <definedName name="gls_ShareholderHoldingHeading" hidden="1">#REF!</definedName>
    <definedName name="gls_ShareholderName" hidden="1">#REF!</definedName>
    <definedName name="gls_ShareholderNameHeading" hidden="1">#REF!</definedName>
    <definedName name="gls_ShareholdingName" hidden="1">#REF!</definedName>
    <definedName name="gls_SPARE_YEARS" hidden="1">#REF!</definedName>
    <definedName name="gls_START_FORMULA_OVERRIDEABLE" hidden="1">#REF!</definedName>
    <definedName name="gls_START_LOCAL_NAMES" hidden="1">#REF!</definedName>
    <definedName name="gls_START_PERIOD_CURRENCY" hidden="1">#REF!</definedName>
    <definedName name="gls_START_STATUS" hidden="1">#REF!</definedName>
    <definedName name="gls_START_USER_STATUS" hidden="1">#REF!</definedName>
    <definedName name="gls_START_VALIDATION" hidden="1">#REF!</definedName>
    <definedName name="gls_START_WHAT" hidden="1">#REF!</definedName>
    <definedName name="gls_START_YEAR" hidden="1">#REF!</definedName>
    <definedName name="gls_TEMP_PERIOD_CODE" hidden="1">#REF!</definedName>
    <definedName name="gls_YEAR_AE_CONTROL" hidden="1">#REF!</definedName>
    <definedName name="gls_YEAR_END_ROW" hidden="1">#REF!</definedName>
    <definedName name="hungary_telenor_mobile_export">#REF!</definedName>
    <definedName name="I1.1989.09">[10]cuslink!#REF!</definedName>
    <definedName name="I1.1996.09" localSheetId="7">#REF!</definedName>
    <definedName name="I1.1996.09" localSheetId="6">#REF!</definedName>
    <definedName name="I1.1996.09" localSheetId="8">#REF!</definedName>
    <definedName name="I1.1996.09">#REF!</definedName>
    <definedName name="inccred" localSheetId="7">#REF!</definedName>
    <definedName name="inccred" localSheetId="8">#REF!</definedName>
    <definedName name="inccred">#REF!</definedName>
    <definedName name="incpenprov" localSheetId="7">#REF!</definedName>
    <definedName name="incpenprov" localSheetId="8">#REF!</definedName>
    <definedName name="incpenprov">#REF!</definedName>
    <definedName name="increc">#REF!</definedName>
    <definedName name="incstock">#REF!</definedName>
    <definedName name="Intangible_Fixed_Assets" localSheetId="7">#REF!</definedName>
    <definedName name="Intangible_Fixed_Assets" localSheetId="8">#REF!</definedName>
    <definedName name="Intangible_Fixed_Assets">#REF!</definedName>
    <definedName name="InTC" localSheetId="7">#REF!</definedName>
    <definedName name="InTC" localSheetId="8">#REF!</definedName>
    <definedName name="InTC">#REF!</definedName>
    <definedName name="investments" localSheetId="7">#REF!</definedName>
    <definedName name="investments" localSheetId="8">#REF!</definedName>
    <definedName name="investments">#REF!</definedName>
    <definedName name="issmin">#REF!</definedName>
    <definedName name="issord">#REF!</definedName>
    <definedName name="ITC">#REF!</definedName>
    <definedName name="k_kost">'[3]K-kost'!$A$9:$J$37</definedName>
    <definedName name="k_kost_akk">'[3]K-kost'!$O$8:$AA$42</definedName>
    <definedName name="kjhkjh" localSheetId="7">#REF!</definedName>
    <definedName name="kjhkjh" localSheetId="6">#REF!</definedName>
    <definedName name="kjhkjh" localSheetId="8">#REF!</definedName>
    <definedName name="kjhkjh">#REF!</definedName>
    <definedName name="Kopieringsområde">'[11]Business Sol'!$A$7:$K$77</definedName>
    <definedName name="Leased" localSheetId="7">#REF!</definedName>
    <definedName name="Leased" localSheetId="6">#REF!</definedName>
    <definedName name="Leased" localSheetId="8">#REF!</definedName>
    <definedName name="Leased">#REF!</definedName>
    <definedName name="limcount" hidden="1">1</definedName>
    <definedName name="Linerent" localSheetId="7">#REF!</definedName>
    <definedName name="Linerent" localSheetId="6">#REF!</definedName>
    <definedName name="Linerent" localSheetId="8">#REF!</definedName>
    <definedName name="Linerent">#REF!</definedName>
    <definedName name="Lines_per_100_pop" localSheetId="7">#REF!</definedName>
    <definedName name="Lines_per_100_pop" localSheetId="8">#REF!</definedName>
    <definedName name="Lines_per_100_pop">#REF!</definedName>
    <definedName name="lkjh">#REF!</definedName>
    <definedName name="Lösenord">#REF!</definedName>
    <definedName name="ltd">#REF!</definedName>
    <definedName name="malaysia_telenor_mobile_export">#REF!</definedName>
    <definedName name="måned">[12]Grunndata!$B$3:$C$14</definedName>
    <definedName name="minority" localSheetId="7">#REF!</definedName>
    <definedName name="minority" localSheetId="6">#REF!</definedName>
    <definedName name="minority" localSheetId="8">#REF!</definedName>
    <definedName name="minority">#REF!</definedName>
    <definedName name="Mobile" localSheetId="7">#REF!</definedName>
    <definedName name="Mobile" localSheetId="8">#REF!</definedName>
    <definedName name="Mobile">#REF!</definedName>
    <definedName name="Net_Assets" localSheetId="7">#REF!</definedName>
    <definedName name="Net_Assets" localSheetId="8">#REF!</definedName>
    <definedName name="Net_Assets">#REF!</definedName>
    <definedName name="Net_Profit_SGW_Adjusted_">#REF!</definedName>
    <definedName name="netint">#REF!</definedName>
    <definedName name="netprofit">#REF!</definedName>
    <definedName name="ni_divs">#REF!</definedName>
    <definedName name="nidivs">#REF!</definedName>
    <definedName name="Norway_Telenor_fixed_export">#REF!</definedName>
    <definedName name="Norway_Telenor_mobile_export">#REF!</definedName>
    <definedName name="Notes">[13]Consensus!$C$123,[13]Consensus!$C$124:$C$126</definedName>
    <definedName name="oldcueps" localSheetId="7">#REF!</definedName>
    <definedName name="oldcueps" localSheetId="6">#REF!</definedName>
    <definedName name="oldcueps" localSheetId="8">#REF!</definedName>
    <definedName name="oldcueps">#REF!</definedName>
    <definedName name="oppro" localSheetId="7">#REF!</definedName>
    <definedName name="oppro" localSheetId="8">#REF!</definedName>
    <definedName name="oppro">#REF!</definedName>
    <definedName name="opprofit" localSheetId="7">#REF!</definedName>
    <definedName name="opprofit" localSheetId="8">#REF!</definedName>
    <definedName name="opprofit">#REF!</definedName>
    <definedName name="Oss">#REF!</definedName>
    <definedName name="Other_Long_Term_Liabilities">#REF!</definedName>
    <definedName name="Otherinc">#REF!</definedName>
    <definedName name="Otherop">#REF!</definedName>
    <definedName name="Otheropcf">#REF!</definedName>
    <definedName name="ownwork">#REF!</definedName>
    <definedName name="pakistan">#REF!</definedName>
    <definedName name="pbt">#REF!</definedName>
    <definedName name="Period">[5]Front!$E$12</definedName>
    <definedName name="Peru" localSheetId="7">#REF!</definedName>
    <definedName name="Peru" localSheetId="6">#REF!</definedName>
    <definedName name="Peru" localSheetId="8">#REF!</definedName>
    <definedName name="Peru">#REF!</definedName>
    <definedName name="_xlnm.Print_Area">#N/A</definedName>
    <definedName name="_xlnm.Print_Titles">#N/A</definedName>
    <definedName name="proforma" localSheetId="7">[14]proforma!#REF!</definedName>
    <definedName name="proforma" localSheetId="6">[14]proforma!#REF!</definedName>
    <definedName name="proforma" localSheetId="8">[14]proforma!#REF!</definedName>
    <definedName name="proforma">[14]proforma!#REF!</definedName>
    <definedName name="ProjectName" localSheetId="7">{"Client Name or Project Name"}</definedName>
    <definedName name="ProjectName" localSheetId="6">{"Client Name or Project Name"}</definedName>
    <definedName name="ProjectName" localSheetId="8">{"Client Name or Project Name"}</definedName>
    <definedName name="ProjectName">{"Client Name or Project Name"}</definedName>
    <definedName name="PT_Portugal_fixed_export">#REF!</definedName>
    <definedName name="PT_Portugal_mobile_export">#REF!</definedName>
    <definedName name="Purchase_of_tangible_fixed_assets">#REF!</definedName>
    <definedName name="purfai">#REF!</definedName>
    <definedName name="pursub">#REF!</definedName>
    <definedName name="purtfa">#REF!</definedName>
    <definedName name="Q1.1996.06">#REF!</definedName>
    <definedName name="Q2.1996.09">#REF!</definedName>
    <definedName name="Q3.1996.12">#REF!</definedName>
    <definedName name="RapportTyp">#REF!</definedName>
    <definedName name="Redundancy">#REF!</definedName>
    <definedName name="res_2002">#REF!</definedName>
    <definedName name="res_2002_a">#REF!</definedName>
    <definedName name="Revenue">#REF!</definedName>
    <definedName name="RevFixed_05">[15]TPSA_Model!$O$468</definedName>
    <definedName name="Russia_telenor_fixed_export" localSheetId="7">#REF!</definedName>
    <definedName name="Russia_telenor_fixed_export" localSheetId="6">#REF!</definedName>
    <definedName name="Russia_telenor_fixed_export" localSheetId="8">#REF!</definedName>
    <definedName name="Russia_telenor_fixed_export">#REF!</definedName>
    <definedName name="salefa" localSheetId="7">#REF!</definedName>
    <definedName name="salefa" localSheetId="6">#REF!</definedName>
    <definedName name="salefa" localSheetId="8">#REF!</definedName>
    <definedName name="salefa">#REF!</definedName>
    <definedName name="SecretArchiveNumber" hidden="1">1</definedName>
    <definedName name="sencount" hidden="1">1</definedName>
    <definedName name="sharecap" localSheetId="7">#REF!</definedName>
    <definedName name="sharecap" localSheetId="6">#REF!</definedName>
    <definedName name="sharecap" localSheetId="8">#REF!</definedName>
    <definedName name="sharecap">#REF!</definedName>
    <definedName name="Staff">#REF!</definedName>
    <definedName name="staffcosts">#REF!</definedName>
    <definedName name="std">#REF!</definedName>
    <definedName name="stocks">#REF!</definedName>
    <definedName name="Sweden_Telenor_fixed_export">#REF!</definedName>
    <definedName name="sweden_telenor_mobile_export">#REF!</definedName>
    <definedName name="Tangible_Fixed_Assets">#REF!</definedName>
    <definedName name="tax">#REF!</definedName>
    <definedName name="taxpaid">#REF!</definedName>
    <definedName name="telcopay">#REF!</definedName>
    <definedName name="Telenor_Norway_Fixed_Export">#REF!</definedName>
    <definedName name="telenor_norway_mobile_export">#REF!</definedName>
    <definedName name="Telenor_Russia_fixed_export">#REF!</definedName>
    <definedName name="Telesp">#REF!</definedName>
    <definedName name="TELKOM_LISBON" localSheetId="7">#REF!</definedName>
    <definedName name="TELKOM_LISBON" localSheetId="8">#REF!</definedName>
    <definedName name="TELKOM_LISBON">#REF!</definedName>
    <definedName name="Template.WIRE">"DBACCESS"</definedName>
    <definedName name="test">#REF!</definedName>
    <definedName name="tfa" localSheetId="6">#REF!</definedName>
    <definedName name="tfa">#REF!</definedName>
    <definedName name="Total_lines" localSheetId="6">#REF!</definedName>
    <definedName name="Total_lines">#REF!</definedName>
    <definedName name="Trace">FALSE</definedName>
    <definedName name="Transaction_Type">[5]Front!$E$20</definedName>
    <definedName name="UK_population__ms" localSheetId="7">#REF!</definedName>
    <definedName name="UK_population__ms" localSheetId="6">#REF!</definedName>
    <definedName name="UK_population__ms" localSheetId="8">#REF!</definedName>
    <definedName name="UK_population__ms">#REF!</definedName>
    <definedName name="Ukraine_telenor_mobile_export" localSheetId="7">#REF!</definedName>
    <definedName name="Ukraine_telenor_mobile_export" localSheetId="6">#REF!</definedName>
    <definedName name="Ukraine_telenor_mobile_export" localSheetId="8">#REF!</definedName>
    <definedName name="Ukraine_telenor_mobile_export">#REF!</definedName>
    <definedName name="unadjusted" localSheetId="7">#REF!</definedName>
    <definedName name="unadjusted" localSheetId="8">#REF!</definedName>
    <definedName name="unadjusted">#REF!</definedName>
    <definedName name="UpgradeVersion">"v2.35"</definedName>
    <definedName name="Version.WIRE">1</definedName>
    <definedName name="vis_måned">[12]Grunndata!$A$3:$B$14</definedName>
    <definedName name="Workbook.Author" localSheetId="7">[13]Contents!$B$14</definedName>
    <definedName name="Workbook.Author" localSheetId="6">#REF!</definedName>
    <definedName name="Workbook.Author" localSheetId="8">[13]Contents!$B$14</definedName>
    <definedName name="Workbook.Author">#REF!</definedName>
    <definedName name="Workbook.Authors_Email_Address" localSheetId="7">[13]Contents!$B$15</definedName>
    <definedName name="Workbook.Authors_Email_Address" localSheetId="6">#REF!</definedName>
    <definedName name="Workbook.Authors_Email_Address" localSheetId="8">[13]Contents!$B$15</definedName>
    <definedName name="Workbook.Authors_Email_Address">#REF!</definedName>
    <definedName name="Workbook.Objective" localSheetId="7">[13]Contents!$B$6</definedName>
    <definedName name="Workbook.Objective" localSheetId="6">#REF!</definedName>
    <definedName name="Workbook.Objective" localSheetId="8">[13]Contents!$B$6</definedName>
    <definedName name="Workbook.Objective">#REF!</definedName>
    <definedName name="Workbook.Status" localSheetId="7">[13]Contents!$B$9</definedName>
    <definedName name="Workbook.Status" localSheetId="6">#REF!</definedName>
    <definedName name="Workbook.Status" localSheetId="8">[13]Contents!$B$9</definedName>
    <definedName name="Workbook.Status">#REF!</definedName>
    <definedName name="Workbook.Title" localSheetId="7">[13]Contents!$B$5</definedName>
    <definedName name="Workbook.Title" localSheetId="6">#REF!</definedName>
    <definedName name="Workbook.Title" localSheetId="8">[13]Contents!$B$5</definedName>
    <definedName name="Workbook.Title">#REF!</definedName>
    <definedName name="Workbook.Version" localSheetId="7">[13]Contents!$B$8</definedName>
    <definedName name="Workbook.Version" localSheetId="6">#REF!</definedName>
    <definedName name="Workbook.Version" localSheetId="8">[13]Contents!$B$8</definedName>
    <definedName name="Workbook.Version">#REF!</definedName>
    <definedName name="wrn.mobile." localSheetId="10" hidden="1">{#N/A,#N/A,FALSE,"Denmark";#N/A,#N/A,FALSE,"Denmark"}</definedName>
    <definedName name="wrn.mobile." localSheetId="3" hidden="1">{#N/A,#N/A,FALSE,"Denmark";#N/A,#N/A,FALSE,"Denmark"}</definedName>
    <definedName name="wrn.mobile." hidden="1">{#N/A,#N/A,FALSE,"Denmark";#N/A,#N/A,FALSE,"Denmark"}</definedName>
    <definedName name="wrn.PandL." localSheetId="6" hidden="1">{"P&amp;L",#N/A,FALSE,"annual"}</definedName>
    <definedName name="wrn.PandL." localSheetId="10" hidden="1">{"P&amp;L",#N/A,FALSE,"annual"}</definedName>
    <definedName name="wrn.PandL." localSheetId="3" hidden="1">{"P&amp;L",#N/A,FALSE,"annual"}</definedName>
    <definedName name="wrn.PandL." hidden="1">{"P&amp;L",#N/A,FALSE,"annual"}</definedName>
    <definedName name="wrn.Vodafone._.printout." localSheetId="7" hidden="1">{"Groupannual",#N/A,FALSE,"Groupannual";"VodMann",#N/A,FALSE,"VodMann";"Data",#N/A,FALSE,"Data";"Group International",#N/A,FALSE,"Group International";"BellAir",#N/A,FALSE,"BellAir";"DCF sum of parts",#N/A,FALSE,"DCF sum of parts";"licences",#N/A,FALSE,"licences"}</definedName>
    <definedName name="wrn.Vodafone._.printout." localSheetId="6" hidden="1">{"Groupannual",#N/A,FALSE,"Groupannual";"VodMann",#N/A,FALSE,"VodMann";"Data",#N/A,FALSE,"Data";"Group International",#N/A,FALSE,"Group International";"BellAir",#N/A,FALSE,"BellAir";"DCF sum of parts",#N/A,FALSE,"DCF sum of parts";"licences",#N/A,FALSE,"licences"}</definedName>
    <definedName name="wrn.Vodafone._.printout." localSheetId="10" hidden="1">{"Groupannual",#N/A,FALSE,"Groupannual";"VodMann",#N/A,FALSE,"VodMann";"Data",#N/A,FALSE,"Data";"Group International",#N/A,FALSE,"Group International";"BellAir",#N/A,FALSE,"BellAir";"DCF sum of parts",#N/A,FALSE,"DCF sum of parts";"licences",#N/A,FALSE,"licences"}</definedName>
    <definedName name="wrn.Vodafone._.printout." localSheetId="3" hidden="1">{"Groupannual",#N/A,FALSE,"Groupannual";"VodMann",#N/A,FALSE,"VodMann";"Data",#N/A,FALSE,"Data";"Group International",#N/A,FALSE,"Group International";"BellAir",#N/A,FALSE,"BellAir";"DCF sum of parts",#N/A,FALSE,"DCF sum of parts";"licences",#N/A,FALSE,"licences"}</definedName>
    <definedName name="wrn.Vodafone._.printout." localSheetId="8" hidden="1">{"Groupannual",#N/A,FALSE,"Groupannual";"VodMann",#N/A,FALSE,"VodMann";"Data",#N/A,FALSE,"Data";"Group International",#N/A,FALSE,"Group International";"BellAir",#N/A,FALSE,"BellAir";"DCF sum of parts",#N/A,FALSE,"DCF sum of parts";"licences",#N/A,FALSE,"licences"}</definedName>
    <definedName name="wrn.Vodafone._.printout." hidden="1">{"Groupannual",#N/A,FALSE,"Groupannual";"VodMann",#N/A,FALSE,"VodMann";"Data",#N/A,FALSE,"Data";"Group International",#N/A,FALSE,"Group International";"BellAir",#N/A,FALSE,"BellAir";"DCF sum of parts",#N/A,FALSE,"DCF sum of parts";"licences",#N/A,FALSE,"licences"}</definedName>
    <definedName name="Year_ending_March" localSheetId="6">#REF!</definedName>
    <definedName name="Year_ending_March">#REF!</definedName>
    <definedName name="years" localSheetId="6">#REF!</definedName>
    <definedName name="years">#REF!</definedName>
    <definedName name="Yellow" localSheetId="6">#REF!</definedName>
    <definedName name="Yellow">#REF!</definedName>
  </definedNames>
  <calcPr calcId="191029" iterate="1"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4" l="1" a="1"/>
  <c r="C52" i="4" l="1"/>
  <c r="C51" i="4" a="1"/>
  <c r="C51" i="4" l="1"/>
  <c r="BY59" i="7"/>
  <c r="BY60" i="7"/>
  <c r="BY61" i="7"/>
  <c r="BY37" i="7"/>
  <c r="BY39" i="7"/>
  <c r="BY43" i="7"/>
  <c r="BY49" i="7"/>
  <c r="BY17" i="7"/>
  <c r="BY18" i="7"/>
  <c r="AS7" i="19"/>
  <c r="AR7" i="19"/>
  <c r="AQ7" i="19"/>
  <c r="AP7" i="19"/>
  <c r="AO7" i="19"/>
  <c r="AN7" i="19"/>
  <c r="AM7" i="19"/>
  <c r="AL7" i="19"/>
  <c r="AK7" i="19"/>
  <c r="AJ7" i="19"/>
  <c r="AI7" i="19"/>
  <c r="AH7" i="19"/>
  <c r="AG7" i="19"/>
  <c r="AF7" i="19"/>
  <c r="AE7" i="19"/>
  <c r="AD7" i="19"/>
  <c r="AC7" i="19"/>
  <c r="AB7" i="19"/>
  <c r="AA7" i="19"/>
  <c r="Z7" i="19"/>
  <c r="Y7" i="19"/>
  <c r="X7" i="19"/>
  <c r="W7" i="19"/>
  <c r="V7" i="19"/>
  <c r="U7" i="19"/>
  <c r="T7" i="19"/>
  <c r="S7" i="19"/>
  <c r="R7" i="19"/>
  <c r="Q7" i="19"/>
  <c r="P7" i="19"/>
  <c r="O7" i="19"/>
  <c r="N7" i="19"/>
  <c r="M7" i="19"/>
  <c r="L7" i="19"/>
  <c r="K7" i="19"/>
  <c r="J7" i="19"/>
  <c r="I7" i="19"/>
  <c r="H7" i="19"/>
  <c r="G7" i="19"/>
  <c r="F7" i="19"/>
  <c r="E7" i="19"/>
  <c r="D7" i="19"/>
  <c r="BM464" i="1"/>
  <c r="BL464" i="1"/>
  <c r="BG464" i="1"/>
  <c r="CK437" i="1"/>
  <c r="CF437" i="1"/>
  <c r="CA437" i="1"/>
  <c r="BV437" i="1"/>
  <c r="BQ437" i="1"/>
  <c r="BB437" i="1"/>
  <c r="AW437" i="1"/>
  <c r="AU437" i="1"/>
  <c r="AT437" i="1"/>
  <c r="AS437" i="1"/>
  <c r="AR437" i="1"/>
  <c r="CM428" i="1"/>
  <c r="CL428" i="1"/>
  <c r="CK428" i="1"/>
  <c r="CI428" i="1"/>
  <c r="CH428" i="1"/>
  <c r="CG428" i="1"/>
  <c r="CF428" i="1"/>
  <c r="CD428" i="1"/>
  <c r="CC428" i="1"/>
  <c r="CB428" i="1"/>
  <c r="CA428" i="1"/>
  <c r="BY428" i="1"/>
  <c r="BX428" i="1"/>
  <c r="BW428" i="1"/>
  <c r="BV428" i="1"/>
  <c r="BT428" i="1"/>
  <c r="BS428" i="1"/>
  <c r="BR428" i="1"/>
  <c r="BQ428" i="1"/>
  <c r="BL428" i="1"/>
  <c r="BJ428" i="1"/>
  <c r="BI428" i="1"/>
  <c r="BG428" i="1"/>
  <c r="BE428" i="1"/>
  <c r="BD428" i="1"/>
  <c r="BB428" i="1"/>
  <c r="CK407" i="1"/>
  <c r="CF407" i="1"/>
  <c r="CA407" i="1"/>
  <c r="BV407" i="1"/>
  <c r="BQ407" i="1"/>
  <c r="BM407" i="1"/>
  <c r="BL407" i="1"/>
  <c r="BJ407" i="1"/>
  <c r="BH407" i="1"/>
  <c r="BG407" i="1"/>
  <c r="BB407" i="1"/>
  <c r="AW407" i="1"/>
  <c r="CK403" i="1"/>
  <c r="CF403" i="1"/>
  <c r="CA403" i="1"/>
  <c r="BV403" i="1"/>
  <c r="BQ403" i="1"/>
  <c r="BM403" i="1"/>
  <c r="BL403" i="1"/>
  <c r="BJ403" i="1"/>
  <c r="BH403" i="1"/>
  <c r="BG403" i="1"/>
  <c r="BB403" i="1"/>
  <c r="AW403" i="1"/>
  <c r="CK399" i="1"/>
  <c r="CF399" i="1"/>
  <c r="CA399" i="1"/>
  <c r="BV399" i="1"/>
  <c r="BQ399" i="1"/>
  <c r="BM399" i="1"/>
  <c r="BL399" i="1"/>
  <c r="BJ399" i="1"/>
  <c r="BH399" i="1"/>
  <c r="BG399" i="1"/>
  <c r="BB399" i="1"/>
  <c r="AW399" i="1"/>
  <c r="CK395" i="1"/>
  <c r="CF395" i="1"/>
  <c r="CA395" i="1"/>
  <c r="BV395" i="1"/>
  <c r="BQ395" i="1"/>
  <c r="BM395" i="1"/>
  <c r="BL395" i="1"/>
  <c r="BJ395" i="1"/>
  <c r="BH395" i="1"/>
  <c r="BG395" i="1"/>
  <c r="BB395" i="1"/>
  <c r="AW395" i="1"/>
  <c r="CK390" i="1"/>
  <c r="CF390" i="1"/>
  <c r="CA390" i="1"/>
  <c r="BV390" i="1"/>
  <c r="BQ390" i="1"/>
  <c r="BM390" i="1"/>
  <c r="BL390" i="1"/>
  <c r="BJ390" i="1"/>
  <c r="BH390" i="1"/>
  <c r="BG390" i="1"/>
  <c r="BB390" i="1"/>
  <c r="AW390" i="1"/>
  <c r="CB314" i="1"/>
  <c r="CA314" i="1"/>
  <c r="BY314" i="1"/>
  <c r="BX314" i="1"/>
  <c r="BW314" i="1"/>
  <c r="BV314" i="1"/>
  <c r="BT314" i="1"/>
  <c r="BS314" i="1"/>
  <c r="BR314" i="1"/>
  <c r="BQ314" i="1"/>
  <c r="BO314" i="1"/>
  <c r="BN314" i="1"/>
  <c r="BM314" i="1"/>
  <c r="BL314" i="1"/>
  <c r="BJ314" i="1"/>
  <c r="BI314" i="1"/>
  <c r="BH314" i="1"/>
  <c r="BG314" i="1"/>
  <c r="BE314" i="1"/>
  <c r="BD314" i="1"/>
  <c r="BC314" i="1"/>
  <c r="BB314" i="1"/>
  <c r="AZ314" i="1"/>
  <c r="AY314" i="1"/>
  <c r="AX314" i="1"/>
  <c r="AW314" i="1"/>
  <c r="AU314" i="1"/>
  <c r="AT314" i="1"/>
  <c r="AS314" i="1"/>
  <c r="AR314" i="1"/>
  <c r="AP314" i="1"/>
  <c r="AO314" i="1"/>
  <c r="AN314" i="1"/>
  <c r="AM314" i="1"/>
  <c r="AK314" i="1"/>
  <c r="AJ314" i="1"/>
  <c r="AI314" i="1"/>
  <c r="AH314" i="1"/>
  <c r="AF314" i="1"/>
  <c r="AE314" i="1"/>
  <c r="AD314" i="1"/>
  <c r="AC314" i="1"/>
  <c r="CK310" i="1"/>
  <c r="CF310" i="1"/>
  <c r="CB310" i="1"/>
  <c r="CA310" i="1"/>
  <c r="BY310" i="1"/>
  <c r="BX310" i="1"/>
  <c r="BW310" i="1"/>
  <c r="BV310" i="1"/>
  <c r="BT310" i="1"/>
  <c r="BS310" i="1"/>
  <c r="BR310" i="1"/>
  <c r="BQ310" i="1"/>
  <c r="BO310" i="1"/>
  <c r="BN310" i="1"/>
  <c r="BM310" i="1"/>
  <c r="BL310" i="1"/>
  <c r="BJ310" i="1"/>
  <c r="BI310" i="1"/>
  <c r="BH310" i="1"/>
  <c r="BG310" i="1"/>
  <c r="CF291" i="1"/>
  <c r="CD291" i="1"/>
  <c r="CC291" i="1"/>
  <c r="CB291" i="1"/>
  <c r="CA291" i="1"/>
  <c r="BY291" i="1"/>
  <c r="BX291" i="1"/>
  <c r="BW291" i="1"/>
  <c r="BV291" i="1"/>
  <c r="BT291" i="1"/>
  <c r="BS291" i="1"/>
  <c r="BR291" i="1"/>
  <c r="CM290" i="1"/>
  <c r="CL290" i="1"/>
  <c r="CK290" i="1"/>
  <c r="CI290" i="1"/>
  <c r="CH290" i="1"/>
  <c r="CM297" i="1" s="1"/>
  <c r="CF290" i="1"/>
  <c r="CD290" i="1"/>
  <c r="CC290" i="1"/>
  <c r="CB290" i="1"/>
  <c r="CA290" i="1"/>
  <c r="BY290" i="1"/>
  <c r="BX290" i="1"/>
  <c r="BW290" i="1"/>
  <c r="BV290" i="1"/>
  <c r="BT290" i="1"/>
  <c r="BS290" i="1"/>
  <c r="BR290" i="1"/>
  <c r="BO290" i="1"/>
  <c r="BN290" i="1"/>
  <c r="BM290" i="1"/>
  <c r="BL290" i="1"/>
  <c r="BJ290" i="1"/>
  <c r="BI290" i="1"/>
  <c r="BH290" i="1"/>
  <c r="BG290" i="1"/>
  <c r="BE290" i="1"/>
  <c r="BB290" i="1"/>
  <c r="AZ290" i="1"/>
  <c r="AY290" i="1"/>
  <c r="AX290" i="1"/>
  <c r="AW290" i="1"/>
  <c r="AU290" i="1"/>
  <c r="AT290" i="1"/>
  <c r="AS290" i="1"/>
  <c r="AR290" i="1"/>
  <c r="AP290" i="1"/>
  <c r="AO290" i="1"/>
  <c r="AN290" i="1"/>
  <c r="AM290" i="1"/>
  <c r="AK290" i="1"/>
  <c r="AJ290" i="1"/>
  <c r="AI290" i="1"/>
  <c r="AH290" i="1"/>
  <c r="AF290" i="1"/>
  <c r="AE290" i="1"/>
  <c r="AD290" i="1"/>
  <c r="AC290" i="1"/>
  <c r="CM277" i="1"/>
  <c r="CM278" i="1" s="1"/>
  <c r="CL277" i="1"/>
  <c r="CI277" i="1"/>
  <c r="CH277" i="1"/>
  <c r="CD277" i="1"/>
  <c r="BV277" i="1"/>
  <c r="BT277" i="1"/>
  <c r="BS277" i="1"/>
  <c r="BR277" i="1"/>
  <c r="BQ277" i="1"/>
  <c r="BJ277" i="1"/>
  <c r="BI277" i="1"/>
  <c r="BH277" i="1"/>
  <c r="BG277" i="1"/>
  <c r="BE277" i="1"/>
  <c r="BB277" i="1"/>
  <c r="BG268" i="1"/>
  <c r="BB268" i="1"/>
  <c r="AW268" i="1"/>
  <c r="BG265" i="1"/>
  <c r="BV263" i="1"/>
  <c r="BQ263" i="1"/>
  <c r="BL263" i="1"/>
  <c r="BG263" i="1"/>
  <c r="BB263" i="1"/>
  <c r="AW263" i="1"/>
  <c r="BB262" i="1"/>
  <c r="AW262" i="1"/>
  <c r="BM257" i="1"/>
  <c r="BL257" i="1"/>
  <c r="BG257" i="1"/>
  <c r="CM248" i="1"/>
  <c r="BY9" i="7" s="1"/>
  <c r="BY22" i="7" s="1"/>
  <c r="CL248" i="1"/>
  <c r="CK248" i="1"/>
  <c r="CI248" i="1"/>
  <c r="CH248" i="1"/>
  <c r="CG248" i="1"/>
  <c r="CF248" i="1"/>
  <c r="CD248" i="1"/>
  <c r="CC248" i="1"/>
  <c r="CB248" i="1"/>
  <c r="CA248" i="1"/>
  <c r="BY248" i="1"/>
  <c r="BX248" i="1"/>
  <c r="BW248" i="1"/>
  <c r="BV248" i="1"/>
  <c r="BT248" i="1"/>
  <c r="BS248" i="1"/>
  <c r="BR248" i="1"/>
  <c r="BQ248" i="1"/>
  <c r="BL248" i="1"/>
  <c r="BJ248" i="1"/>
  <c r="BI248" i="1"/>
  <c r="BG248" i="1"/>
  <c r="BE248" i="1"/>
  <c r="BD248" i="1"/>
  <c r="BB248" i="1"/>
  <c r="CB225" i="1"/>
  <c r="CA225" i="1"/>
  <c r="BY225" i="1"/>
  <c r="BX225" i="1"/>
  <c r="BW225" i="1"/>
  <c r="BV225" i="1"/>
  <c r="AW224" i="1"/>
  <c r="CF222" i="1"/>
  <c r="CD222" i="1"/>
  <c r="CC222" i="1"/>
  <c r="CB222" i="1"/>
  <c r="CA222" i="1"/>
  <c r="BY222" i="1"/>
  <c r="BX222" i="1"/>
  <c r="BW222" i="1"/>
  <c r="BV222" i="1"/>
  <c r="AW222" i="1"/>
  <c r="CM219" i="1"/>
  <c r="CL219" i="1"/>
  <c r="BQ219" i="1"/>
  <c r="BM219" i="1"/>
  <c r="BL219" i="1"/>
  <c r="BI219" i="1"/>
  <c r="BH219" i="1"/>
  <c r="BG219" i="1"/>
  <c r="AW219" i="1"/>
  <c r="BT218" i="1"/>
  <c r="BS218" i="1"/>
  <c r="BR218" i="1"/>
  <c r="BQ218" i="1"/>
  <c r="BO218" i="1"/>
  <c r="BN218" i="1"/>
  <c r="BM218" i="1"/>
  <c r="BL218" i="1"/>
  <c r="BJ218" i="1"/>
  <c r="BI218" i="1"/>
  <c r="BH218" i="1"/>
  <c r="BG218" i="1"/>
  <c r="AW218" i="1"/>
  <c r="BT216" i="1"/>
  <c r="BS216" i="1"/>
  <c r="BR216" i="1"/>
  <c r="BQ216" i="1"/>
  <c r="BQ217" i="1" s="1"/>
  <c r="BJ216" i="1"/>
  <c r="BI216" i="1"/>
  <c r="BI217" i="1" s="1"/>
  <c r="BH216" i="1"/>
  <c r="BH217" i="1" s="1"/>
  <c r="BG216" i="1"/>
  <c r="BG217" i="1" s="1"/>
  <c r="BE216" i="1"/>
  <c r="BD216" i="1"/>
  <c r="BD217" i="1" s="1"/>
  <c r="BB216" i="1"/>
  <c r="BB217" i="1" s="1"/>
  <c r="AY216" i="1"/>
  <c r="AX216" i="1"/>
  <c r="AW216" i="1"/>
  <c r="AW217" i="1" s="1"/>
  <c r="AU216" i="1"/>
  <c r="AT216" i="1"/>
  <c r="AS216" i="1"/>
  <c r="CB208" i="1"/>
  <c r="CA208" i="1"/>
  <c r="BY208" i="1"/>
  <c r="BX208" i="1"/>
  <c r="BW208" i="1"/>
  <c r="BV208" i="1"/>
  <c r="BT208" i="1"/>
  <c r="BS208" i="1"/>
  <c r="BR208" i="1"/>
  <c r="BQ208" i="1"/>
  <c r="BO208" i="1"/>
  <c r="BN208" i="1"/>
  <c r="BM208" i="1"/>
  <c r="BL208" i="1"/>
  <c r="BJ208" i="1"/>
  <c r="BI208" i="1"/>
  <c r="BH208" i="1"/>
  <c r="BG208" i="1"/>
  <c r="BE208" i="1"/>
  <c r="BD208" i="1"/>
  <c r="BB208" i="1"/>
  <c r="AY208" i="1"/>
  <c r="CM200" i="1"/>
  <c r="CL200" i="1"/>
  <c r="BT200" i="1"/>
  <c r="BS200" i="1"/>
  <c r="BR200" i="1"/>
  <c r="BQ200" i="1"/>
  <c r="BO200" i="1"/>
  <c r="BN200" i="1"/>
  <c r="BM200" i="1"/>
  <c r="BL200" i="1"/>
  <c r="BJ200" i="1"/>
  <c r="BI200" i="1"/>
  <c r="BH200" i="1"/>
  <c r="BG200" i="1"/>
  <c r="AW200" i="1"/>
  <c r="AR200" i="1"/>
  <c r="CG185" i="1"/>
  <c r="CF185" i="1"/>
  <c r="CD185" i="1"/>
  <c r="CC185" i="1"/>
  <c r="CB185" i="1"/>
  <c r="CA185" i="1"/>
  <c r="BY185" i="1"/>
  <c r="BX185" i="1"/>
  <c r="BW185" i="1"/>
  <c r="BV185" i="1"/>
  <c r="CM180" i="1"/>
  <c r="BY71" i="7" s="1"/>
  <c r="CL180" i="1"/>
  <c r="CK180" i="1"/>
  <c r="CI180" i="1"/>
  <c r="CH180" i="1"/>
  <c r="CG180" i="1"/>
  <c r="CF180" i="1"/>
  <c r="CD180" i="1"/>
  <c r="CC180" i="1"/>
  <c r="CB180" i="1"/>
  <c r="CA180" i="1"/>
  <c r="BY180" i="1"/>
  <c r="BX180" i="1"/>
  <c r="BW180" i="1"/>
  <c r="BV180" i="1"/>
  <c r="BX61" i="7"/>
  <c r="BW61" i="7"/>
  <c r="BV61" i="7"/>
  <c r="BU61" i="7"/>
  <c r="BT61" i="7"/>
  <c r="BS61" i="7"/>
  <c r="BR61" i="7"/>
  <c r="BQ61" i="7"/>
  <c r="BP61" i="7"/>
  <c r="BO61" i="7"/>
  <c r="BN61" i="7"/>
  <c r="BM61" i="7"/>
  <c r="BL61" i="7"/>
  <c r="BK61" i="7"/>
  <c r="BJ61" i="7"/>
  <c r="BI61" i="7"/>
  <c r="BH61" i="7"/>
  <c r="BG61" i="7"/>
  <c r="BF61" i="7"/>
  <c r="BE61" i="7"/>
  <c r="BD61" i="7"/>
  <c r="BC61" i="7"/>
  <c r="BB61" i="7"/>
  <c r="BA61" i="7"/>
  <c r="AZ61" i="7"/>
  <c r="AY61" i="7"/>
  <c r="AX61" i="7"/>
  <c r="AW61" i="7"/>
  <c r="AV61" i="7"/>
  <c r="AU61" i="7"/>
  <c r="BX60" i="7"/>
  <c r="BW60" i="7"/>
  <c r="BV60" i="7"/>
  <c r="BU60" i="7"/>
  <c r="BT60" i="7"/>
  <c r="BS60" i="7"/>
  <c r="BR60" i="7"/>
  <c r="BQ60" i="7"/>
  <c r="BP60" i="7"/>
  <c r="BO60" i="7"/>
  <c r="BM60" i="7"/>
  <c r="BL60" i="7"/>
  <c r="BK60" i="7"/>
  <c r="BJ60" i="7"/>
  <c r="BI60" i="7"/>
  <c r="BH60" i="7"/>
  <c r="BG60" i="7"/>
  <c r="BF60" i="7"/>
  <c r="BE60" i="7"/>
  <c r="BD60" i="7"/>
  <c r="BC60" i="7"/>
  <c r="BB60" i="7"/>
  <c r="BA60" i="7"/>
  <c r="AZ60" i="7"/>
  <c r="AY60" i="7"/>
  <c r="AX60" i="7"/>
  <c r="AW60" i="7"/>
  <c r="AV60" i="7"/>
  <c r="AU60" i="7"/>
  <c r="BX59" i="7"/>
  <c r="BW59" i="7"/>
  <c r="BV59" i="7"/>
  <c r="BU59" i="7"/>
  <c r="BT59" i="7"/>
  <c r="BS59" i="7"/>
  <c r="BR59" i="7"/>
  <c r="BQ59" i="7"/>
  <c r="BP59" i="7"/>
  <c r="BO59" i="7"/>
  <c r="BN59" i="7"/>
  <c r="BM59" i="7"/>
  <c r="BL59" i="7"/>
  <c r="BK59" i="7"/>
  <c r="BJ59" i="7"/>
  <c r="BI59" i="7"/>
  <c r="BH59" i="7"/>
  <c r="BG59" i="7"/>
  <c r="BF59" i="7"/>
  <c r="BE59" i="7"/>
  <c r="BD59" i="7"/>
  <c r="BC59" i="7"/>
  <c r="BB59" i="7"/>
  <c r="BA59" i="7"/>
  <c r="AZ59" i="7"/>
  <c r="AY59" i="7"/>
  <c r="AX59" i="7"/>
  <c r="AW59" i="7"/>
  <c r="AV59" i="7"/>
  <c r="AU59" i="7"/>
  <c r="BE172" i="1"/>
  <c r="BD172" i="1"/>
  <c r="BC172" i="1"/>
  <c r="BB172" i="1"/>
  <c r="BJ167" i="1"/>
  <c r="BI167" i="1"/>
  <c r="BH167" i="1"/>
  <c r="BG167" i="1"/>
  <c r="BE167" i="1"/>
  <c r="BD167" i="1"/>
  <c r="BC167" i="1"/>
  <c r="BB167" i="1"/>
  <c r="AZ165" i="1"/>
  <c r="AY165" i="1"/>
  <c r="AX165" i="1"/>
  <c r="CM158" i="1"/>
  <c r="BY40" i="7" s="1"/>
  <c r="CL158" i="1"/>
  <c r="CK158" i="1"/>
  <c r="CI158" i="1"/>
  <c r="CH158" i="1"/>
  <c r="CG158" i="1"/>
  <c r="CF158" i="1"/>
  <c r="CD158" i="1"/>
  <c r="CC158" i="1"/>
  <c r="CB158" i="1"/>
  <c r="CA158" i="1"/>
  <c r="BY158" i="1"/>
  <c r="BX158" i="1"/>
  <c r="BW158" i="1"/>
  <c r="BV158" i="1"/>
  <c r="BT158" i="1"/>
  <c r="BS158" i="1"/>
  <c r="BR158" i="1"/>
  <c r="BQ158" i="1"/>
  <c r="BO158" i="1"/>
  <c r="BN158" i="1"/>
  <c r="BM158" i="1"/>
  <c r="BL158" i="1"/>
  <c r="BJ158" i="1"/>
  <c r="BG158" i="1"/>
  <c r="BE158" i="1"/>
  <c r="BB158" i="1"/>
  <c r="AW158" i="1"/>
  <c r="BN96" i="1"/>
  <c r="BM96" i="1"/>
  <c r="BL96" i="1"/>
  <c r="BJ96" i="1"/>
  <c r="BI96" i="1"/>
  <c r="BH96" i="1"/>
  <c r="BG96" i="1"/>
  <c r="BE96" i="1"/>
  <c r="BD96" i="1"/>
  <c r="BC96" i="1"/>
  <c r="BB96" i="1"/>
  <c r="AY96" i="1"/>
  <c r="AX96" i="1"/>
  <c r="AW96" i="1"/>
  <c r="CM89" i="1"/>
  <c r="CM90" i="1" s="1"/>
  <c r="CM324" i="1" s="1"/>
  <c r="CL89" i="1"/>
  <c r="CK89" i="1"/>
  <c r="CI89" i="1"/>
  <c r="CH89" i="1"/>
  <c r="CG89" i="1"/>
  <c r="CF89" i="1"/>
  <c r="CD89" i="1"/>
  <c r="CC89" i="1"/>
  <c r="CB89" i="1"/>
  <c r="CA89" i="1"/>
  <c r="BY89" i="1"/>
  <c r="BX89" i="1"/>
  <c r="BW89" i="1"/>
  <c r="BV89" i="1"/>
  <c r="BT89" i="1"/>
  <c r="BS89" i="1"/>
  <c r="BR89" i="1"/>
  <c r="BQ89" i="1"/>
  <c r="BO89" i="1"/>
  <c r="BN89" i="1"/>
  <c r="BM89" i="1"/>
  <c r="BL89" i="1"/>
  <c r="BJ89" i="1"/>
  <c r="BI89" i="1"/>
  <c r="BH89" i="1"/>
  <c r="BG89" i="1"/>
  <c r="BE89" i="1"/>
  <c r="BD89" i="1"/>
  <c r="BC89" i="1"/>
  <c r="BB89" i="1"/>
  <c r="CM82" i="1"/>
  <c r="CL82" i="1"/>
  <c r="CK82" i="1"/>
  <c r="CI82" i="1"/>
  <c r="CH82" i="1"/>
  <c r="CG82" i="1"/>
  <c r="CF82" i="1"/>
  <c r="CD82" i="1"/>
  <c r="CC82" i="1"/>
  <c r="CB82" i="1"/>
  <c r="CA82" i="1"/>
  <c r="BY82" i="1"/>
  <c r="BX82" i="1"/>
  <c r="BW82" i="1"/>
  <c r="BV82" i="1"/>
  <c r="BT82" i="1"/>
  <c r="BS82" i="1"/>
  <c r="BR82" i="1"/>
  <c r="BQ82" i="1"/>
  <c r="BO82" i="1"/>
  <c r="BN82" i="1"/>
  <c r="BM82" i="1"/>
  <c r="BL82" i="1"/>
  <c r="BJ82" i="1"/>
  <c r="BI82" i="1"/>
  <c r="BH82" i="1"/>
  <c r="BG82" i="1"/>
  <c r="BE82" i="1"/>
  <c r="BD82" i="1"/>
  <c r="BC82" i="1"/>
  <c r="BB82" i="1"/>
  <c r="AZ82" i="1"/>
  <c r="AY82" i="1"/>
  <c r="AX82" i="1"/>
  <c r="AW82" i="1"/>
  <c r="AU82" i="1"/>
  <c r="AT82" i="1"/>
  <c r="AS82" i="1"/>
  <c r="AR82" i="1"/>
  <c r="AP82" i="1"/>
  <c r="AO82" i="1"/>
  <c r="AN82" i="1"/>
  <c r="AM82" i="1"/>
  <c r="AK82" i="1"/>
  <c r="AJ82" i="1"/>
  <c r="AI82" i="1"/>
  <c r="AH82" i="1"/>
  <c r="AF82" i="1"/>
  <c r="AE82" i="1"/>
  <c r="AC82" i="1"/>
  <c r="BX17" i="7"/>
  <c r="BW17" i="7"/>
  <c r="BV17" i="7"/>
  <c r="BU17" i="7"/>
  <c r="BT17" i="7"/>
  <c r="BS17" i="7"/>
  <c r="BR17" i="7"/>
  <c r="BQ17" i="7"/>
  <c r="BP17" i="7"/>
  <c r="BO17" i="7"/>
  <c r="BN17" i="7"/>
  <c r="BM17" i="7"/>
  <c r="BL17" i="7"/>
  <c r="BK17" i="7"/>
  <c r="BJ17" i="7"/>
  <c r="BI17" i="7"/>
  <c r="BH17" i="7"/>
  <c r="BG17" i="7"/>
  <c r="BF17" i="7"/>
  <c r="BE17" i="7"/>
  <c r="BD17" i="7"/>
  <c r="BC17" i="7"/>
  <c r="BB17" i="7"/>
  <c r="BA17" i="7"/>
  <c r="AZ17" i="7"/>
  <c r="AY17" i="7"/>
  <c r="AX17" i="7"/>
  <c r="AW17" i="7"/>
  <c r="AV17" i="7"/>
  <c r="AU17" i="7"/>
  <c r="AT17" i="7"/>
  <c r="AS17" i="7"/>
  <c r="AR17" i="7"/>
  <c r="AQ17" i="7"/>
  <c r="AP17" i="7"/>
  <c r="AO17" i="7"/>
  <c r="AN17" i="7"/>
  <c r="AM17" i="7"/>
  <c r="AL17" i="7"/>
  <c r="AK17" i="7"/>
  <c r="AJ17" i="7"/>
  <c r="AI17" i="7"/>
  <c r="AH17" i="7"/>
  <c r="AG17" i="7"/>
  <c r="AF17" i="7"/>
  <c r="AE17" i="7"/>
  <c r="AD17" i="7"/>
  <c r="AC17" i="7"/>
  <c r="AB17" i="7"/>
  <c r="AA17" i="7"/>
  <c r="CM281" i="1"/>
  <c r="CL281" i="1"/>
  <c r="CK281" i="1"/>
  <c r="CI281" i="1"/>
  <c r="CH281" i="1"/>
  <c r="CG281" i="1"/>
  <c r="CF281" i="1"/>
  <c r="CD281" i="1"/>
  <c r="CC281" i="1"/>
  <c r="CB281" i="1"/>
  <c r="CA281" i="1"/>
  <c r="CK27" i="1"/>
  <c r="CF27" i="1"/>
  <c r="CA27" i="1"/>
  <c r="BV27" i="1"/>
  <c r="BQ27" i="1"/>
  <c r="BL27" i="1"/>
  <c r="BJ27" i="1"/>
  <c r="BH27" i="1"/>
  <c r="BG27" i="1"/>
  <c r="BE27" i="1"/>
  <c r="BB27" i="1"/>
  <c r="AW27" i="1"/>
  <c r="CM74" i="1"/>
  <c r="CM80" i="1"/>
  <c r="CM83" i="1" s="1"/>
  <c r="CM319" i="1" s="1"/>
  <c r="CM87" i="1"/>
  <c r="CM132" i="1"/>
  <c r="CM318" i="1" s="1"/>
  <c r="CM134" i="1"/>
  <c r="CM136" i="1"/>
  <c r="BY38" i="7" s="1"/>
  <c r="CM186" i="1"/>
  <c r="CM12" i="1"/>
  <c r="CM249" i="1"/>
  <c r="CM253" i="1"/>
  <c r="CM263" i="1"/>
  <c r="CM323" i="1"/>
  <c r="CM451" i="1"/>
  <c r="BY62" i="7" l="1"/>
  <c r="CM75" i="1"/>
  <c r="BY19" i="7"/>
  <c r="CM159" i="1"/>
  <c r="CM161" i="1"/>
  <c r="BY57" i="7" s="1"/>
  <c r="BY16" i="7"/>
  <c r="CM181" i="1"/>
  <c r="BY33" i="7"/>
  <c r="CM76" i="1"/>
  <c r="CM77" i="1" s="1"/>
  <c r="BY42" i="7"/>
  <c r="CM81" i="1"/>
  <c r="CM188" i="1"/>
  <c r="CM321" i="1"/>
  <c r="CM305" i="1" s="1"/>
  <c r="CM316" i="1"/>
  <c r="CM16" i="1"/>
  <c r="CM429" i="1"/>
  <c r="CM283" i="1"/>
  <c r="CM88" i="1"/>
  <c r="CM229" i="1" l="1"/>
  <c r="CM228" i="1"/>
  <c r="CM304" i="1"/>
  <c r="CM208" i="1"/>
  <c r="CM311" i="1"/>
  <c r="BY50" i="7" l="1"/>
  <c r="BY47" i="7" s="1"/>
  <c r="BY51" i="7"/>
  <c r="BY48" i="7" s="1"/>
  <c r="CM96" i="1"/>
  <c r="BY41" i="7" s="1"/>
  <c r="CM174" i="1"/>
  <c r="CM233" i="1"/>
  <c r="CM291" i="1"/>
  <c r="CM222" i="1"/>
  <c r="CM223" i="1" s="1"/>
  <c r="CM172" i="1"/>
  <c r="BY46" i="7" s="1"/>
  <c r="CL437" i="1"/>
  <c r="CL407" i="1"/>
  <c r="CL403" i="1"/>
  <c r="CL399" i="1"/>
  <c r="CL395" i="1"/>
  <c r="CL390" i="1"/>
  <c r="CM171" i="1" l="1"/>
  <c r="BY45" i="7" s="1"/>
  <c r="CM53" i="1"/>
  <c r="CM165" i="1"/>
  <c r="BY44" i="7" s="1"/>
  <c r="CM190" i="1"/>
  <c r="CL310" i="1"/>
  <c r="CM292" i="1"/>
  <c r="CL27" i="1"/>
  <c r="CM310" i="1" l="1"/>
  <c r="CM232" i="1" s="1"/>
  <c r="CM403" i="1"/>
  <c r="CM27" i="1"/>
  <c r="BY11" i="7" s="1"/>
  <c r="CM42" i="1"/>
  <c r="CM57" i="1"/>
  <c r="CM399" i="1"/>
  <c r="CM395" i="1"/>
  <c r="CM437" i="1"/>
  <c r="CM407" i="1"/>
  <c r="BX18" i="7"/>
  <c r="CM390" i="1"/>
  <c r="CM307" i="1"/>
  <c r="CM313" i="1"/>
  <c r="BY35" i="7" l="1"/>
  <c r="BY24" i="7"/>
  <c r="CM330" i="1"/>
  <c r="CM235" i="1"/>
  <c r="CM289" i="1"/>
  <c r="CM312" i="1"/>
  <c r="CM328" i="1"/>
  <c r="CM306" i="1"/>
  <c r="CM230" i="1" s="1"/>
  <c r="CM231" i="1" s="1"/>
  <c r="CM234" i="1" s="1"/>
  <c r="CM236" i="1" s="1"/>
  <c r="CM244" i="1"/>
  <c r="CM439" i="1"/>
  <c r="CM252" i="1"/>
  <c r="CM254" i="1" s="1"/>
  <c r="CM256" i="1" s="1"/>
  <c r="CM241" i="1"/>
  <c r="CM243" i="1"/>
  <c r="CM268" i="1"/>
  <c r="BY23" i="7" s="1"/>
  <c r="CM393" i="1"/>
  <c r="CM240" i="1"/>
  <c r="CM411" i="1"/>
  <c r="CM464" i="1"/>
  <c r="CM257" i="1"/>
  <c r="CM31" i="1"/>
  <c r="CM35" i="1"/>
  <c r="BY12" i="7" s="1"/>
  <c r="CM314" i="1"/>
  <c r="CM225" i="1"/>
  <c r="CM242" i="1"/>
  <c r="CM224" i="1"/>
  <c r="CM294" i="1" l="1"/>
  <c r="CM293" i="1" s="1"/>
  <c r="BY7" i="7"/>
  <c r="CM259" i="1"/>
  <c r="CM5" i="1"/>
  <c r="CM413" i="1" s="1"/>
  <c r="CM250" i="1"/>
  <c r="CM279" i="1"/>
  <c r="CM245" i="1"/>
  <c r="CM246" i="1" s="1"/>
  <c r="CM447" i="1"/>
  <c r="CM455" i="1" s="1"/>
  <c r="CM419" i="1"/>
  <c r="CL96" i="1"/>
  <c r="CM94" i="1" s="1"/>
  <c r="CL311" i="1"/>
  <c r="CK96" i="1"/>
  <c r="CK208" i="1"/>
  <c r="CK268" i="1"/>
  <c r="CK313" i="1"/>
  <c r="CK311" i="1"/>
  <c r="CI96" i="1"/>
  <c r="CI208" i="1"/>
  <c r="CI311" i="1"/>
  <c r="BY30" i="7" l="1"/>
  <c r="BY8" i="7"/>
  <c r="CK464" i="1"/>
  <c r="CK257" i="1"/>
  <c r="CL262" i="1"/>
  <c r="CK262" i="1"/>
  <c r="CM8" i="1"/>
  <c r="CM14" i="1"/>
  <c r="CM28" i="1"/>
  <c r="CM408" i="1"/>
  <c r="CM391" i="1"/>
  <c r="CM404" i="1"/>
  <c r="CM400" i="1"/>
  <c r="CM396" i="1"/>
  <c r="CK219" i="1"/>
  <c r="CK200" i="1"/>
  <c r="CK277" i="1"/>
  <c r="CM423" i="1"/>
  <c r="CM421" i="1"/>
  <c r="CM425" i="1"/>
  <c r="CM426" i="1" s="1"/>
  <c r="CM442" i="1"/>
  <c r="CL314" i="1"/>
  <c r="CL225" i="1"/>
  <c r="CM430" i="1"/>
  <c r="CM459" i="1"/>
  <c r="CM431" i="1"/>
  <c r="CL208" i="1"/>
  <c r="CM465" i="1"/>
  <c r="CK291" i="1"/>
  <c r="CK222" i="1"/>
  <c r="CK314" i="1"/>
  <c r="CK225" i="1"/>
  <c r="CI291" i="1"/>
  <c r="CI222" i="1"/>
  <c r="CM97" i="1"/>
  <c r="CM95" i="1"/>
  <c r="CL172" i="1"/>
  <c r="CL268" i="1"/>
  <c r="CL224" i="1"/>
  <c r="BW18" i="7"/>
  <c r="CK307" i="1"/>
  <c r="CK172" i="1"/>
  <c r="CK265" i="1"/>
  <c r="CK224" i="1"/>
  <c r="CI172" i="1"/>
  <c r="BV18" i="7"/>
  <c r="CL291" i="1" l="1"/>
  <c r="CL222" i="1"/>
  <c r="CL464" i="1"/>
  <c r="CL257" i="1"/>
  <c r="CL307" i="1"/>
  <c r="CM443" i="1"/>
  <c r="CM445" i="1"/>
  <c r="CM203" i="1"/>
  <c r="CM205" i="1" s="1"/>
  <c r="CM138" i="1"/>
  <c r="CL313" i="1"/>
  <c r="CL265" i="1" l="1"/>
  <c r="CM262" i="1"/>
  <c r="BY26" i="7" s="1"/>
  <c r="BY28" i="7" s="1"/>
  <c r="CH291" i="1" l="1"/>
  <c r="CH222" i="1"/>
  <c r="CM265" i="1"/>
  <c r="CM266" i="1" s="1"/>
  <c r="CH208" i="1"/>
  <c r="CM209" i="1" s="1"/>
  <c r="CH96" i="1"/>
  <c r="CM98" i="1" s="1"/>
  <c r="CH172" i="1"/>
  <c r="BU18" i="7"/>
  <c r="CM271" i="1" l="1"/>
  <c r="BY10" i="7" s="1"/>
  <c r="BY34" i="7" s="1"/>
  <c r="CM269" i="1"/>
  <c r="CM298" i="1"/>
  <c r="CM326" i="1"/>
  <c r="CM275" i="1" l="1"/>
  <c r="CM20" i="1"/>
  <c r="CM22" i="1" s="1"/>
  <c r="CM282" i="1"/>
  <c r="CM285" i="1" s="1"/>
  <c r="CM273" i="1"/>
  <c r="CG27" i="1"/>
  <c r="CG407" i="1"/>
  <c r="CG403" i="1"/>
  <c r="CG399" i="1"/>
  <c r="CG395" i="1"/>
  <c r="CG390" i="1"/>
  <c r="CG290" i="1"/>
  <c r="CG310" i="1"/>
  <c r="CG96" i="1"/>
  <c r="D4" i="19"/>
  <c r="CF96" i="1"/>
  <c r="CF208" i="1"/>
  <c r="CF262" i="1"/>
  <c r="CF268" i="1"/>
  <c r="CF313" i="1"/>
  <c r="CF311" i="1"/>
  <c r="CD96" i="1"/>
  <c r="CD208" i="1"/>
  <c r="CC96" i="1"/>
  <c r="CC208" i="1"/>
  <c r="AT7" i="19"/>
  <c r="CC310" i="1"/>
  <c r="CF277" i="1" l="1"/>
  <c r="CG437" i="1"/>
  <c r="CF314" i="1"/>
  <c r="CF225" i="1"/>
  <c r="CF464" i="1"/>
  <c r="CF257" i="1"/>
  <c r="CF219" i="1"/>
  <c r="CF200" i="1"/>
  <c r="CH310" i="1"/>
  <c r="CH437" i="1"/>
  <c r="CH27" i="1"/>
  <c r="AU7" i="19"/>
  <c r="CD310" i="1"/>
  <c r="CF307" i="1"/>
  <c r="CG262" i="1"/>
  <c r="CG208" i="1"/>
  <c r="CG313" i="1"/>
  <c r="E4" i="19"/>
  <c r="D3" i="19"/>
  <c r="CG172" i="1"/>
  <c r="BT18" i="7"/>
  <c r="CG268" i="1"/>
  <c r="BS18" i="7"/>
  <c r="CF172" i="1"/>
  <c r="CF265" i="1"/>
  <c r="CF224" i="1"/>
  <c r="CD172" i="1"/>
  <c r="BR18" i="7"/>
  <c r="CC172" i="1"/>
  <c r="BQ18" i="7"/>
  <c r="CC313" i="1"/>
  <c r="AD291" i="1"/>
  <c r="AE291" i="1"/>
  <c r="AF291" i="1"/>
  <c r="AH291" i="1"/>
  <c r="AI291" i="1"/>
  <c r="AJ291" i="1"/>
  <c r="AK291" i="1"/>
  <c r="AM291" i="1"/>
  <c r="AN291" i="1"/>
  <c r="AO291" i="1"/>
  <c r="AP291" i="1"/>
  <c r="AR291" i="1"/>
  <c r="AS291" i="1"/>
  <c r="AT291" i="1"/>
  <c r="AU291" i="1"/>
  <c r="AW291" i="1"/>
  <c r="AX291" i="1"/>
  <c r="AY291" i="1"/>
  <c r="AZ291" i="1"/>
  <c r="AC291" i="1"/>
  <c r="BE291" i="1"/>
  <c r="BG291" i="1"/>
  <c r="BB291" i="1"/>
  <c r="BC290" i="1"/>
  <c r="BH291" i="1"/>
  <c r="BI291" i="1"/>
  <c r="BJ291" i="1"/>
  <c r="BL291" i="1"/>
  <c r="BM291" i="1"/>
  <c r="BN291" i="1"/>
  <c r="BO291" i="1"/>
  <c r="CH403" i="1" l="1"/>
  <c r="CG277" i="1"/>
  <c r="CG219" i="1"/>
  <c r="CG200" i="1"/>
  <c r="CH399" i="1"/>
  <c r="CG291" i="1"/>
  <c r="CG222" i="1"/>
  <c r="CG314" i="1"/>
  <c r="CG225" i="1"/>
  <c r="CH395" i="1"/>
  <c r="CM397" i="1" s="1"/>
  <c r="CA219" i="1"/>
  <c r="CA200" i="1"/>
  <c r="CH390" i="1"/>
  <c r="CM392" i="1" s="1"/>
  <c r="CH407" i="1"/>
  <c r="CM409" i="1" s="1"/>
  <c r="CG257" i="1"/>
  <c r="CG464" i="1"/>
  <c r="CI390" i="1"/>
  <c r="CI27" i="1"/>
  <c r="CI403" i="1"/>
  <c r="CI395" i="1"/>
  <c r="CI310" i="1"/>
  <c r="CI407" i="1"/>
  <c r="CI399" i="1"/>
  <c r="CH262" i="1"/>
  <c r="CH268" i="1"/>
  <c r="CH313" i="1"/>
  <c r="CG224" i="1"/>
  <c r="F4" i="19"/>
  <c r="CG265" i="1"/>
  <c r="E3" i="19"/>
  <c r="CD313" i="1"/>
  <c r="BC291" i="1"/>
  <c r="BD290" i="1"/>
  <c r="CH464" i="1" l="1"/>
  <c r="CH257" i="1"/>
  <c r="CM258" i="1" s="1"/>
  <c r="CH314" i="1"/>
  <c r="CH225" i="1"/>
  <c r="CM226" i="1" s="1"/>
  <c r="CH219" i="1"/>
  <c r="CM220" i="1" s="1"/>
  <c r="CH200" i="1"/>
  <c r="CM201" i="1" s="1"/>
  <c r="CI437" i="1"/>
  <c r="CM405" i="1"/>
  <c r="CM402" i="1"/>
  <c r="CH224" i="1"/>
  <c r="CI313" i="1"/>
  <c r="CI262" i="1"/>
  <c r="CI268" i="1"/>
  <c r="CI307" i="1"/>
  <c r="CH265" i="1"/>
  <c r="G4" i="19"/>
  <c r="F3" i="19"/>
  <c r="BD291" i="1"/>
  <c r="AD307" i="1"/>
  <c r="AE307" i="1"/>
  <c r="AF307" i="1"/>
  <c r="AH307" i="1"/>
  <c r="AI307" i="1"/>
  <c r="AJ307" i="1"/>
  <c r="AK307" i="1"/>
  <c r="AM307" i="1"/>
  <c r="AN307" i="1"/>
  <c r="AO307" i="1"/>
  <c r="AP307" i="1"/>
  <c r="AR307" i="1"/>
  <c r="AW307" i="1"/>
  <c r="AD310" i="1"/>
  <c r="AE310" i="1"/>
  <c r="AF310" i="1"/>
  <c r="AH310" i="1"/>
  <c r="AI310" i="1"/>
  <c r="AJ310" i="1"/>
  <c r="AK310" i="1"/>
  <c r="AM310" i="1"/>
  <c r="AN310" i="1"/>
  <c r="AO310" i="1"/>
  <c r="AP310" i="1"/>
  <c r="AR310" i="1"/>
  <c r="AW310" i="1"/>
  <c r="BB310" i="1"/>
  <c r="BC310" i="1"/>
  <c r="BD310" i="1"/>
  <c r="AD311" i="1"/>
  <c r="AE311" i="1"/>
  <c r="AF311" i="1"/>
  <c r="AH311" i="1"/>
  <c r="AI311" i="1"/>
  <c r="AJ311" i="1"/>
  <c r="AK311" i="1"/>
  <c r="AM311" i="1"/>
  <c r="AN311" i="1"/>
  <c r="AO311" i="1"/>
  <c r="AP311" i="1"/>
  <c r="AR311" i="1"/>
  <c r="AS311" i="1"/>
  <c r="AT311" i="1"/>
  <c r="AU311" i="1"/>
  <c r="AW311" i="1"/>
  <c r="AC311" i="1"/>
  <c r="AC310" i="1"/>
  <c r="AC307" i="1"/>
  <c r="BV311" i="1"/>
  <c r="CA311" i="1"/>
  <c r="CI464" i="1" l="1"/>
  <c r="CI257" i="1"/>
  <c r="CI314" i="1"/>
  <c r="CI225" i="1"/>
  <c r="CI219" i="1"/>
  <c r="CI200" i="1"/>
  <c r="CI224" i="1"/>
  <c r="CI265" i="1"/>
  <c r="G3" i="19"/>
  <c r="H4" i="19"/>
  <c r="CA307" i="1"/>
  <c r="BV307" i="1"/>
  <c r="BE217" i="1"/>
  <c r="BD222" i="1"/>
  <c r="BC222" i="1"/>
  <c r="BB222" i="1"/>
  <c r="BG313" i="1"/>
  <c r="BH313" i="1"/>
  <c r="BI313" i="1"/>
  <c r="BJ313" i="1"/>
  <c r="BL313" i="1"/>
  <c r="BM313" i="1"/>
  <c r="BN313" i="1"/>
  <c r="BO313" i="1"/>
  <c r="BQ313" i="1"/>
  <c r="BR313" i="1"/>
  <c r="BS313" i="1"/>
  <c r="BT313" i="1"/>
  <c r="BV313" i="1"/>
  <c r="CA313" i="1"/>
  <c r="BD219" i="1" l="1"/>
  <c r="BD200" i="1"/>
  <c r="BD218" i="1"/>
  <c r="BB218" i="1"/>
  <c r="BB219" i="1"/>
  <c r="BB200" i="1"/>
  <c r="BC218" i="1"/>
  <c r="BC219" i="1"/>
  <c r="BC200" i="1"/>
  <c r="I4" i="19"/>
  <c r="H3" i="19"/>
  <c r="CD311" i="1"/>
  <c r="CC311" i="1"/>
  <c r="CB311" i="1"/>
  <c r="BC307" i="1"/>
  <c r="BD307" i="1"/>
  <c r="BB307" i="1"/>
  <c r="BC224" i="1"/>
  <c r="BE222" i="1"/>
  <c r="BB224" i="1"/>
  <c r="CB27" i="1"/>
  <c r="CB437" i="1"/>
  <c r="CB407" i="1"/>
  <c r="CB399" i="1"/>
  <c r="CB395" i="1"/>
  <c r="CB390" i="1"/>
  <c r="CB403" i="1"/>
  <c r="CB96" i="1"/>
  <c r="AW313" i="1"/>
  <c r="BQ291" i="1"/>
  <c r="BQ290" i="1"/>
  <c r="BW277" i="1" l="1"/>
  <c r="BE219" i="1"/>
  <c r="BE200" i="1"/>
  <c r="BE218" i="1"/>
  <c r="AM313" i="1"/>
  <c r="I3" i="19"/>
  <c r="J4" i="19"/>
  <c r="CD307" i="1"/>
  <c r="CC307" i="1"/>
  <c r="CB307" i="1"/>
  <c r="CC395" i="1"/>
  <c r="CC27" i="1"/>
  <c r="CC399" i="1"/>
  <c r="CC437" i="1"/>
  <c r="CC390" i="1"/>
  <c r="CC407" i="1"/>
  <c r="CC403" i="1"/>
  <c r="CB313" i="1"/>
  <c r="BB311" i="1"/>
  <c r="BC311" i="1"/>
  <c r="BE307" i="1"/>
  <c r="BE224" i="1"/>
  <c r="AD313" i="1"/>
  <c r="AN313" i="1"/>
  <c r="CB268" i="1"/>
  <c r="BP18" i="7"/>
  <c r="CB172" i="1"/>
  <c r="AR313" i="1"/>
  <c r="CB277" i="1" l="1"/>
  <c r="CB464" i="1"/>
  <c r="CB257" i="1"/>
  <c r="AP313" i="1"/>
  <c r="AE313" i="1"/>
  <c r="AO313" i="1"/>
  <c r="J3" i="19"/>
  <c r="K4" i="19"/>
  <c r="CD395" i="1"/>
  <c r="CD403" i="1"/>
  <c r="CD407" i="1"/>
  <c r="CD399" i="1"/>
  <c r="CD390" i="1"/>
  <c r="CD27" i="1"/>
  <c r="CD437" i="1"/>
  <c r="BB313" i="1"/>
  <c r="CC268" i="1"/>
  <c r="BE311" i="1"/>
  <c r="CB224" i="1"/>
  <c r="CC464" i="1" l="1"/>
  <c r="CC257" i="1"/>
  <c r="AF313" i="1"/>
  <c r="AJ313" i="1"/>
  <c r="AK313" i="1"/>
  <c r="AI313" i="1"/>
  <c r="AH313" i="1"/>
  <c r="AC313" i="1"/>
  <c r="CB219" i="1"/>
  <c r="CB200" i="1"/>
  <c r="CC314" i="1"/>
  <c r="CC225" i="1"/>
  <c r="CC277" i="1"/>
  <c r="L4" i="19"/>
  <c r="K3" i="19"/>
  <c r="CD268" i="1"/>
  <c r="CC224" i="1"/>
  <c r="CD464" i="1" l="1"/>
  <c r="CD257" i="1"/>
  <c r="CC219" i="1"/>
  <c r="CC200" i="1"/>
  <c r="CD314" i="1"/>
  <c r="CD225" i="1"/>
  <c r="L3" i="19"/>
  <c r="M4" i="19"/>
  <c r="CD224" i="1"/>
  <c r="CD219" i="1" l="1"/>
  <c r="CD200" i="1"/>
  <c r="N4" i="19"/>
  <c r="M3" i="19"/>
  <c r="O4" i="19" l="1"/>
  <c r="N3" i="19"/>
  <c r="CA262" i="1"/>
  <c r="CA96" i="1"/>
  <c r="CA268" i="1"/>
  <c r="CA224" i="1"/>
  <c r="CA277" i="1" l="1"/>
  <c r="CA464" i="1"/>
  <c r="CA257" i="1"/>
  <c r="BV219" i="1"/>
  <c r="BV200" i="1"/>
  <c r="O3" i="19"/>
  <c r="P4" i="19"/>
  <c r="CB262" i="1"/>
  <c r="CA265" i="1"/>
  <c r="BO18" i="7"/>
  <c r="Q4" i="19" l="1"/>
  <c r="P3" i="19"/>
  <c r="CC262" i="1"/>
  <c r="CB265" i="1"/>
  <c r="CA172" i="1"/>
  <c r="R4" i="19" l="1"/>
  <c r="Q3" i="19"/>
  <c r="CD262" i="1"/>
  <c r="CC265" i="1"/>
  <c r="BN60" i="7"/>
  <c r="BY96" i="1"/>
  <c r="R3" i="19" l="1"/>
  <c r="CD265" i="1"/>
  <c r="BW313" i="1"/>
  <c r="BN18" i="7"/>
  <c r="S4" i="19" l="1"/>
  <c r="S3" i="19"/>
  <c r="BX313" i="1"/>
  <c r="BY172" i="1"/>
  <c r="T3" i="19" l="1"/>
  <c r="T4" i="19"/>
  <c r="U4" i="19"/>
  <c r="BY313" i="1"/>
  <c r="U3" i="19" l="1"/>
  <c r="V4" i="19"/>
  <c r="BY224" i="1"/>
  <c r="V3" i="19" l="1"/>
  <c r="W4" i="19"/>
  <c r="BM18" i="7"/>
  <c r="BX96" i="1"/>
  <c r="W3" i="19" l="1"/>
  <c r="X4" i="19" l="1"/>
  <c r="Y4" i="19"/>
  <c r="BX172" i="1"/>
  <c r="X3" i="19" l="1"/>
  <c r="BV224" i="1"/>
  <c r="Y3" i="19" l="1"/>
  <c r="Z4" i="19"/>
  <c r="Z3" i="19"/>
  <c r="BW263" i="1"/>
  <c r="BW437" i="1"/>
  <c r="BW407" i="1"/>
  <c r="BW403" i="1"/>
  <c r="BW399" i="1"/>
  <c r="BW395" i="1"/>
  <c r="BW390" i="1"/>
  <c r="BW96" i="1"/>
  <c r="AA4" i="19" l="1"/>
  <c r="BW27" i="1"/>
  <c r="BX399" i="1"/>
  <c r="BX403" i="1"/>
  <c r="BX395" i="1"/>
  <c r="BX407" i="1"/>
  <c r="BX437" i="1"/>
  <c r="BX263" i="1"/>
  <c r="BX390" i="1"/>
  <c r="BW268" i="1"/>
  <c r="BL18" i="7"/>
  <c r="AB4" i="19" l="1"/>
  <c r="AA3" i="19"/>
  <c r="BW257" i="1"/>
  <c r="BW464" i="1"/>
  <c r="AC3" i="19"/>
  <c r="BY263" i="1"/>
  <c r="BY390" i="1"/>
  <c r="BY437" i="1"/>
  <c r="BY403" i="1"/>
  <c r="BY399" i="1"/>
  <c r="BY395" i="1"/>
  <c r="BY407" i="1"/>
  <c r="BX27" i="1"/>
  <c r="BX268" i="1"/>
  <c r="BW172" i="1"/>
  <c r="BW224" i="1"/>
  <c r="AB3" i="19" l="1"/>
  <c r="BX277" i="1"/>
  <c r="AC4" i="19"/>
  <c r="AE4" i="19"/>
  <c r="BY27" i="1"/>
  <c r="BX224" i="1"/>
  <c r="BY268" i="1"/>
  <c r="BY277" i="1" l="1"/>
  <c r="BW219" i="1"/>
  <c r="BW200" i="1"/>
  <c r="BY464" i="1"/>
  <c r="BY257" i="1"/>
  <c r="AD4" i="19"/>
  <c r="AD3" i="19"/>
  <c r="AE3" i="19"/>
  <c r="AF4" i="19"/>
  <c r="BK18" i="7"/>
  <c r="BX219" i="1" l="1"/>
  <c r="BX200" i="1"/>
  <c r="BX464" i="1"/>
  <c r="BX257" i="1"/>
  <c r="AG4" i="19"/>
  <c r="AF3" i="19"/>
  <c r="BV96" i="1"/>
  <c r="BV262" i="1"/>
  <c r="BV268" i="1"/>
  <c r="BY219" i="1" l="1"/>
  <c r="BY200" i="1"/>
  <c r="BV464" i="1"/>
  <c r="BV257" i="1"/>
  <c r="AG3" i="19"/>
  <c r="BW262" i="1"/>
  <c r="BV265" i="1"/>
  <c r="AI4" i="19" l="1"/>
  <c r="AH4" i="19"/>
  <c r="AH3" i="19"/>
  <c r="AJ4" i="19"/>
  <c r="AI3" i="19"/>
  <c r="BX262" i="1"/>
  <c r="BV172" i="1"/>
  <c r="BW265" i="1"/>
  <c r="BY262" i="1" l="1"/>
  <c r="AK4" i="19"/>
  <c r="AJ3" i="19"/>
  <c r="BX265" i="1"/>
  <c r="BT96" i="1"/>
  <c r="BJ18" i="7"/>
  <c r="AL4" i="19" l="1"/>
  <c r="AK3" i="19"/>
  <c r="BY265" i="1"/>
  <c r="AM4" i="19" l="1"/>
  <c r="AL3" i="19"/>
  <c r="BT172" i="1"/>
  <c r="BS96" i="1"/>
  <c r="BI18" i="7"/>
  <c r="AN4" i="19" l="1"/>
  <c r="AM3" i="19"/>
  <c r="AN3" i="19" l="1"/>
  <c r="AO4" i="19"/>
  <c r="BS172" i="1"/>
  <c r="BR263" i="1"/>
  <c r="BR403" i="1"/>
  <c r="BR407" i="1"/>
  <c r="BR399" i="1"/>
  <c r="BR395" i="1"/>
  <c r="BR390" i="1"/>
  <c r="BR27" i="1"/>
  <c r="BQ222" i="1"/>
  <c r="BR96" i="1"/>
  <c r="BH18" i="7"/>
  <c r="BR219" i="1" l="1"/>
  <c r="BR217" i="1"/>
  <c r="AO3" i="19"/>
  <c r="AP4" i="19"/>
  <c r="BM172" i="1"/>
  <c r="BN172" i="1"/>
  <c r="BS263" i="1"/>
  <c r="BS27" i="1"/>
  <c r="BS407" i="1"/>
  <c r="BS399" i="1"/>
  <c r="BS403" i="1"/>
  <c r="BR222" i="1"/>
  <c r="BR268" i="1"/>
  <c r="BS395" i="1"/>
  <c r="BS390" i="1"/>
  <c r="BS219" i="1" l="1"/>
  <c r="BS217" i="1"/>
  <c r="AP3" i="19"/>
  <c r="AQ4" i="19"/>
  <c r="BT399" i="1"/>
  <c r="BR172" i="1"/>
  <c r="BS222" i="1"/>
  <c r="BT263" i="1"/>
  <c r="BT407" i="1"/>
  <c r="BR224" i="1"/>
  <c r="BT390" i="1"/>
  <c r="BT403" i="1"/>
  <c r="BT395" i="1"/>
  <c r="BT27" i="1"/>
  <c r="BS268" i="1"/>
  <c r="BQ262" i="1"/>
  <c r="BQ96" i="1"/>
  <c r="BM428" i="1" l="1"/>
  <c r="BM248" i="1"/>
  <c r="BT219" i="1"/>
  <c r="BT217" i="1"/>
  <c r="BT268" i="1"/>
  <c r="AR4" i="19"/>
  <c r="AQ3" i="19"/>
  <c r="BR311" i="1"/>
  <c r="BT222" i="1"/>
  <c r="BS224" i="1"/>
  <c r="BR262" i="1"/>
  <c r="BR437" i="1"/>
  <c r="BG18" i="7"/>
  <c r="BM263" i="1"/>
  <c r="BN219" i="1"/>
  <c r="BQ464" i="1" l="1"/>
  <c r="BQ257" i="1"/>
  <c r="BN428" i="1"/>
  <c r="BN248" i="1"/>
  <c r="AS4" i="19"/>
  <c r="AR3" i="19"/>
  <c r="BR307" i="1"/>
  <c r="BS311" i="1"/>
  <c r="BQ172" i="1"/>
  <c r="BT224" i="1"/>
  <c r="BS262" i="1"/>
  <c r="BQ265" i="1"/>
  <c r="BS437" i="1"/>
  <c r="BN263" i="1"/>
  <c r="BO428" i="1" l="1"/>
  <c r="BO248" i="1"/>
  <c r="BR464" i="1"/>
  <c r="BR257" i="1"/>
  <c r="BO219" i="1"/>
  <c r="AT4" i="19"/>
  <c r="AS3" i="19"/>
  <c r="BS307" i="1"/>
  <c r="BT311" i="1"/>
  <c r="BT262" i="1"/>
  <c r="BR265" i="1"/>
  <c r="BT437" i="1"/>
  <c r="BO263" i="1"/>
  <c r="BF18" i="7"/>
  <c r="BO96" i="1"/>
  <c r="BG172" i="1"/>
  <c r="BH172" i="1"/>
  <c r="BI172" i="1"/>
  <c r="BS464" i="1" l="1"/>
  <c r="BS257" i="1"/>
  <c r="AT3" i="19"/>
  <c r="AU4" i="19"/>
  <c r="BT307" i="1"/>
  <c r="BS265" i="1"/>
  <c r="BO216" i="1"/>
  <c r="BO217" i="1" s="1"/>
  <c r="BN407" i="1"/>
  <c r="BN395" i="1"/>
  <c r="BN399" i="1"/>
  <c r="BN390" i="1"/>
  <c r="BN403" i="1"/>
  <c r="BN464" i="1" l="1"/>
  <c r="BN257" i="1"/>
  <c r="BT464" i="1"/>
  <c r="BT257" i="1"/>
  <c r="AV4" i="19"/>
  <c r="AU3" i="19"/>
  <c r="BO172" i="1"/>
  <c r="BT265" i="1"/>
  <c r="BO390" i="1"/>
  <c r="BN216" i="1"/>
  <c r="BN217" i="1" s="1"/>
  <c r="BO403" i="1"/>
  <c r="BO399" i="1"/>
  <c r="BN268" i="1"/>
  <c r="BO395" i="1"/>
  <c r="BO407" i="1"/>
  <c r="BE18" i="7"/>
  <c r="BO464" i="1" l="1"/>
  <c r="BO257" i="1"/>
  <c r="AV3" i="19"/>
  <c r="AW4" i="19"/>
  <c r="BQ268" i="1"/>
  <c r="BO268" i="1"/>
  <c r="AX4" i="19" l="1"/>
  <c r="AW3" i="19"/>
  <c r="BM216" i="1"/>
  <c r="BM217" i="1" s="1"/>
  <c r="BL216" i="1"/>
  <c r="BL217" i="1" s="1"/>
  <c r="AY4" i="19" l="1"/>
  <c r="AX3" i="19"/>
  <c r="BM262" i="1"/>
  <c r="BM437" i="1"/>
  <c r="BM222" i="1"/>
  <c r="BM27" i="1"/>
  <c r="AZ4" i="19" l="1"/>
  <c r="AY3" i="19"/>
  <c r="BN27" i="1"/>
  <c r="BD18" i="7"/>
  <c r="BM268" i="1"/>
  <c r="BM265" i="1"/>
  <c r="BM224" i="1"/>
  <c r="BA4" i="19" l="1"/>
  <c r="AZ3" i="19"/>
  <c r="BM311" i="1"/>
  <c r="BO27" i="1"/>
  <c r="BA3" i="19" l="1"/>
  <c r="BM307" i="1"/>
  <c r="BL268" i="1"/>
  <c r="BG262" i="1"/>
  <c r="BL262" i="1"/>
  <c r="BL437" i="1"/>
  <c r="BN437" i="1" l="1"/>
  <c r="BL265" i="1"/>
  <c r="BN262" i="1"/>
  <c r="BL222" i="1"/>
  <c r="BN265" i="1" l="1"/>
  <c r="BN222" i="1"/>
  <c r="BO437" i="1"/>
  <c r="BO262" i="1"/>
  <c r="BO265" i="1" l="1"/>
  <c r="BN224" i="1"/>
  <c r="BO222" i="1"/>
  <c r="BC18" i="7"/>
  <c r="BN311" i="1" l="1"/>
  <c r="BL172" i="1"/>
  <c r="BO224" i="1"/>
  <c r="BQ224" i="1"/>
  <c r="BL224" i="1"/>
  <c r="BN307" i="1" l="1"/>
  <c r="BL311" i="1"/>
  <c r="BQ311" i="1"/>
  <c r="BO311" i="1"/>
  <c r="BO307" i="1" l="1"/>
  <c r="BQ307" i="1"/>
  <c r="BL307" i="1"/>
  <c r="BJ217" i="1" l="1"/>
  <c r="BJ219" i="1"/>
  <c r="BJ172" i="1"/>
  <c r="BB18" i="7"/>
  <c r="BI407" i="1" l="1"/>
  <c r="BI403" i="1"/>
  <c r="BI399" i="1"/>
  <c r="BI395" i="1"/>
  <c r="BI390" i="1"/>
  <c r="BI222" i="1"/>
  <c r="BI27" i="1"/>
  <c r="BA18" i="7"/>
  <c r="BI224" i="1" l="1"/>
  <c r="BH464" i="1" l="1"/>
  <c r="BH257" i="1"/>
  <c r="BI311" i="1"/>
  <c r="BH222" i="1"/>
  <c r="BH158" i="1"/>
  <c r="BH268" i="1"/>
  <c r="BH265" i="1"/>
  <c r="BH263" i="1"/>
  <c r="BH262" i="1"/>
  <c r="BH428" i="1" l="1"/>
  <c r="BH248" i="1"/>
  <c r="BI464" i="1"/>
  <c r="BI257" i="1"/>
  <c r="BI307" i="1"/>
  <c r="BI263" i="1"/>
  <c r="BI265" i="1"/>
  <c r="BI262" i="1"/>
  <c r="BI268" i="1"/>
  <c r="BI158" i="1"/>
  <c r="AZ18" i="7"/>
  <c r="BH224" i="1"/>
  <c r="BC216" i="1"/>
  <c r="BC217" i="1" s="1"/>
  <c r="AZ216" i="1"/>
  <c r="BC208" i="1"/>
  <c r="AZ208" i="1"/>
  <c r="BC277" i="1"/>
  <c r="BC268" i="1"/>
  <c r="AX268" i="1"/>
  <c r="BB265" i="1"/>
  <c r="BC263" i="1"/>
  <c r="AX263" i="1"/>
  <c r="BC262" i="1"/>
  <c r="AX262" i="1"/>
  <c r="BG437" i="1"/>
  <c r="BC437" i="1"/>
  <c r="AX437" i="1"/>
  <c r="BC407" i="1"/>
  <c r="AX407" i="1"/>
  <c r="BC403" i="1"/>
  <c r="AX403" i="1"/>
  <c r="BC399" i="1"/>
  <c r="AX399" i="1"/>
  <c r="BC395" i="1"/>
  <c r="AX395" i="1"/>
  <c r="BC390" i="1"/>
  <c r="AX390" i="1"/>
  <c r="AX224" i="1"/>
  <c r="BG222" i="1"/>
  <c r="AX222" i="1"/>
  <c r="AX217" i="1"/>
  <c r="AS217" i="1"/>
  <c r="AS200" i="1"/>
  <c r="BC428" i="1" l="1"/>
  <c r="BC248" i="1"/>
  <c r="AX219" i="1"/>
  <c r="AX200" i="1"/>
  <c r="AX218" i="1"/>
  <c r="BJ464" i="1"/>
  <c r="BJ257" i="1"/>
  <c r="AS310" i="1"/>
  <c r="AS307" i="1"/>
  <c r="AX310" i="1"/>
  <c r="AX311" i="1"/>
  <c r="BH311" i="1"/>
  <c r="AX307" i="1"/>
  <c r="BC313" i="1"/>
  <c r="BJ268" i="1"/>
  <c r="BE310" i="1"/>
  <c r="AY399" i="1"/>
  <c r="AY403" i="1"/>
  <c r="AY268" i="1"/>
  <c r="AY224" i="1"/>
  <c r="BD268" i="1"/>
  <c r="BJ265" i="1"/>
  <c r="AY222" i="1"/>
  <c r="BJ262" i="1"/>
  <c r="AY407" i="1"/>
  <c r="AY437" i="1"/>
  <c r="AY262" i="1"/>
  <c r="AT217" i="1"/>
  <c r="BD437" i="1"/>
  <c r="BD262" i="1"/>
  <c r="BJ263" i="1"/>
  <c r="AY217" i="1"/>
  <c r="AY395" i="1"/>
  <c r="AY263" i="1"/>
  <c r="AT200" i="1"/>
  <c r="BG224" i="1"/>
  <c r="BJ222" i="1"/>
  <c r="BH437" i="1"/>
  <c r="BD390" i="1"/>
  <c r="BD399" i="1"/>
  <c r="BD395" i="1"/>
  <c r="BD407" i="1"/>
  <c r="AY390" i="1"/>
  <c r="BD403" i="1"/>
  <c r="BC265" i="1"/>
  <c r="BD263" i="1"/>
  <c r="AY218" i="1" l="1"/>
  <c r="AY219" i="1"/>
  <c r="AY200" i="1"/>
  <c r="AW428" i="1"/>
  <c r="AW248" i="1"/>
  <c r="AT307" i="1"/>
  <c r="BH307" i="1"/>
  <c r="AY310" i="1"/>
  <c r="AT310" i="1"/>
  <c r="AX313" i="1"/>
  <c r="AY311" i="1"/>
  <c r="BG311" i="1"/>
  <c r="AY307" i="1"/>
  <c r="BE437" i="1"/>
  <c r="AZ217" i="1"/>
  <c r="BD265" i="1"/>
  <c r="AU217" i="1"/>
  <c r="AZ407" i="1"/>
  <c r="BE268" i="1"/>
  <c r="AZ222" i="1"/>
  <c r="AZ224" i="1"/>
  <c r="AZ263" i="1"/>
  <c r="AZ268" i="1"/>
  <c r="BE262" i="1"/>
  <c r="AZ403" i="1"/>
  <c r="AZ262" i="1"/>
  <c r="AZ395" i="1"/>
  <c r="BE263" i="1"/>
  <c r="BJ224" i="1"/>
  <c r="AZ437" i="1"/>
  <c r="AZ399" i="1"/>
  <c r="AU200" i="1"/>
  <c r="BI437" i="1"/>
  <c r="BE407" i="1"/>
  <c r="AZ390" i="1"/>
  <c r="BE395" i="1"/>
  <c r="BE399" i="1"/>
  <c r="BE390" i="1"/>
  <c r="BE403" i="1"/>
  <c r="AZ218" i="1" l="1"/>
  <c r="AZ219" i="1"/>
  <c r="AZ200" i="1"/>
  <c r="AX428" i="1"/>
  <c r="AX248" i="1"/>
  <c r="AU307" i="1"/>
  <c r="BG307" i="1"/>
  <c r="AU310" i="1"/>
  <c r="AZ310" i="1"/>
  <c r="AZ311" i="1"/>
  <c r="AY313" i="1"/>
  <c r="AZ307" i="1"/>
  <c r="BJ311" i="1"/>
  <c r="AS313" i="1"/>
  <c r="BE265" i="1"/>
  <c r="BJ437" i="1"/>
  <c r="AY428" i="1" l="1"/>
  <c r="AY248" i="1"/>
  <c r="AW277" i="1"/>
  <c r="BD277" i="1"/>
  <c r="AR277" i="1"/>
  <c r="BJ307" i="1"/>
  <c r="BE313" i="1"/>
  <c r="AT313" i="1"/>
  <c r="AZ96" i="1"/>
  <c r="AU89" i="1" l="1"/>
  <c r="AT89" i="1"/>
  <c r="AS89" i="1"/>
  <c r="AR89" i="1"/>
  <c r="AZ428" i="1"/>
  <c r="AZ248" i="1"/>
  <c r="AP89" i="1"/>
  <c r="AY89" i="1"/>
  <c r="AO89" i="1"/>
  <c r="AX89" i="1"/>
  <c r="AN89" i="1"/>
  <c r="AW89" i="1"/>
  <c r="AM89" i="1"/>
  <c r="AX277" i="1"/>
  <c r="AZ313" i="1"/>
  <c r="AU313" i="1"/>
  <c r="AZ89" i="1" l="1"/>
  <c r="AY277" i="1"/>
  <c r="AS277" i="1"/>
  <c r="AY18" i="7"/>
  <c r="AZ277" i="1" l="1"/>
  <c r="AT277" i="1"/>
  <c r="AX18" i="7" l="1"/>
  <c r="AU277" i="1"/>
  <c r="AW18" i="7" l="1"/>
  <c r="BC158" i="1" l="1"/>
  <c r="BC27" i="1"/>
  <c r="AV18" i="7" l="1"/>
  <c r="BD27" i="1"/>
  <c r="BD158" i="1"/>
  <c r="AU18" i="7" l="1"/>
  <c r="AT18" i="7" l="1"/>
  <c r="AS18" i="7" l="1"/>
  <c r="AR18" i="7" l="1"/>
  <c r="AX27" i="1"/>
  <c r="AY27" i="1" l="1"/>
  <c r="AX158" i="1"/>
  <c r="AZ27" i="1" l="1"/>
  <c r="AY158" i="1"/>
  <c r="AZ158" i="1" l="1"/>
  <c r="AQ18" i="7"/>
  <c r="AB18" i="7" l="1"/>
  <c r="AC18" i="7"/>
  <c r="AD18" i="7"/>
  <c r="AE18" i="7"/>
  <c r="AF18" i="7"/>
  <c r="AG18" i="7"/>
  <c r="AH18" i="7"/>
  <c r="AI18" i="7"/>
  <c r="AJ18" i="7"/>
  <c r="AK18" i="7"/>
  <c r="AL18" i="7"/>
  <c r="AM18" i="7"/>
  <c r="AN18" i="7"/>
  <c r="AO18" i="7"/>
  <c r="AP18" i="7"/>
  <c r="AA18" i="7"/>
  <c r="AF89" i="1" l="1"/>
  <c r="AE89" i="1"/>
  <c r="AC89" i="1"/>
  <c r="AD82" i="1"/>
  <c r="AH89" i="1"/>
  <c r="AK89" i="1"/>
  <c r="AJ89" i="1"/>
  <c r="AI89" i="1"/>
  <c r="AD89" i="1" l="1"/>
  <c r="BW311" i="1" l="1"/>
  <c r="BW307" i="1" l="1"/>
  <c r="BX311" i="1"/>
  <c r="BX307" i="1" l="1"/>
  <c r="BY311" i="1"/>
  <c r="BD224" i="1"/>
  <c r="BY307" i="1" l="1"/>
  <c r="BD311" i="1"/>
  <c r="BD313" i="1" l="1"/>
  <c r="CG311" i="1" l="1"/>
  <c r="CH311" i="1"/>
  <c r="CG307" i="1" l="1"/>
  <c r="CH307" i="1" l="1"/>
  <c r="CM308" i="1" s="1"/>
  <c r="CZ27" i="1" l="1"/>
  <c r="DA27" i="1"/>
  <c r="DB27" i="1"/>
  <c r="DC27" i="1"/>
  <c r="CY27" i="1"/>
  <c r="DB248" i="1"/>
  <c r="DC248" i="1"/>
  <c r="BX37" i="7" l="1"/>
  <c r="BX39" i="7"/>
  <c r="BX49" i="7"/>
  <c r="BX16" i="7" l="1"/>
  <c r="BX62" i="7"/>
  <c r="I159" i="21" l="1"/>
  <c r="CQ404" i="1"/>
  <c r="CR404" i="1" s="1"/>
  <c r="CS404" i="1" s="1"/>
  <c r="CT404" i="1" s="1"/>
  <c r="B26" i="4"/>
  <c r="B53" i="4"/>
  <c r="U26" i="2"/>
  <c r="U173" i="2" s="1"/>
  <c r="U31" i="2"/>
  <c r="U174" i="2" s="1"/>
  <c r="U5" i="2"/>
  <c r="U47" i="2" s="1"/>
  <c r="CZ12" i="1"/>
  <c r="DA12" i="1"/>
  <c r="DB12" i="1"/>
  <c r="DC12" i="1"/>
  <c r="CY12" i="1"/>
  <c r="CZ5" i="1"/>
  <c r="DA5" i="1"/>
  <c r="DB5" i="1"/>
  <c r="DC5" i="1"/>
  <c r="CY5" i="1"/>
  <c r="CZ3" i="1"/>
  <c r="DA3" i="1" s="1"/>
  <c r="DB3" i="1" s="1"/>
  <c r="DC3" i="1" s="1"/>
  <c r="H283" i="1"/>
  <c r="I283" i="1"/>
  <c r="J283" i="1"/>
  <c r="K283" i="1"/>
  <c r="L283" i="1"/>
  <c r="M283" i="1"/>
  <c r="N283" i="1"/>
  <c r="O283" i="1"/>
  <c r="P283" i="1"/>
  <c r="Q283" i="1"/>
  <c r="S283" i="1"/>
  <c r="T283" i="1"/>
  <c r="U283" i="1"/>
  <c r="V283" i="1"/>
  <c r="DA6" i="1" l="1"/>
  <c r="U175" i="2"/>
  <c r="DB6" i="1"/>
  <c r="DB14" i="1"/>
  <c r="CZ14" i="1"/>
  <c r="DC6" i="1"/>
  <c r="DC13" i="1"/>
  <c r="U46" i="2"/>
  <c r="U48" i="2" s="1"/>
  <c r="CZ6" i="1"/>
  <c r="DB13" i="1"/>
  <c r="CY14" i="1"/>
  <c r="DA13" i="1"/>
  <c r="CZ13" i="1"/>
  <c r="DC14" i="1"/>
  <c r="DA14" i="1"/>
  <c r="CP275" i="1"/>
  <c r="CO275" i="1"/>
  <c r="D426" i="2"/>
  <c r="F40" i="27" s="1"/>
  <c r="C426" i="2"/>
  <c r="E40" i="27" s="1"/>
  <c r="F18" i="27"/>
  <c r="G18" i="27"/>
  <c r="H18" i="27"/>
  <c r="I18" i="27"/>
  <c r="J18" i="27"/>
  <c r="K18" i="27"/>
  <c r="L18" i="27"/>
  <c r="M18" i="27"/>
  <c r="N18" i="27"/>
  <c r="O18" i="27"/>
  <c r="P18" i="27"/>
  <c r="Q18" i="27"/>
  <c r="R18" i="27"/>
  <c r="S18" i="27"/>
  <c r="T18" i="27"/>
  <c r="U18" i="27"/>
  <c r="V18" i="27"/>
  <c r="E18" i="27"/>
  <c r="F17" i="27"/>
  <c r="G17" i="27"/>
  <c r="H17" i="27"/>
  <c r="I17" i="27"/>
  <c r="J17" i="27"/>
  <c r="K17" i="27"/>
  <c r="L17" i="27"/>
  <c r="M17" i="27"/>
  <c r="N17" i="27"/>
  <c r="O17" i="27"/>
  <c r="P17" i="27"/>
  <c r="Q17" i="27"/>
  <c r="R17" i="27"/>
  <c r="S17" i="27"/>
  <c r="T17" i="27"/>
  <c r="U17" i="27"/>
  <c r="V17" i="27"/>
  <c r="W17" i="27"/>
  <c r="X17" i="27"/>
  <c r="Y17" i="27"/>
  <c r="Z17" i="27"/>
  <c r="AA17" i="27"/>
  <c r="AB17" i="27"/>
  <c r="E2" i="27"/>
  <c r="E4" i="27" s="1"/>
  <c r="E17" i="27"/>
  <c r="D48" i="27"/>
  <c r="D38" i="27"/>
  <c r="D24" i="27"/>
  <c r="D21" i="27"/>
  <c r="D16" i="27"/>
  <c r="D4" i="27"/>
  <c r="I19" i="27" l="1"/>
  <c r="I21" i="27" s="1"/>
  <c r="E19" i="27"/>
  <c r="E21" i="27" s="1"/>
  <c r="G19" i="27"/>
  <c r="G21" i="27" s="1"/>
  <c r="U19" i="27"/>
  <c r="U21" i="27" s="1"/>
  <c r="T19" i="27"/>
  <c r="T21" i="27" s="1"/>
  <c r="K19" i="27"/>
  <c r="K21" i="27" s="1"/>
  <c r="O19" i="27"/>
  <c r="O21" i="27" s="1"/>
  <c r="J19" i="27"/>
  <c r="J21" i="27" s="1"/>
  <c r="V19" i="27"/>
  <c r="V21" i="27" s="1"/>
  <c r="H19" i="27"/>
  <c r="H21" i="27" s="1"/>
  <c r="F19" i="27"/>
  <c r="F21" i="27" s="1"/>
  <c r="E16" i="27"/>
  <c r="N19" i="27"/>
  <c r="N21" i="27" s="1"/>
  <c r="D31" i="27"/>
  <c r="E38" i="27"/>
  <c r="E24" i="27"/>
  <c r="E48" i="27"/>
  <c r="S19" i="27"/>
  <c r="S21" i="27" s="1"/>
  <c r="R19" i="27"/>
  <c r="R21" i="27" s="1"/>
  <c r="Q19" i="27"/>
  <c r="Q21" i="27" s="1"/>
  <c r="P19" i="27"/>
  <c r="P21" i="27" s="1"/>
  <c r="L19" i="27"/>
  <c r="L21" i="27" s="1"/>
  <c r="F2" i="27"/>
  <c r="M19" i="27"/>
  <c r="M21" i="27" l="1"/>
  <c r="F48" i="27"/>
  <c r="F16" i="27"/>
  <c r="F38" i="27"/>
  <c r="F4" i="27"/>
  <c r="G2" i="27"/>
  <c r="F24" i="27"/>
  <c r="G16" i="27" l="1"/>
  <c r="H2" i="27"/>
  <c r="G48" i="27"/>
  <c r="G24" i="27"/>
  <c r="G38" i="27"/>
  <c r="G4" i="27"/>
  <c r="H16" i="27" l="1"/>
  <c r="H38" i="27"/>
  <c r="I2" i="27"/>
  <c r="H4" i="27"/>
  <c r="H24" i="27"/>
  <c r="H48" i="27"/>
  <c r="I38" i="27" l="1"/>
  <c r="I24" i="27"/>
  <c r="I48" i="27"/>
  <c r="J2" i="27"/>
  <c r="I4" i="27"/>
  <c r="I16" i="27"/>
  <c r="J38" i="27" l="1"/>
  <c r="K2" i="27"/>
  <c r="J24" i="27"/>
  <c r="J4" i="27"/>
  <c r="J48" i="27"/>
  <c r="J16" i="27"/>
  <c r="K38" i="27" l="1"/>
  <c r="L2" i="27"/>
  <c r="K4" i="27"/>
  <c r="K24" i="27"/>
  <c r="K48" i="27"/>
  <c r="K16" i="27"/>
  <c r="L38" i="27" l="1"/>
  <c r="M2" i="27"/>
  <c r="L24" i="27"/>
  <c r="L48" i="27"/>
  <c r="L16" i="27"/>
  <c r="L4" i="27"/>
  <c r="M4" i="27" l="1"/>
  <c r="N2" i="27"/>
  <c r="M48" i="27"/>
  <c r="M16" i="27"/>
  <c r="M38" i="27"/>
  <c r="M24" i="27"/>
  <c r="O2" i="27" l="1"/>
  <c r="N4" i="27"/>
  <c r="N24" i="27"/>
  <c r="N48" i="27"/>
  <c r="N16" i="27"/>
  <c r="N38" i="27"/>
  <c r="O4" i="27" l="1"/>
  <c r="O24" i="27"/>
  <c r="O16" i="27"/>
  <c r="P2" i="27"/>
  <c r="O48" i="27"/>
  <c r="O38" i="27"/>
  <c r="P4" i="27" l="1"/>
  <c r="P24" i="27"/>
  <c r="P48" i="27"/>
  <c r="P16" i="27"/>
  <c r="P38" i="27"/>
  <c r="Q2" i="27"/>
  <c r="Q4" i="27" l="1"/>
  <c r="Q24" i="27"/>
  <c r="Q48" i="27"/>
  <c r="Q38" i="27"/>
  <c r="R2" i="27"/>
  <c r="Q16" i="27"/>
  <c r="R24" i="27" l="1"/>
  <c r="R48" i="27"/>
  <c r="R16" i="27"/>
  <c r="R38" i="27"/>
  <c r="S2" i="27"/>
  <c r="R4" i="27"/>
  <c r="S48" i="27" l="1"/>
  <c r="S16" i="27"/>
  <c r="S38" i="27"/>
  <c r="T2" i="27"/>
  <c r="S4" i="27"/>
  <c r="S24" i="27"/>
  <c r="T48" i="27" l="1"/>
  <c r="T16" i="27"/>
  <c r="T38" i="27"/>
  <c r="U2" i="27"/>
  <c r="T4" i="27"/>
  <c r="T24" i="27"/>
  <c r="U16" i="27" l="1"/>
  <c r="V2" i="27"/>
  <c r="W2" i="27" s="1"/>
  <c r="U48" i="27"/>
  <c r="U24" i="27"/>
  <c r="U4" i="27"/>
  <c r="U38" i="27"/>
  <c r="V16" i="27" l="1"/>
  <c r="V38" i="27"/>
  <c r="V4" i="27"/>
  <c r="V24" i="27"/>
  <c r="V48" i="27"/>
  <c r="W38" i="27" l="1"/>
  <c r="X2" i="27"/>
  <c r="W24" i="27"/>
  <c r="W4" i="27"/>
  <c r="W48" i="27"/>
  <c r="W16" i="27"/>
  <c r="X38" i="27" l="1"/>
  <c r="Y2" i="27"/>
  <c r="X4" i="27"/>
  <c r="X24" i="27"/>
  <c r="X48" i="27"/>
  <c r="X16" i="27"/>
  <c r="Y38" i="27" l="1"/>
  <c r="Z2" i="27"/>
  <c r="Y24" i="27"/>
  <c r="Y48" i="27"/>
  <c r="Y16" i="27"/>
  <c r="Y4" i="27"/>
  <c r="AA2" i="27" l="1"/>
  <c r="Z4" i="27"/>
  <c r="Z48" i="27"/>
  <c r="Z16" i="27"/>
  <c r="Z24" i="27"/>
  <c r="Z38" i="27"/>
  <c r="AB2" i="27" l="1"/>
  <c r="AA24" i="27"/>
  <c r="AA4" i="27"/>
  <c r="AA48" i="27"/>
  <c r="AA16" i="27"/>
  <c r="AA38" i="27"/>
  <c r="AB4" i="27" l="1"/>
  <c r="AB24" i="27"/>
  <c r="AB16" i="27"/>
  <c r="AB38" i="27"/>
  <c r="AB48" i="27"/>
  <c r="CY236" i="1" l="1"/>
  <c r="CZ236" i="1"/>
  <c r="DA236" i="1"/>
  <c r="DB236" i="1"/>
  <c r="DC236" i="1"/>
  <c r="CY247" i="1"/>
  <c r="CZ247" i="1" s="1"/>
  <c r="DA247" i="1" s="1"/>
  <c r="DB247" i="1" s="1"/>
  <c r="DC247" i="1" s="1"/>
  <c r="CZ248" i="1"/>
  <c r="DA248" i="1"/>
  <c r="CY248" i="1"/>
  <c r="E440" i="21" a="1"/>
  <c r="DC237" i="1" l="1"/>
  <c r="DA237" i="1"/>
  <c r="DB237" i="1"/>
  <c r="CZ237" i="1"/>
  <c r="E440" i="21"/>
  <c r="C228" i="21" a="1"/>
  <c r="C228" i="21" l="1"/>
  <c r="AG139" i="2" a="1"/>
  <c r="AG139" i="2" l="1"/>
  <c r="AF139" i="2" a="1"/>
  <c r="AF139" i="2" l="1"/>
  <c r="T192" i="2" a="1"/>
  <c r="T192" i="2" l="1"/>
  <c r="C56" i="4" a="1"/>
  <c r="C56" i="4" l="1"/>
  <c r="C33" i="4" a="1"/>
  <c r="C33" i="4" l="1"/>
  <c r="V99" i="2"/>
  <c r="V197" i="2"/>
  <c r="U116" i="2"/>
  <c r="U220" i="2"/>
  <c r="U213" i="2"/>
  <c r="U200" i="2"/>
  <c r="U203" i="2" s="1"/>
  <c r="V217" i="2" l="1"/>
  <c r="U32" i="2"/>
  <c r="U169" i="2" s="1"/>
  <c r="V211" i="2"/>
  <c r="U27" i="2"/>
  <c r="U168" i="2" s="1"/>
  <c r="U126" i="2"/>
  <c r="V123" i="2" s="1"/>
  <c r="V112" i="2"/>
  <c r="AE7" i="26"/>
  <c r="AE6" i="26"/>
  <c r="AE5" i="26"/>
  <c r="AE4" i="26"/>
  <c r="D5" i="26"/>
  <c r="D6" i="26"/>
  <c r="D7" i="26"/>
  <c r="D4" i="26"/>
  <c r="U170" i="2" l="1"/>
  <c r="U49" i="2"/>
  <c r="BX26" i="7"/>
  <c r="CZ10" i="9"/>
  <c r="CY10" i="9"/>
  <c r="CZ9" i="9"/>
  <c r="CY9" i="9"/>
  <c r="CZ8" i="9"/>
  <c r="CY8" i="9"/>
  <c r="BX7" i="7"/>
  <c r="CZ11" i="9"/>
  <c r="CY11" i="9"/>
  <c r="BX23" i="7"/>
  <c r="CN265" i="1"/>
  <c r="BX9" i="7"/>
  <c r="CZ7" i="9"/>
  <c r="CY7" i="9"/>
  <c r="BX71" i="7"/>
  <c r="BX46" i="7"/>
  <c r="BX40" i="7"/>
  <c r="CY3" i="9"/>
  <c r="BX43" i="7"/>
  <c r="CY13" i="9"/>
  <c r="CJ264" i="1"/>
  <c r="CL263" i="1"/>
  <c r="CK263" i="1"/>
  <c r="CI263" i="1"/>
  <c r="CH263" i="1"/>
  <c r="CG263" i="1"/>
  <c r="CF263" i="1"/>
  <c r="CD263" i="1"/>
  <c r="CC263" i="1"/>
  <c r="CB263" i="1"/>
  <c r="CA263" i="1"/>
  <c r="BC164" i="19"/>
  <c r="BB164" i="19"/>
  <c r="BA164" i="19"/>
  <c r="AZ164" i="19"/>
  <c r="AY164" i="19"/>
  <c r="AX164" i="19"/>
  <c r="AW164" i="19"/>
  <c r="AV164" i="19"/>
  <c r="AU164" i="19"/>
  <c r="AT164" i="19"/>
  <c r="AS164" i="19"/>
  <c r="AR164" i="19"/>
  <c r="CQ181" i="1"/>
  <c r="CR181" i="1"/>
  <c r="CS181" i="1"/>
  <c r="CT181" i="1"/>
  <c r="CP181" i="1"/>
  <c r="AD132" i="1"/>
  <c r="AE132" i="1"/>
  <c r="AF132" i="1"/>
  <c r="AD134" i="1"/>
  <c r="AE134" i="1"/>
  <c r="AF134" i="1"/>
  <c r="AC134" i="1"/>
  <c r="AC132" i="1"/>
  <c r="AI132" i="1"/>
  <c r="AJ132" i="1"/>
  <c r="AK132" i="1"/>
  <c r="AI134" i="1"/>
  <c r="AJ134" i="1"/>
  <c r="AK134" i="1"/>
  <c r="AH134" i="1"/>
  <c r="AH132" i="1"/>
  <c r="AN132" i="1"/>
  <c r="AO132" i="1"/>
  <c r="AP132" i="1"/>
  <c r="AN134" i="1"/>
  <c r="AO134" i="1"/>
  <c r="AP134" i="1"/>
  <c r="AM134" i="1"/>
  <c r="AM132" i="1"/>
  <c r="AS132" i="1"/>
  <c r="AT132" i="1"/>
  <c r="AU132" i="1"/>
  <c r="AS134" i="1"/>
  <c r="AT134" i="1"/>
  <c r="AU134" i="1"/>
  <c r="AR134" i="1"/>
  <c r="AR132" i="1"/>
  <c r="AX132" i="1"/>
  <c r="AY132" i="1"/>
  <c r="AZ132" i="1"/>
  <c r="AX134" i="1"/>
  <c r="AY134" i="1"/>
  <c r="AZ134" i="1"/>
  <c r="AX136" i="1"/>
  <c r="AY136" i="1"/>
  <c r="AZ136" i="1"/>
  <c r="AW136" i="1"/>
  <c r="AW134" i="1"/>
  <c r="AW132" i="1"/>
  <c r="BC132" i="1"/>
  <c r="BD132" i="1"/>
  <c r="BE132" i="1"/>
  <c r="BC134" i="1"/>
  <c r="BD134" i="1"/>
  <c r="BE134" i="1"/>
  <c r="BC136" i="1"/>
  <c r="BD136" i="1"/>
  <c r="BE136" i="1"/>
  <c r="BB136" i="1"/>
  <c r="BB134" i="1"/>
  <c r="BB132" i="1"/>
  <c r="BH132" i="1"/>
  <c r="BI132" i="1"/>
  <c r="BJ132" i="1"/>
  <c r="BH134" i="1"/>
  <c r="BI134" i="1"/>
  <c r="BJ134" i="1"/>
  <c r="BH136" i="1"/>
  <c r="BI136" i="1"/>
  <c r="BJ136" i="1"/>
  <c r="BG136" i="1"/>
  <c r="BG134" i="1"/>
  <c r="BG132" i="1"/>
  <c r="BM132" i="1"/>
  <c r="BN132" i="1"/>
  <c r="BO132" i="1"/>
  <c r="BM134" i="1"/>
  <c r="BN134" i="1"/>
  <c r="BO134" i="1"/>
  <c r="BM136" i="1"/>
  <c r="BN136" i="1"/>
  <c r="BO136" i="1"/>
  <c r="BL136" i="1"/>
  <c r="BL134" i="1"/>
  <c r="BL132" i="1"/>
  <c r="BW132" i="1"/>
  <c r="BX132" i="1"/>
  <c r="BY132" i="1"/>
  <c r="BW134" i="1"/>
  <c r="BX134" i="1"/>
  <c r="BY134" i="1"/>
  <c r="BW136" i="1"/>
  <c r="BX136" i="1"/>
  <c r="BY136" i="1"/>
  <c r="BV136" i="1"/>
  <c r="BV134" i="1"/>
  <c r="BV132" i="1"/>
  <c r="BR132" i="1"/>
  <c r="BS132" i="1"/>
  <c r="BT132" i="1"/>
  <c r="BR134" i="1"/>
  <c r="BS134" i="1"/>
  <c r="BT134" i="1"/>
  <c r="BR136" i="1"/>
  <c r="BS136" i="1"/>
  <c r="BT136" i="1"/>
  <c r="BQ136" i="1"/>
  <c r="BQ134" i="1"/>
  <c r="BQ132" i="1"/>
  <c r="CB132" i="1"/>
  <c r="CC132" i="1"/>
  <c r="CD132" i="1"/>
  <c r="CB134" i="1"/>
  <c r="CC134" i="1"/>
  <c r="CD134" i="1"/>
  <c r="CB136" i="1"/>
  <c r="CC136" i="1"/>
  <c r="CD136" i="1"/>
  <c r="CA136" i="1"/>
  <c r="CA134" i="1"/>
  <c r="CA132" i="1"/>
  <c r="CG132" i="1"/>
  <c r="CH132" i="1"/>
  <c r="CM133" i="1" s="1"/>
  <c r="CI132" i="1"/>
  <c r="CG134" i="1"/>
  <c r="CH134" i="1"/>
  <c r="CM135" i="1" s="1"/>
  <c r="CI134" i="1"/>
  <c r="CG136" i="1"/>
  <c r="CH136" i="1"/>
  <c r="CM137" i="1" s="1"/>
  <c r="CI136" i="1"/>
  <c r="CF136" i="1"/>
  <c r="CF134" i="1"/>
  <c r="CF132" i="1"/>
  <c r="CK136" i="1"/>
  <c r="CY6" i="9" s="1"/>
  <c r="CK134" i="1"/>
  <c r="CK132" i="1"/>
  <c r="CL136" i="1"/>
  <c r="CL134" i="1"/>
  <c r="CL132" i="1"/>
  <c r="BX38" i="7" l="1"/>
  <c r="CZ6" i="9"/>
  <c r="BX11" i="7"/>
  <c r="BX35" i="7" s="1"/>
  <c r="CZ13" i="9"/>
  <c r="CZ14" i="9" s="1"/>
  <c r="BX41" i="7"/>
  <c r="CZ3" i="9"/>
  <c r="CY14" i="9"/>
  <c r="CC283" i="1"/>
  <c r="BX19" i="7"/>
  <c r="BX22" i="7"/>
  <c r="BX33" i="7"/>
  <c r="AY135" i="1"/>
  <c r="BX51" i="7"/>
  <c r="BX48" i="7" s="1"/>
  <c r="BX50" i="7"/>
  <c r="BX47" i="7" s="1"/>
  <c r="BX30" i="7"/>
  <c r="BX8" i="7"/>
  <c r="CL90" i="1"/>
  <c r="BX42" i="7"/>
  <c r="U53" i="2"/>
  <c r="CB283" i="1"/>
  <c r="CA283" i="1"/>
  <c r="CD283" i="1"/>
  <c r="CF283" i="1"/>
  <c r="CG283" i="1"/>
  <c r="CH283" i="1"/>
  <c r="CI283" i="1"/>
  <c r="CK283" i="1"/>
  <c r="CL283" i="1"/>
  <c r="BB135" i="1"/>
  <c r="BE135" i="1"/>
  <c r="CH135" i="1"/>
  <c r="BM133" i="1"/>
  <c r="BE133" i="1"/>
  <c r="BQ137" i="1"/>
  <c r="CD133" i="1"/>
  <c r="CG133" i="1"/>
  <c r="CC135" i="1"/>
  <c r="BG133" i="1"/>
  <c r="AR133" i="1"/>
  <c r="CB133" i="1"/>
  <c r="AO133" i="1"/>
  <c r="BQ133" i="1"/>
  <c r="BO133" i="1"/>
  <c r="AX135" i="1"/>
  <c r="CF133" i="1"/>
  <c r="BT135" i="1"/>
  <c r="BN135" i="1"/>
  <c r="BT137" i="1"/>
  <c r="BM135" i="1"/>
  <c r="BI133" i="1"/>
  <c r="BB133" i="1"/>
  <c r="BR135" i="1"/>
  <c r="BT133" i="1"/>
  <c r="BL133" i="1"/>
  <c r="BL135" i="1"/>
  <c r="AN135" i="1"/>
  <c r="BN133" i="1"/>
  <c r="CI133" i="1"/>
  <c r="BH133" i="1"/>
  <c r="CD135" i="1"/>
  <c r="BW135" i="1"/>
  <c r="CG135" i="1"/>
  <c r="BS133" i="1"/>
  <c r="CC133" i="1"/>
  <c r="AP135" i="1"/>
  <c r="AU133" i="1"/>
  <c r="AK133" i="1"/>
  <c r="AZ135" i="1"/>
  <c r="AH133" i="1"/>
  <c r="BQ135" i="1"/>
  <c r="BV137" i="1"/>
  <c r="CJ263" i="1"/>
  <c r="AP133" i="1"/>
  <c r="BD133" i="1"/>
  <c r="CI135" i="1"/>
  <c r="BY135" i="1"/>
  <c r="BS135" i="1"/>
  <c r="AN133" i="1"/>
  <c r="CB135" i="1"/>
  <c r="BX135" i="1"/>
  <c r="AJ133" i="1"/>
  <c r="BY133" i="1"/>
  <c r="BH135" i="1"/>
  <c r="AT133" i="1"/>
  <c r="CH133" i="1"/>
  <c r="BD135" i="1"/>
  <c r="AI133" i="1"/>
  <c r="BX133" i="1"/>
  <c r="AO135" i="1"/>
  <c r="CA133" i="1"/>
  <c r="CF135" i="1"/>
  <c r="BV135" i="1"/>
  <c r="BC135" i="1"/>
  <c r="BC133" i="1"/>
  <c r="CE263" i="1"/>
  <c r="CJ262" i="1"/>
  <c r="AY133" i="1"/>
  <c r="AZ133" i="1"/>
  <c r="AX133" i="1"/>
  <c r="BR133" i="1"/>
  <c r="BO135" i="1"/>
  <c r="BJ135" i="1"/>
  <c r="AH135" i="1"/>
  <c r="BS137" i="1"/>
  <c r="BI135" i="1"/>
  <c r="BJ133" i="1"/>
  <c r="CA137" i="1"/>
  <c r="CA135" i="1"/>
  <c r="BR137" i="1"/>
  <c r="AW133" i="1"/>
  <c r="AM133" i="1"/>
  <c r="AS133" i="1"/>
  <c r="AW135" i="1"/>
  <c r="BG135" i="1"/>
  <c r="BW133" i="1"/>
  <c r="BY137" i="1"/>
  <c r="BW137" i="1"/>
  <c r="BX137" i="1"/>
  <c r="BV133" i="1"/>
  <c r="BX24" i="7" l="1"/>
  <c r="BX28" i="7" s="1"/>
  <c r="AG2" i="26" l="1"/>
  <c r="F2" i="26"/>
  <c r="G2" i="26" s="1"/>
  <c r="CY227" i="1"/>
  <c r="CZ227" i="1" s="1"/>
  <c r="DA227" i="1" s="1"/>
  <c r="DB227" i="1" s="1"/>
  <c r="DC227" i="1" s="1"/>
  <c r="CX257" i="1"/>
  <c r="CX248" i="1"/>
  <c r="CX236" i="1"/>
  <c r="CY237" i="1" s="1"/>
  <c r="W2" i="26"/>
  <c r="X2" i="26" s="1"/>
  <c r="Y2" i="26" s="1"/>
  <c r="Z2" i="26" s="1"/>
  <c r="AA2" i="26" s="1"/>
  <c r="AB2" i="26" s="1"/>
  <c r="AC2" i="26" s="1"/>
  <c r="AA36" i="14"/>
  <c r="AA32" i="14"/>
  <c r="AA28" i="14"/>
  <c r="AA25" i="14"/>
  <c r="AA16" i="14"/>
  <c r="AA12" i="14"/>
  <c r="AA10" i="14"/>
  <c r="CL31" i="1"/>
  <c r="CL74" i="1"/>
  <c r="CL75" i="1"/>
  <c r="CL53" i="1"/>
  <c r="CL318" i="1"/>
  <c r="CL188" i="1"/>
  <c r="CM189" i="1" s="1"/>
  <c r="CL186" i="1"/>
  <c r="CL174" i="1"/>
  <c r="CL12" i="1"/>
  <c r="CL253" i="1"/>
  <c r="CL161" i="1"/>
  <c r="CL232" i="1"/>
  <c r="CL235" i="1"/>
  <c r="CL294" i="1"/>
  <c r="CL323" i="1"/>
  <c r="CL240" i="1"/>
  <c r="CN240" i="1" s="1"/>
  <c r="CL241" i="1"/>
  <c r="CN241" i="1" s="1"/>
  <c r="CL244" i="1"/>
  <c r="CN244" i="1" s="1"/>
  <c r="CL439" i="1"/>
  <c r="CL447" i="1"/>
  <c r="CL451" i="1"/>
  <c r="CL57" i="1" l="1"/>
  <c r="CM61" i="1"/>
  <c r="BX57" i="7"/>
  <c r="CM163" i="1"/>
  <c r="CX254" i="1"/>
  <c r="CL76" i="1"/>
  <c r="CL77" i="1" s="1"/>
  <c r="CL42" i="1"/>
  <c r="CL393" i="1"/>
  <c r="CL266" i="1"/>
  <c r="CL271" i="1" s="1"/>
  <c r="AH2" i="26"/>
  <c r="CL312" i="1"/>
  <c r="CL292" i="1"/>
  <c r="CL293" i="1" s="1"/>
  <c r="AI2" i="26"/>
  <c r="H2" i="26"/>
  <c r="CL223" i="1"/>
  <c r="CL328" i="1"/>
  <c r="CL455" i="1"/>
  <c r="CL465" i="1" s="1"/>
  <c r="CL330" i="1"/>
  <c r="CL252" i="1"/>
  <c r="CL254" i="1" s="1"/>
  <c r="CL256" i="1" s="1"/>
  <c r="CL16" i="1"/>
  <c r="CL233" i="1"/>
  <c r="CL171" i="1"/>
  <c r="BX45" i="7" s="1"/>
  <c r="CL242" i="1"/>
  <c r="CN242" i="1" s="1"/>
  <c r="CL190" i="1"/>
  <c r="CL165" i="1"/>
  <c r="CL411" i="1"/>
  <c r="CL289" i="1"/>
  <c r="CL243" i="1"/>
  <c r="CN243" i="1" s="1"/>
  <c r="CL35" i="1"/>
  <c r="BX12" i="7" s="1"/>
  <c r="BX44" i="7" l="1"/>
  <c r="CM168" i="1"/>
  <c r="BX10" i="7"/>
  <c r="BX34" i="7" s="1"/>
  <c r="CL20" i="1"/>
  <c r="CL275" i="1"/>
  <c r="CL282" i="1"/>
  <c r="CL285" i="1" s="1"/>
  <c r="CL269" i="1"/>
  <c r="CL431" i="1"/>
  <c r="CL459" i="1"/>
  <c r="CL430" i="1"/>
  <c r="I2" i="26"/>
  <c r="AJ2" i="26"/>
  <c r="CL419" i="1"/>
  <c r="J2" i="26" l="1"/>
  <c r="AL2" i="26" s="1"/>
  <c r="AK2" i="26"/>
  <c r="CL423" i="1"/>
  <c r="CL425" i="1"/>
  <c r="CL426" i="1" s="1"/>
  <c r="CL442" i="1"/>
  <c r="CL421" i="1"/>
  <c r="CL443" i="1" l="1"/>
  <c r="CL445" i="1"/>
  <c r="X5" i="16" l="1"/>
  <c r="Y5" i="16" s="1"/>
  <c r="Z5" i="16" s="1"/>
  <c r="AA5" i="16" s="1"/>
  <c r="AB5" i="16" s="1"/>
  <c r="AC5" i="16" s="1"/>
  <c r="P5" i="16"/>
  <c r="Q5" i="16" s="1"/>
  <c r="R5" i="16" s="1"/>
  <c r="S5" i="16" s="1"/>
  <c r="T5" i="16" s="1"/>
  <c r="U5" i="16" s="1"/>
  <c r="E5" i="16"/>
  <c r="F5" i="16" s="1"/>
  <c r="G5" i="16" s="1"/>
  <c r="H5" i="16" s="1"/>
  <c r="I5" i="16" s="1"/>
  <c r="J5" i="16" s="1"/>
  <c r="K5" i="16" s="1"/>
  <c r="L5" i="16" s="1"/>
  <c r="C445" i="21"/>
  <c r="C446" i="21" s="1"/>
  <c r="W308" i="21"/>
  <c r="V308" i="21"/>
  <c r="C441" i="21" l="1"/>
  <c r="AO26" i="7" l="1"/>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8" i="7"/>
  <c r="E28" i="7"/>
  <c r="D28" i="7"/>
  <c r="C28" i="7"/>
  <c r="D175" i="21"/>
  <c r="C64" i="21" l="1"/>
  <c r="N309" i="21" l="1"/>
  <c r="Q72" i="21"/>
  <c r="R72" i="21"/>
  <c r="S72" i="21"/>
  <c r="T72" i="21"/>
  <c r="P72" i="21"/>
  <c r="O60" i="21"/>
  <c r="C176" i="21"/>
  <c r="D176" i="21" s="1"/>
  <c r="L382" i="21"/>
  <c r="J310" i="21" l="1"/>
  <c r="J313" i="21" s="1"/>
  <c r="K310" i="21"/>
  <c r="K313" i="21" s="1"/>
  <c r="L310" i="21"/>
  <c r="L313" i="21" s="1"/>
  <c r="L305" i="21" s="1"/>
  <c r="M310" i="21"/>
  <c r="M313" i="21" s="1"/>
  <c r="J305" i="21" l="1"/>
  <c r="M305" i="21"/>
  <c r="K305" i="21"/>
  <c r="C210" i="21" l="1"/>
  <c r="Q197" i="21" l="1"/>
  <c r="R197" i="21" s="1"/>
  <c r="S197" i="21" s="1"/>
  <c r="T197" i="21" s="1"/>
  <c r="N509" i="21" l="1"/>
  <c r="C38" i="25" s="1"/>
  <c r="O473" i="21"/>
  <c r="C29" i="25" l="1"/>
  <c r="M138" i="3"/>
  <c r="N138" i="3"/>
  <c r="O138" i="3"/>
  <c r="P138" i="3"/>
  <c r="Q138" i="3"/>
  <c r="R138" i="3"/>
  <c r="S138" i="3"/>
  <c r="L138" i="3"/>
  <c r="M129" i="3"/>
  <c r="N129" i="3"/>
  <c r="O129" i="3"/>
  <c r="P129" i="3"/>
  <c r="Q129" i="3"/>
  <c r="R129" i="3"/>
  <c r="S129" i="3"/>
  <c r="T129" i="3"/>
  <c r="U129" i="3"/>
  <c r="V129" i="3"/>
  <c r="W129" i="3"/>
  <c r="X129" i="3"/>
  <c r="Y129" i="3"/>
  <c r="L129" i="3"/>
  <c r="C49" i="25"/>
  <c r="C21" i="25"/>
  <c r="C41" i="25"/>
  <c r="D43" i="25"/>
  <c r="D44" i="25" s="1"/>
  <c r="E43" i="25"/>
  <c r="E44" i="25" s="1"/>
  <c r="F43" i="25"/>
  <c r="F44" i="25" s="1"/>
  <c r="G43" i="25"/>
  <c r="G44" i="25" s="1"/>
  <c r="C43" i="25"/>
  <c r="C44" i="25" s="1"/>
  <c r="N427" i="21"/>
  <c r="D26" i="25"/>
  <c r="E26" i="25"/>
  <c r="F26" i="25"/>
  <c r="G26" i="25"/>
  <c r="C30" i="25"/>
  <c r="C26" i="25"/>
  <c r="C19" i="25"/>
  <c r="D8" i="25"/>
  <c r="E8" i="25" s="1"/>
  <c r="F8" i="25" s="1"/>
  <c r="G8" i="25" s="1"/>
  <c r="G41" i="25" s="1"/>
  <c r="R23" i="22"/>
  <c r="C58" i="25" l="1"/>
  <c r="E21" i="25"/>
  <c r="F21" i="25"/>
  <c r="D21" i="25"/>
  <c r="G21" i="25"/>
  <c r="F49" i="25"/>
  <c r="E49" i="25"/>
  <c r="E41" i="25"/>
  <c r="D49" i="25"/>
  <c r="F41" i="25"/>
  <c r="D41" i="25"/>
  <c r="G49" i="25"/>
  <c r="Z22" i="22"/>
  <c r="Y22" i="22"/>
  <c r="O33" i="22"/>
  <c r="O36" i="22" s="1"/>
  <c r="O27" i="22"/>
  <c r="O38" i="22" s="1"/>
  <c r="O23" i="22"/>
  <c r="O37" i="22" s="1"/>
  <c r="P33" i="22"/>
  <c r="P36" i="22" s="1"/>
  <c r="P27" i="22"/>
  <c r="P38" i="22" s="1"/>
  <c r="Y26" i="22" s="1"/>
  <c r="P23" i="22"/>
  <c r="P37" i="22" s="1"/>
  <c r="Y25" i="22" s="1"/>
  <c r="Y23" i="22" l="1"/>
  <c r="Z169" i="21" l="1"/>
  <c r="P405" i="21" l="1"/>
  <c r="Q405" i="21"/>
  <c r="R405" i="21"/>
  <c r="S405" i="21"/>
  <c r="T405" i="21"/>
  <c r="O405" i="21"/>
  <c r="P29" i="21" l="1"/>
  <c r="Q29" i="21" s="1"/>
  <c r="R29" i="21" s="1"/>
  <c r="S29" i="21" s="1"/>
  <c r="T29" i="21" s="1"/>
  <c r="N327" i="21"/>
  <c r="N326" i="21"/>
  <c r="Q5" i="14" l="1"/>
  <c r="P406" i="21"/>
  <c r="Q406" i="21"/>
  <c r="R406" i="21"/>
  <c r="S406" i="21"/>
  <c r="T406" i="21"/>
  <c r="O406" i="21"/>
  <c r="N275" i="21"/>
  <c r="N287" i="21" s="1"/>
  <c r="O407" i="21" l="1"/>
  <c r="O274" i="21" s="1"/>
  <c r="Q407" i="21"/>
  <c r="Q274" i="21" s="1"/>
  <c r="S407" i="21"/>
  <c r="S274" i="21" s="1"/>
  <c r="P407" i="21"/>
  <c r="P274" i="21" s="1"/>
  <c r="T407" i="21"/>
  <c r="R407" i="21"/>
  <c r="O275" i="21"/>
  <c r="P408" i="21" l="1"/>
  <c r="P280" i="21"/>
  <c r="Q408" i="21"/>
  <c r="Q280" i="21"/>
  <c r="T274" i="21"/>
  <c r="T408" i="21"/>
  <c r="R274" i="21"/>
  <c r="R280" i="21" s="1"/>
  <c r="R408" i="21"/>
  <c r="S408" i="21"/>
  <c r="P275" i="21"/>
  <c r="Q275" i="21" s="1"/>
  <c r="R275" i="21" s="1"/>
  <c r="S280" i="21" l="1"/>
  <c r="T280" i="21"/>
  <c r="S275" i="21"/>
  <c r="T275" i="21" s="1"/>
  <c r="V275" i="21" s="1"/>
  <c r="H53" i="22" l="1"/>
  <c r="N53" i="22" s="1"/>
  <c r="H52" i="22"/>
  <c r="I301" i="21"/>
  <c r="I292" i="21"/>
  <c r="I309" i="21"/>
  <c r="E5" i="24"/>
  <c r="D5" i="24"/>
  <c r="AC22" i="22"/>
  <c r="AB22" i="22"/>
  <c r="T27" i="22"/>
  <c r="AC23" i="22" s="1"/>
  <c r="V35" i="22"/>
  <c r="V26" i="22"/>
  <c r="V25" i="22"/>
  <c r="Q27" i="22"/>
  <c r="Q38" i="22" l="1"/>
  <c r="Z26" i="22" s="1"/>
  <c r="Z23" i="22"/>
  <c r="K53" i="22"/>
  <c r="L53" i="22"/>
  <c r="M53" i="22"/>
  <c r="S33" i="22"/>
  <c r="S36" i="22" s="1"/>
  <c r="S27" i="22"/>
  <c r="S23" i="22"/>
  <c r="S37" i="22" s="1"/>
  <c r="AB25" i="22" s="1"/>
  <c r="R26" i="22"/>
  <c r="S38" i="22" l="1"/>
  <c r="AB26" i="22" s="1"/>
  <c r="V27" i="22"/>
  <c r="AB23" i="22"/>
  <c r="T38" i="22"/>
  <c r="AC26" i="22" s="1"/>
  <c r="T23" i="22"/>
  <c r="Q23" i="22"/>
  <c r="R25" i="22"/>
  <c r="R27" i="22" s="1"/>
  <c r="AA23" i="22" s="1"/>
  <c r="T37" i="22" l="1"/>
  <c r="AC25" i="22" s="1"/>
  <c r="V23" i="22"/>
  <c r="Q37" i="22"/>
  <c r="Z25" i="22" s="1"/>
  <c r="T33" i="22" l="1"/>
  <c r="T36" i="22" s="1"/>
  <c r="Q33" i="22"/>
  <c r="Q36" i="22" s="1"/>
  <c r="R33" i="22"/>
  <c r="I172" i="17"/>
  <c r="D49" i="17"/>
  <c r="K37" i="17" s="1"/>
  <c r="F49" i="17"/>
  <c r="D56" i="17"/>
  <c r="K34" i="17" s="1"/>
  <c r="F56" i="17"/>
  <c r="D57" i="17"/>
  <c r="K36" i="17" s="1"/>
  <c r="F57" i="17"/>
  <c r="D58" i="17"/>
  <c r="F58" i="17"/>
  <c r="D59" i="17"/>
  <c r="K35" i="17" s="1"/>
  <c r="F59" i="17"/>
  <c r="D55" i="17"/>
  <c r="F55" i="17"/>
  <c r="D51" i="17"/>
  <c r="D52" i="17" s="1"/>
  <c r="E191" i="17" s="1"/>
  <c r="F51" i="17"/>
  <c r="F52" i="17" s="1"/>
  <c r="G48" i="17"/>
  <c r="D46" i="17"/>
  <c r="F46" i="17"/>
  <c r="D43" i="17"/>
  <c r="R36" i="22" l="1"/>
  <c r="R35" i="22" s="1"/>
  <c r="F43" i="17"/>
  <c r="AA22" i="22" l="1"/>
  <c r="R37" i="22"/>
  <c r="D66" i="17"/>
  <c r="F66" i="17"/>
  <c r="N301" i="21" l="1"/>
  <c r="T130" i="21"/>
  <c r="S130" i="21"/>
  <c r="R130" i="21"/>
  <c r="Q130" i="21"/>
  <c r="P130" i="21"/>
  <c r="O130" i="21"/>
  <c r="P126" i="21"/>
  <c r="Q126" i="21"/>
  <c r="R126" i="21"/>
  <c r="S126" i="21"/>
  <c r="T126" i="21"/>
  <c r="O126" i="21"/>
  <c r="P60" i="21" l="1"/>
  <c r="Q60" i="21"/>
  <c r="R60" i="21"/>
  <c r="S60" i="21"/>
  <c r="T60" i="21"/>
  <c r="D125" i="17"/>
  <c r="D136" i="17"/>
  <c r="C136" i="17"/>
  <c r="AJ70" i="2"/>
  <c r="AJ69" i="2"/>
  <c r="O425" i="21" l="1"/>
  <c r="D29" i="25" l="1"/>
  <c r="O475" i="21"/>
  <c r="O476" i="21" s="1"/>
  <c r="J415" i="21"/>
  <c r="K415" i="21"/>
  <c r="L415" i="21"/>
  <c r="M415" i="21"/>
  <c r="J423" i="21"/>
  <c r="J424" i="21" s="1"/>
  <c r="J426" i="21" s="1"/>
  <c r="K423" i="21"/>
  <c r="K424" i="21" s="1"/>
  <c r="K426" i="21" s="1"/>
  <c r="L423" i="21"/>
  <c r="L424" i="21" s="1"/>
  <c r="L426" i="21" s="1"/>
  <c r="M423" i="21"/>
  <c r="M424" i="21" s="1"/>
  <c r="M426" i="21" s="1"/>
  <c r="I464" i="21"/>
  <c r="N464" i="21"/>
  <c r="I463" i="21"/>
  <c r="I423" i="21" s="1"/>
  <c r="N463" i="21"/>
  <c r="N423" i="21" s="1"/>
  <c r="C24" i="25" s="1"/>
  <c r="J465" i="21"/>
  <c r="K465" i="21"/>
  <c r="L465" i="21"/>
  <c r="M465" i="21"/>
  <c r="J418" i="21"/>
  <c r="K418" i="21"/>
  <c r="L418" i="21"/>
  <c r="M418" i="21"/>
  <c r="J417" i="21"/>
  <c r="K417" i="21"/>
  <c r="M417" i="21"/>
  <c r="J455" i="21"/>
  <c r="K455" i="21"/>
  <c r="L455" i="21"/>
  <c r="M455" i="21"/>
  <c r="C29" i="23"/>
  <c r="D120" i="17"/>
  <c r="E120" i="17"/>
  <c r="F68" i="17"/>
  <c r="F67" i="17"/>
  <c r="E69" i="17"/>
  <c r="F69" i="17" s="1"/>
  <c r="H174" i="17"/>
  <c r="G186" i="17"/>
  <c r="H183" i="17" s="1"/>
  <c r="E186" i="17"/>
  <c r="H191" i="17" s="1"/>
  <c r="F185" i="17"/>
  <c r="F184" i="17"/>
  <c r="F183" i="17"/>
  <c r="F182" i="17"/>
  <c r="G166" i="17"/>
  <c r="O479" i="21" l="1"/>
  <c r="P473" i="21"/>
  <c r="O509" i="21"/>
  <c r="D38" i="25" s="1"/>
  <c r="K420" i="21"/>
  <c r="J420" i="21"/>
  <c r="M420" i="21"/>
  <c r="H182" i="17"/>
  <c r="H184" i="17"/>
  <c r="H190" i="17"/>
  <c r="H192" i="17" l="1"/>
  <c r="H193" i="17" s="1"/>
  <c r="BW49" i="7"/>
  <c r="BW39" i="7"/>
  <c r="BW37" i="7"/>
  <c r="CK439" i="1"/>
  <c r="CK244" i="1"/>
  <c r="CK243" i="1"/>
  <c r="CK242" i="1"/>
  <c r="CK241" i="1"/>
  <c r="CK393" i="1"/>
  <c r="CK232" i="1"/>
  <c r="AS10" i="18"/>
  <c r="BW40" i="7"/>
  <c r="CK323" i="1"/>
  <c r="CK318" i="1"/>
  <c r="CK451" i="1"/>
  <c r="CK253" i="1"/>
  <c r="BV37" i="7"/>
  <c r="BV39" i="7"/>
  <c r="BV49" i="7"/>
  <c r="CK74" i="1" l="1"/>
  <c r="CL80" i="1"/>
  <c r="CK75" i="1"/>
  <c r="CL87" i="1"/>
  <c r="BW71" i="7"/>
  <c r="CL181" i="1"/>
  <c r="BW11" i="7"/>
  <c r="BW24" i="7" s="1"/>
  <c r="AS12" i="18"/>
  <c r="BW38" i="7"/>
  <c r="AS17" i="18"/>
  <c r="CK252" i="1"/>
  <c r="CK254" i="1" s="1"/>
  <c r="CK256" i="1" s="1"/>
  <c r="CK188" i="1"/>
  <c r="CL189" i="1" s="1"/>
  <c r="CK35" i="1"/>
  <c r="BW12" i="7" s="1"/>
  <c r="BW62" i="7"/>
  <c r="BV62" i="7"/>
  <c r="CK161" i="1"/>
  <c r="BW9" i="7"/>
  <c r="BW22" i="7" s="1"/>
  <c r="BW42" i="7"/>
  <c r="BW43" i="7"/>
  <c r="CK12" i="1"/>
  <c r="CK16" i="1" s="1"/>
  <c r="CK411" i="1"/>
  <c r="CK31" i="1"/>
  <c r="CK240" i="1"/>
  <c r="CK76" i="1" l="1"/>
  <c r="CK77" i="1" s="1"/>
  <c r="CL324" i="1"/>
  <c r="CL321" i="1" s="1"/>
  <c r="CL88" i="1"/>
  <c r="BW57" i="7"/>
  <c r="CL163" i="1"/>
  <c r="CL81" i="1"/>
  <c r="CL83" i="1"/>
  <c r="CL319" i="1" s="1"/>
  <c r="CL316" i="1" s="1"/>
  <c r="T389" i="2"/>
  <c r="AC83" i="3" s="1"/>
  <c r="N392" i="2"/>
  <c r="O392" i="2"/>
  <c r="P392" i="2"/>
  <c r="Q392" i="2"/>
  <c r="R392" i="2"/>
  <c r="S392" i="2"/>
  <c r="T392" i="2"/>
  <c r="M392" i="2"/>
  <c r="L87" i="3"/>
  <c r="M87" i="3"/>
  <c r="N87" i="3"/>
  <c r="O87" i="3"/>
  <c r="P87" i="3"/>
  <c r="Q87" i="3"/>
  <c r="R87" i="3"/>
  <c r="S87" i="3"/>
  <c r="T87" i="3"/>
  <c r="U87" i="3"/>
  <c r="V87" i="3"/>
  <c r="W87" i="3"/>
  <c r="X87" i="3"/>
  <c r="Y87" i="3"/>
  <c r="Z87" i="3"/>
  <c r="AA87" i="3"/>
  <c r="AB87" i="3"/>
  <c r="AC87" i="3"/>
  <c r="AD87" i="3"/>
  <c r="AE87" i="3"/>
  <c r="AF87" i="3"/>
  <c r="AG87" i="3"/>
  <c r="AH87" i="3"/>
  <c r="AI87" i="3"/>
  <c r="AB83" i="3"/>
  <c r="AA83" i="3"/>
  <c r="Z83" i="3"/>
  <c r="Y83" i="3"/>
  <c r="X83" i="3"/>
  <c r="W83" i="3"/>
  <c r="V83" i="3"/>
  <c r="U83" i="3"/>
  <c r="T83" i="3"/>
  <c r="S83" i="3"/>
  <c r="R83" i="3"/>
  <c r="Q83" i="3"/>
  <c r="P83" i="3"/>
  <c r="O83" i="3"/>
  <c r="N83" i="3"/>
  <c r="M83" i="3"/>
  <c r="L83" i="3"/>
  <c r="AI78" i="3"/>
  <c r="AH78" i="3"/>
  <c r="AG78" i="3"/>
  <c r="AF78" i="3"/>
  <c r="AE78" i="3"/>
  <c r="AD78" i="3"/>
  <c r="AC78" i="3"/>
  <c r="AB78" i="3"/>
  <c r="AA78" i="3"/>
  <c r="Z78" i="3"/>
  <c r="Y78" i="3"/>
  <c r="X78" i="3"/>
  <c r="W78" i="3"/>
  <c r="V78" i="3"/>
  <c r="U78" i="3"/>
  <c r="T78" i="3"/>
  <c r="S78" i="3"/>
  <c r="R78" i="3"/>
  <c r="Q78" i="3"/>
  <c r="P78" i="3"/>
  <c r="O78" i="3"/>
  <c r="N78" i="3"/>
  <c r="M78" i="3"/>
  <c r="L78" i="3"/>
  <c r="AI77" i="3"/>
  <c r="AH77" i="3"/>
  <c r="AG77" i="3"/>
  <c r="AF77" i="3"/>
  <c r="AE77" i="3"/>
  <c r="AD77" i="3"/>
  <c r="AC77" i="3"/>
  <c r="AB77" i="3"/>
  <c r="AA77" i="3"/>
  <c r="Z77" i="3"/>
  <c r="Y77" i="3"/>
  <c r="X77" i="3"/>
  <c r="W77" i="3"/>
  <c r="V77" i="3"/>
  <c r="U77" i="3"/>
  <c r="T77" i="3"/>
  <c r="S77" i="3"/>
  <c r="R77" i="3"/>
  <c r="Q77" i="3"/>
  <c r="P77" i="3"/>
  <c r="O77" i="3"/>
  <c r="N77" i="3"/>
  <c r="M77" i="3"/>
  <c r="L77" i="3"/>
  <c r="AI76" i="3"/>
  <c r="AH76" i="3"/>
  <c r="AG76" i="3"/>
  <c r="AF76" i="3"/>
  <c r="AE76" i="3"/>
  <c r="AD76" i="3"/>
  <c r="AC76" i="3"/>
  <c r="AB76" i="3"/>
  <c r="AA76" i="3"/>
  <c r="Z76" i="3"/>
  <c r="Y76" i="3"/>
  <c r="X76" i="3"/>
  <c r="W76" i="3"/>
  <c r="V76" i="3"/>
  <c r="U76" i="3"/>
  <c r="T76" i="3"/>
  <c r="S76" i="3"/>
  <c r="R76" i="3"/>
  <c r="Q76" i="3"/>
  <c r="P76" i="3"/>
  <c r="O76" i="3"/>
  <c r="N76" i="3"/>
  <c r="M76" i="3"/>
  <c r="L76" i="3"/>
  <c r="D71" i="3"/>
  <c r="E71" i="3" s="1"/>
  <c r="F71" i="3" s="1"/>
  <c r="G71" i="3" s="1"/>
  <c r="H71" i="3" s="1"/>
  <c r="I71" i="3" s="1"/>
  <c r="J71" i="3" s="1"/>
  <c r="K71" i="3" s="1"/>
  <c r="L71" i="3" s="1"/>
  <c r="M71" i="3" s="1"/>
  <c r="N71" i="3" s="1"/>
  <c r="O71" i="3" s="1"/>
  <c r="P71" i="3" s="1"/>
  <c r="Q71" i="3" s="1"/>
  <c r="R71" i="3" s="1"/>
  <c r="S71" i="3" s="1"/>
  <c r="T71" i="3" s="1"/>
  <c r="U71" i="3" s="1"/>
  <c r="V71" i="3" s="1"/>
  <c r="W71" i="3" s="1"/>
  <c r="X71" i="3" s="1"/>
  <c r="Y71" i="3" s="1"/>
  <c r="Z71" i="3" s="1"/>
  <c r="AA71" i="3" s="1"/>
  <c r="AB71" i="3" s="1"/>
  <c r="AC71" i="3" s="1"/>
  <c r="AD71" i="3" s="1"/>
  <c r="AE71" i="3" s="1"/>
  <c r="AF71" i="3" s="1"/>
  <c r="AG71" i="3" s="1"/>
  <c r="AH71" i="3" s="1"/>
  <c r="AI71" i="3" s="1"/>
  <c r="CL228" i="1" l="1"/>
  <c r="CL304" i="1"/>
  <c r="CL305" i="1"/>
  <c r="CL229" i="1"/>
  <c r="W389" i="2"/>
  <c r="P425" i="21"/>
  <c r="X389" i="2"/>
  <c r="Q425" i="21"/>
  <c r="Y389" i="2"/>
  <c r="R425" i="21"/>
  <c r="Z389" i="2"/>
  <c r="S425" i="21"/>
  <c r="S475" i="21" s="1"/>
  <c r="AA389" i="2"/>
  <c r="T425" i="21"/>
  <c r="T475" i="21" s="1"/>
  <c r="CL306" i="1" l="1"/>
  <c r="CL230" i="1" s="1"/>
  <c r="CL231" i="1" s="1"/>
  <c r="CL234" i="1" s="1"/>
  <c r="CL236" i="1" s="1"/>
  <c r="G29" i="25"/>
  <c r="R475" i="21"/>
  <c r="F29" i="25"/>
  <c r="Q475" i="21"/>
  <c r="E29" i="25"/>
  <c r="P475" i="21"/>
  <c r="P476" i="21" s="1"/>
  <c r="CL250" i="1" l="1"/>
  <c r="CL279" i="1"/>
  <c r="CL245" i="1"/>
  <c r="CL246" i="1" s="1"/>
  <c r="CL259" i="1"/>
  <c r="CL5" i="1"/>
  <c r="CL413" i="1" s="1"/>
  <c r="CL273" i="1"/>
  <c r="P479" i="21"/>
  <c r="Q473" i="21"/>
  <c r="Q476" i="21" s="1"/>
  <c r="Q479" i="21" s="1"/>
  <c r="P509" i="21"/>
  <c r="E38" i="25" s="1"/>
  <c r="CL396" i="1" l="1"/>
  <c r="CL28" i="1"/>
  <c r="CL408" i="1"/>
  <c r="CL404" i="1"/>
  <c r="CL391" i="1"/>
  <c r="CL8" i="1"/>
  <c r="CL14" i="1"/>
  <c r="CL400" i="1"/>
  <c r="CL22" i="1"/>
  <c r="R473" i="21"/>
  <c r="R476" i="21" s="1"/>
  <c r="R479" i="21" s="1"/>
  <c r="Q509" i="21"/>
  <c r="F38" i="25" s="1"/>
  <c r="D379" i="2"/>
  <c r="M73" i="3" s="1"/>
  <c r="E379" i="2"/>
  <c r="N73" i="3" s="1"/>
  <c r="D380" i="2"/>
  <c r="M74" i="3" s="1"/>
  <c r="E380" i="2"/>
  <c r="N74" i="3" s="1"/>
  <c r="D387" i="2"/>
  <c r="M81" i="3" s="1"/>
  <c r="E387" i="2"/>
  <c r="N81" i="3" s="1"/>
  <c r="F387" i="2"/>
  <c r="O81" i="3" s="1"/>
  <c r="G387" i="2"/>
  <c r="P81" i="3" s="1"/>
  <c r="H387" i="2"/>
  <c r="Q81" i="3" s="1"/>
  <c r="I387" i="2"/>
  <c r="R81" i="3" s="1"/>
  <c r="J387" i="2"/>
  <c r="S81" i="3" s="1"/>
  <c r="K387" i="2"/>
  <c r="T81" i="3" s="1"/>
  <c r="L387" i="2"/>
  <c r="U81" i="3" s="1"/>
  <c r="M387" i="2"/>
  <c r="V81" i="3" s="1"/>
  <c r="N387" i="2"/>
  <c r="W81" i="3" s="1"/>
  <c r="O387" i="2"/>
  <c r="X81" i="3" s="1"/>
  <c r="P387" i="2"/>
  <c r="Y81" i="3" s="1"/>
  <c r="C387" i="2"/>
  <c r="L81" i="3" s="1"/>
  <c r="C380" i="2"/>
  <c r="L74" i="3" s="1"/>
  <c r="C379" i="2"/>
  <c r="L73" i="3" s="1"/>
  <c r="C376" i="2"/>
  <c r="D376" i="2" s="1"/>
  <c r="E376" i="2" s="1"/>
  <c r="F376" i="2" s="1"/>
  <c r="G376" i="2" s="1"/>
  <c r="H376" i="2" s="1"/>
  <c r="I376" i="2" s="1"/>
  <c r="J376" i="2" s="1"/>
  <c r="K376" i="2" s="1"/>
  <c r="L376" i="2" s="1"/>
  <c r="M376" i="2" s="1"/>
  <c r="N376" i="2" s="1"/>
  <c r="O376" i="2" s="1"/>
  <c r="P376" i="2" s="1"/>
  <c r="Q376" i="2" s="1"/>
  <c r="R376" i="2" s="1"/>
  <c r="S376" i="2" s="1"/>
  <c r="T376" i="2" s="1"/>
  <c r="V376" i="2" s="1"/>
  <c r="W376" i="2" s="1"/>
  <c r="X376" i="2" s="1"/>
  <c r="Y376" i="2" s="1"/>
  <c r="Z376" i="2" s="1"/>
  <c r="AA376" i="2" s="1"/>
  <c r="S473" i="21" l="1"/>
  <c r="S476" i="21" s="1"/>
  <c r="S479" i="21" s="1"/>
  <c r="R509" i="21"/>
  <c r="G38" i="25" s="1"/>
  <c r="C162" i="21"/>
  <c r="D162" i="21" s="1"/>
  <c r="B54" i="4"/>
  <c r="T226" i="2"/>
  <c r="T227" i="2"/>
  <c r="T473" i="21" l="1"/>
  <c r="T476" i="21" s="1"/>
  <c r="T509" i="21" s="1"/>
  <c r="S509" i="21"/>
  <c r="T228" i="2"/>
  <c r="N292" i="21"/>
  <c r="H20" i="23"/>
  <c r="H44" i="23" s="1"/>
  <c r="H15" i="23"/>
  <c r="H39" i="23" s="1"/>
  <c r="H16" i="23"/>
  <c r="H40" i="23" s="1"/>
  <c r="H14" i="23"/>
  <c r="H38" i="23" s="1"/>
  <c r="H12" i="23"/>
  <c r="H36" i="23" s="1"/>
  <c r="H11" i="23"/>
  <c r="H35" i="23" s="1"/>
  <c r="H8" i="23"/>
  <c r="H32" i="23" s="1"/>
  <c r="H6" i="23"/>
  <c r="H5" i="23"/>
  <c r="N686" i="21"/>
  <c r="N357" i="21" s="1"/>
  <c r="N687" i="21"/>
  <c r="N358" i="21" s="1"/>
  <c r="I358" i="21"/>
  <c r="I357" i="21"/>
  <c r="CJ438" i="1"/>
  <c r="I38" i="21"/>
  <c r="N38" i="21"/>
  <c r="O38" i="21" s="1"/>
  <c r="P38" i="21" s="1"/>
  <c r="Q38" i="21" s="1"/>
  <c r="R38" i="21" s="1"/>
  <c r="S38" i="21" s="1"/>
  <c r="T38" i="21" s="1"/>
  <c r="N33" i="21"/>
  <c r="O33" i="21" s="1"/>
  <c r="P33" i="21" s="1"/>
  <c r="Q33" i="21" s="1"/>
  <c r="R33" i="21" s="1"/>
  <c r="S33" i="21" s="1"/>
  <c r="T33" i="21" s="1"/>
  <c r="F29" i="21"/>
  <c r="H29" i="21"/>
  <c r="I29" i="21"/>
  <c r="J29" i="21"/>
  <c r="K29" i="21"/>
  <c r="L29" i="21"/>
  <c r="N29" i="21"/>
  <c r="E29" i="21"/>
  <c r="N25" i="21"/>
  <c r="N737" i="21"/>
  <c r="H22" i="23" s="1"/>
  <c r="H46" i="23" s="1"/>
  <c r="N736" i="21"/>
  <c r="H19" i="23" s="1"/>
  <c r="H43" i="23" s="1"/>
  <c r="J727" i="21"/>
  <c r="M727" i="21"/>
  <c r="N727" i="21"/>
  <c r="J728" i="21"/>
  <c r="M728" i="21"/>
  <c r="N728" i="21"/>
  <c r="H13" i="23" s="1"/>
  <c r="H37" i="23" s="1"/>
  <c r="N487" i="21" l="1"/>
  <c r="T479" i="21"/>
  <c r="H29" i="23"/>
  <c r="H41" i="23" s="1"/>
  <c r="H30" i="23"/>
  <c r="H7" i="23"/>
  <c r="H21" i="23"/>
  <c r="H17" i="23"/>
  <c r="H9" i="23"/>
  <c r="G11" i="23"/>
  <c r="G12" i="23"/>
  <c r="H31" i="23" l="1"/>
  <c r="I12" i="23"/>
  <c r="I36" i="23" s="1"/>
  <c r="G36" i="23"/>
  <c r="I11" i="23"/>
  <c r="I35" i="23" s="1"/>
  <c r="G35" i="23"/>
  <c r="H10" i="23"/>
  <c r="H33" i="23"/>
  <c r="H34" i="23" s="1"/>
  <c r="H23" i="23"/>
  <c r="H45" i="23"/>
  <c r="T59" i="2"/>
  <c r="T99" i="2"/>
  <c r="S116" i="2"/>
  <c r="T112" i="2" s="1"/>
  <c r="T123" i="2"/>
  <c r="T128" i="2" s="1"/>
  <c r="T158" i="2"/>
  <c r="T159" i="2" s="1"/>
  <c r="T185" i="2"/>
  <c r="T186" i="2" s="1"/>
  <c r="T294" i="2"/>
  <c r="T217" i="2"/>
  <c r="T387" i="2" l="1"/>
  <c r="AC81" i="3" s="1"/>
  <c r="AC129" i="3"/>
  <c r="H24" i="23"/>
  <c r="H47" i="23"/>
  <c r="H48" i="23" s="1"/>
  <c r="T124" i="2"/>
  <c r="T101" i="2" s="1"/>
  <c r="CJ362" i="1" l="1"/>
  <c r="CJ346" i="1"/>
  <c r="CJ345" i="1"/>
  <c r="CJ343" i="1"/>
  <c r="CJ185" i="1"/>
  <c r="CK186" i="1" s="1"/>
  <c r="CF52" i="1"/>
  <c r="CG52" i="1"/>
  <c r="CH52" i="1"/>
  <c r="CI52" i="1"/>
  <c r="CF53" i="1"/>
  <c r="CG53" i="1"/>
  <c r="CH53" i="1"/>
  <c r="CI53" i="1"/>
  <c r="CG51" i="1"/>
  <c r="CH51" i="1"/>
  <c r="CI51" i="1"/>
  <c r="CF51" i="1"/>
  <c r="BV43" i="7" l="1"/>
  <c r="BV42" i="7"/>
  <c r="CI318" i="1"/>
  <c r="CI323" i="1"/>
  <c r="AR17" i="18"/>
  <c r="BV40" i="7"/>
  <c r="BV71" i="7"/>
  <c r="CI253" i="1"/>
  <c r="CJ281" i="1"/>
  <c r="CW8" i="9"/>
  <c r="CI451" i="1"/>
  <c r="BV9" i="7" l="1"/>
  <c r="BV22" i="7" s="1"/>
  <c r="AR10" i="18"/>
  <c r="CW6" i="9"/>
  <c r="BV38" i="7"/>
  <c r="CW11" i="9"/>
  <c r="CI75" i="1"/>
  <c r="CJ89" i="1"/>
  <c r="CI74" i="1"/>
  <c r="CJ82" i="1"/>
  <c r="CI188" i="1"/>
  <c r="CJ180" i="1"/>
  <c r="CO181" i="1" s="1"/>
  <c r="CI12" i="1"/>
  <c r="CI161" i="1"/>
  <c r="BV57" i="7" s="1"/>
  <c r="BV33" i="7" l="1"/>
  <c r="CK181" i="1"/>
  <c r="CK80" i="1"/>
  <c r="CK87" i="1"/>
  <c r="CI76" i="1"/>
  <c r="CI77" i="1" s="1"/>
  <c r="CJ188" i="1"/>
  <c r="CK189" i="1" s="1"/>
  <c r="CJ74" i="1"/>
  <c r="CJ75" i="1"/>
  <c r="CI16" i="1"/>
  <c r="CK90" i="1" l="1"/>
  <c r="CK324" i="1" s="1"/>
  <c r="CK321" i="1" s="1"/>
  <c r="CK88" i="1"/>
  <c r="CK83" i="1"/>
  <c r="CK319" i="1" s="1"/>
  <c r="CK316" i="1" s="1"/>
  <c r="CK81" i="1"/>
  <c r="CJ76" i="1"/>
  <c r="CJ77" i="1" s="1"/>
  <c r="CI42" i="1"/>
  <c r="CK304" i="1" l="1"/>
  <c r="CK228" i="1"/>
  <c r="CK305" i="1"/>
  <c r="CK229" i="1"/>
  <c r="D12" i="18"/>
  <c r="F10" i="18"/>
  <c r="E10" i="18"/>
  <c r="D10" i="18"/>
  <c r="U68" i="22" l="1"/>
  <c r="V68" i="22" s="1"/>
  <c r="U66" i="22"/>
  <c r="V66" i="22" s="1"/>
  <c r="U67" i="22"/>
  <c r="V67" i="22" s="1"/>
  <c r="E62" i="23" l="1"/>
  <c r="E61" i="23"/>
  <c r="G711" i="21" l="1"/>
  <c r="G29" i="21" s="1"/>
  <c r="F730" i="21"/>
  <c r="G730" i="21" s="1"/>
  <c r="H730" i="21" s="1"/>
  <c r="F729" i="21"/>
  <c r="G729" i="21" s="1"/>
  <c r="H729" i="21" s="1"/>
  <c r="D38" i="23"/>
  <c r="K248" i="21"/>
  <c r="E36" i="23"/>
  <c r="K730" i="21"/>
  <c r="L730" i="21" s="1"/>
  <c r="K729" i="21"/>
  <c r="D52" i="23"/>
  <c r="D51" i="23"/>
  <c r="C53" i="23"/>
  <c r="D53" i="23" s="1"/>
  <c r="D43" i="23"/>
  <c r="E43" i="23"/>
  <c r="D44" i="23"/>
  <c r="E44" i="23"/>
  <c r="D45" i="23"/>
  <c r="E45" i="23"/>
  <c r="D46" i="23"/>
  <c r="E46" i="23"/>
  <c r="D47" i="23"/>
  <c r="E47" i="23"/>
  <c r="C44" i="23"/>
  <c r="C45" i="23"/>
  <c r="C46" i="23"/>
  <c r="C47" i="23"/>
  <c r="C43" i="23"/>
  <c r="C32" i="23"/>
  <c r="D32" i="23"/>
  <c r="E32" i="23"/>
  <c r="E40" i="23"/>
  <c r="D40" i="23"/>
  <c r="C40" i="23"/>
  <c r="E39" i="23"/>
  <c r="D39" i="23"/>
  <c r="C39" i="23"/>
  <c r="E38" i="23"/>
  <c r="C38" i="23"/>
  <c r="E37" i="23"/>
  <c r="D37" i="23"/>
  <c r="C37" i="23"/>
  <c r="D36" i="23"/>
  <c r="C36" i="23"/>
  <c r="E35" i="23"/>
  <c r="D35" i="23"/>
  <c r="C35" i="23"/>
  <c r="E33" i="23"/>
  <c r="D33" i="23"/>
  <c r="C33" i="23"/>
  <c r="C30" i="23"/>
  <c r="D30" i="23"/>
  <c r="E30" i="23"/>
  <c r="D29" i="23"/>
  <c r="E29" i="23"/>
  <c r="K252" i="21"/>
  <c r="J252" i="21"/>
  <c r="J251" i="21"/>
  <c r="K240" i="21"/>
  <c r="K238" i="21"/>
  <c r="K237" i="21"/>
  <c r="E226" i="21"/>
  <c r="D225" i="21"/>
  <c r="D227" i="21" s="1"/>
  <c r="D9" i="22"/>
  <c r="C9" i="22"/>
  <c r="B29" i="17"/>
  <c r="D29" i="17"/>
  <c r="D28" i="17"/>
  <c r="B28" i="17"/>
  <c r="F226" i="21" l="1"/>
  <c r="L729" i="21"/>
  <c r="K246" i="21" s="1"/>
  <c r="L252" i="21"/>
  <c r="K247" i="21"/>
  <c r="C56" i="23"/>
  <c r="D56" i="23" s="1"/>
  <c r="D63" i="23"/>
  <c r="C54" i="23"/>
  <c r="D54" i="23" s="1"/>
  <c r="C63" i="23"/>
  <c r="J253" i="21"/>
  <c r="C31" i="23"/>
  <c r="D41" i="23"/>
  <c r="K249" i="21"/>
  <c r="C48" i="23"/>
  <c r="E48" i="23"/>
  <c r="D48" i="23"/>
  <c r="E41" i="23"/>
  <c r="C34" i="23"/>
  <c r="E34" i="23"/>
  <c r="C41" i="23"/>
  <c r="D31" i="23"/>
  <c r="E31" i="23"/>
  <c r="D34" i="23"/>
  <c r="K239" i="21"/>
  <c r="K241" i="21"/>
  <c r="K242" i="21" s="1"/>
  <c r="F686" i="21"/>
  <c r="G686" i="21" s="1"/>
  <c r="H686" i="21" s="1"/>
  <c r="J243" i="21" s="1"/>
  <c r="E687" i="21"/>
  <c r="F687" i="21" s="1"/>
  <c r="G687" i="21" s="1"/>
  <c r="H687" i="21" s="1"/>
  <c r="J244" i="21" s="1"/>
  <c r="E728" i="21"/>
  <c r="I728" i="21"/>
  <c r="I727" i="21"/>
  <c r="E727" i="21"/>
  <c r="F726" i="21"/>
  <c r="G726" i="21" s="1"/>
  <c r="F725" i="21"/>
  <c r="G725" i="21" s="1"/>
  <c r="H725" i="21" s="1"/>
  <c r="K726" i="21"/>
  <c r="L726" i="21" s="1"/>
  <c r="K725" i="21"/>
  <c r="L725" i="21" l="1"/>
  <c r="L727" i="21" s="1"/>
  <c r="K727" i="21"/>
  <c r="K728" i="21"/>
  <c r="C55" i="23"/>
  <c r="D55" i="23" s="1"/>
  <c r="D57" i="23" s="1"/>
  <c r="E63" i="23"/>
  <c r="F728" i="21"/>
  <c r="G728" i="21"/>
  <c r="H726" i="21"/>
  <c r="G727" i="21"/>
  <c r="F727" i="21"/>
  <c r="L728" i="21" l="1"/>
  <c r="C57" i="23"/>
  <c r="H728" i="21"/>
  <c r="K244" i="21"/>
  <c r="L244" i="21" s="1"/>
  <c r="K243" i="21"/>
  <c r="L243" i="21" s="1"/>
  <c r="L358" i="21"/>
  <c r="L357" i="21"/>
  <c r="H727" i="21"/>
  <c r="W728" i="21" l="1"/>
  <c r="W627" i="21" s="1"/>
  <c r="K245" i="21"/>
  <c r="P628" i="21"/>
  <c r="O43" i="21"/>
  <c r="P43" i="21"/>
  <c r="Q43" i="21"/>
  <c r="R43" i="21"/>
  <c r="S43" i="21"/>
  <c r="T43" i="21"/>
  <c r="N43" i="21"/>
  <c r="D727" i="21"/>
  <c r="I743" i="21" l="1"/>
  <c r="D743" i="21"/>
  <c r="I736" i="21"/>
  <c r="D736" i="21"/>
  <c r="I737" i="21"/>
  <c r="D737" i="21"/>
  <c r="D720" i="21"/>
  <c r="D723" i="21" s="1"/>
  <c r="D728" i="21" s="1"/>
  <c r="D742" i="21" l="1"/>
  <c r="I742" i="21"/>
  <c r="G14" i="17" l="1"/>
  <c r="D26" i="17"/>
  <c r="C26" i="17"/>
  <c r="D25" i="17"/>
  <c r="K9" i="17" s="1"/>
  <c r="C25" i="17"/>
  <c r="J9" i="17" s="1"/>
  <c r="F21" i="17"/>
  <c r="C69" i="17"/>
  <c r="D69" i="17" s="1"/>
  <c r="D67" i="17"/>
  <c r="D68" i="17"/>
  <c r="G167" i="17"/>
  <c r="D24" i="17"/>
  <c r="C24" i="17"/>
  <c r="F25" i="17" l="1"/>
  <c r="F24" i="17"/>
  <c r="F23" i="17"/>
  <c r="F22" i="17"/>
  <c r="F31" i="17" l="1"/>
  <c r="D21" i="17" l="1"/>
  <c r="C21" i="17"/>
  <c r="D22" i="17"/>
  <c r="K7" i="17" s="1"/>
  <c r="C22" i="17"/>
  <c r="J7" i="17" s="1"/>
  <c r="D23" i="17"/>
  <c r="K8" i="17" s="1"/>
  <c r="C23" i="17"/>
  <c r="J8" i="17" s="1"/>
  <c r="C31" i="17" l="1"/>
  <c r="D31" i="17"/>
  <c r="D218" i="21" l="1"/>
  <c r="D219" i="21"/>
  <c r="P135" i="21"/>
  <c r="Q135" i="21"/>
  <c r="R135" i="21"/>
  <c r="S135" i="21"/>
  <c r="T135" i="21"/>
  <c r="O135" i="21"/>
  <c r="L380" i="21"/>
  <c r="D220" i="21" l="1"/>
  <c r="O259" i="21" l="1"/>
  <c r="P259" i="21" l="1"/>
  <c r="S94" i="21"/>
  <c r="T94" i="21"/>
  <c r="O89" i="21"/>
  <c r="P89" i="21"/>
  <c r="Q89" i="21"/>
  <c r="R89" i="21"/>
  <c r="S89" i="21"/>
  <c r="S93" i="21" s="1"/>
  <c r="S294" i="21" s="1"/>
  <c r="T89" i="21"/>
  <c r="T93" i="21" s="1"/>
  <c r="Q143" i="21"/>
  <c r="C17" i="21"/>
  <c r="C148" i="21" s="1"/>
  <c r="O121" i="21"/>
  <c r="P121" i="21"/>
  <c r="Q121" i="21"/>
  <c r="R121" i="21"/>
  <c r="S121" i="21"/>
  <c r="T121" i="21"/>
  <c r="O117" i="21"/>
  <c r="P117" i="21"/>
  <c r="Q117" i="21"/>
  <c r="R117" i="21"/>
  <c r="S117" i="21"/>
  <c r="T117" i="21"/>
  <c r="E85" i="21"/>
  <c r="D85" i="21"/>
  <c r="F84" i="21"/>
  <c r="E63" i="22"/>
  <c r="F63" i="22"/>
  <c r="G63" i="22"/>
  <c r="D63" i="22"/>
  <c r="G57" i="22"/>
  <c r="F57" i="22"/>
  <c r="E57" i="22"/>
  <c r="C59" i="22"/>
  <c r="G59" i="22" s="1"/>
  <c r="E51" i="22"/>
  <c r="F51" i="22" s="1"/>
  <c r="G51" i="22" s="1"/>
  <c r="G54" i="22"/>
  <c r="F54" i="22"/>
  <c r="T95" i="21" l="1"/>
  <c r="T107" i="21" s="1"/>
  <c r="T294" i="21"/>
  <c r="S95" i="21"/>
  <c r="S96" i="21" s="1"/>
  <c r="H54" i="22"/>
  <c r="R84" i="21"/>
  <c r="R85" i="21" s="1"/>
  <c r="P84" i="21"/>
  <c r="P85" i="21" s="1"/>
  <c r="Q84" i="21"/>
  <c r="Q85" i="21" s="1"/>
  <c r="Q94" i="21" s="1"/>
  <c r="O84" i="21"/>
  <c r="Q259" i="21"/>
  <c r="T119" i="21"/>
  <c r="S119" i="21"/>
  <c r="DC245" i="1" s="1"/>
  <c r="T137" i="21"/>
  <c r="T312" i="21"/>
  <c r="S137" i="21"/>
  <c r="S312" i="21"/>
  <c r="E59" i="22"/>
  <c r="E61" i="22" s="1"/>
  <c r="F59" i="22"/>
  <c r="F61" i="22" s="1"/>
  <c r="G61" i="22"/>
  <c r="R143" i="21"/>
  <c r="F85" i="21"/>
  <c r="P93" i="21" l="1"/>
  <c r="P94" i="21"/>
  <c r="T96" i="21"/>
  <c r="S107" i="21"/>
  <c r="O85" i="21"/>
  <c r="O94" i="21" s="1"/>
  <c r="R259" i="21"/>
  <c r="S143" i="21"/>
  <c r="P137" i="21" l="1"/>
  <c r="S259" i="21"/>
  <c r="P294" i="21"/>
  <c r="Q93" i="21"/>
  <c r="Q294" i="21" s="1"/>
  <c r="O93" i="21"/>
  <c r="O294" i="21" s="1"/>
  <c r="T143" i="21"/>
  <c r="Q95" i="21" l="1"/>
  <c r="Q96" i="21" s="1"/>
  <c r="P95" i="21"/>
  <c r="P96" i="21" s="1"/>
  <c r="O95" i="21"/>
  <c r="P312" i="21"/>
  <c r="T259" i="21"/>
  <c r="O119" i="21"/>
  <c r="CY245" i="1" s="1"/>
  <c r="O137" i="21"/>
  <c r="O312" i="21"/>
  <c r="Q119" i="21"/>
  <c r="DA245" i="1" s="1"/>
  <c r="Q137" i="21"/>
  <c r="Q312" i="21"/>
  <c r="P119" i="21"/>
  <c r="CZ245" i="1" s="1"/>
  <c r="R94" i="21"/>
  <c r="R312" i="21" s="1"/>
  <c r="R93" i="21"/>
  <c r="R294" i="21" s="1"/>
  <c r="P107" i="21" l="1"/>
  <c r="R95" i="21"/>
  <c r="R96" i="21" s="1"/>
  <c r="Q107" i="21"/>
  <c r="O96" i="21"/>
  <c r="O107" i="21"/>
  <c r="R119" i="21"/>
  <c r="DB245" i="1" s="1"/>
  <c r="R137" i="21"/>
  <c r="R107" i="21" l="1"/>
  <c r="F31" i="22"/>
  <c r="G31" i="22"/>
  <c r="F32" i="22"/>
  <c r="F12" i="22" s="1"/>
  <c r="G32" i="22"/>
  <c r="G12" i="22" s="1"/>
  <c r="E47" i="22"/>
  <c r="E46" i="22"/>
  <c r="E13" i="22" s="1"/>
  <c r="E32" i="22"/>
  <c r="E12" i="22" s="1"/>
  <c r="Q19" i="21"/>
  <c r="R19" i="21"/>
  <c r="S19" i="21"/>
  <c r="T19" i="21"/>
  <c r="P19" i="21"/>
  <c r="F36" i="22"/>
  <c r="G36" i="22" s="1"/>
  <c r="H36" i="22" s="1"/>
  <c r="G33" i="22"/>
  <c r="F33" i="22"/>
  <c r="G30" i="22"/>
  <c r="F30" i="22"/>
  <c r="E26" i="22"/>
  <c r="D33" i="22" s="1"/>
  <c r="G22" i="22"/>
  <c r="H22" i="22" s="1"/>
  <c r="G3" i="22"/>
  <c r="H3" i="22" s="1"/>
  <c r="W738" i="21"/>
  <c r="W665" i="21" s="1"/>
  <c r="W701" i="21"/>
  <c r="W664" i="21" s="1"/>
  <c r="W699" i="21"/>
  <c r="W652" i="21" s="1"/>
  <c r="L665" i="21"/>
  <c r="O665" i="21" s="1"/>
  <c r="L664" i="21"/>
  <c r="L652" i="21"/>
  <c r="L700" i="21"/>
  <c r="L737" i="21"/>
  <c r="D567" i="21"/>
  <c r="O733" i="21"/>
  <c r="P733" i="21"/>
  <c r="P309" i="21" s="1"/>
  <c r="Q733" i="21"/>
  <c r="Q309" i="21" s="1"/>
  <c r="R733" i="21"/>
  <c r="R309" i="21" s="1"/>
  <c r="S733" i="21"/>
  <c r="S309" i="21" s="1"/>
  <c r="T733" i="21"/>
  <c r="T309" i="21" s="1"/>
  <c r="N647" i="21"/>
  <c r="F734" i="21"/>
  <c r="G734" i="21"/>
  <c r="H734" i="21"/>
  <c r="I734" i="21"/>
  <c r="J734" i="21"/>
  <c r="K734" i="21"/>
  <c r="L734" i="21"/>
  <c r="E734" i="21"/>
  <c r="W733" i="21"/>
  <c r="W647" i="21" s="1"/>
  <c r="F55" i="21"/>
  <c r="C219" i="21" s="1"/>
  <c r="E56" i="21"/>
  <c r="D56" i="21"/>
  <c r="D65" i="21" s="1"/>
  <c r="T574" i="21"/>
  <c r="S574" i="21"/>
  <c r="R574" i="21"/>
  <c r="Q574" i="21"/>
  <c r="P574" i="21"/>
  <c r="W731" i="21"/>
  <c r="W642" i="21" s="1"/>
  <c r="W730" i="21"/>
  <c r="W637" i="21" s="1"/>
  <c r="W729" i="21"/>
  <c r="W632" i="21" s="1"/>
  <c r="W723" i="21"/>
  <c r="W722" i="21"/>
  <c r="W721" i="21"/>
  <c r="W720" i="21"/>
  <c r="W616" i="21" s="1"/>
  <c r="W711" i="21"/>
  <c r="W610" i="21" s="1"/>
  <c r="I4" i="21"/>
  <c r="E66" i="21" l="1"/>
  <c r="E65" i="21"/>
  <c r="N4" i="21"/>
  <c r="I341" i="21"/>
  <c r="O647" i="21"/>
  <c r="O309" i="21"/>
  <c r="N610" i="21"/>
  <c r="L736" i="21"/>
  <c r="K251" i="21" s="1"/>
  <c r="K254" i="21"/>
  <c r="L702" i="21"/>
  <c r="J254" i="21"/>
  <c r="F16" i="22"/>
  <c r="L657" i="21"/>
  <c r="P647" i="21"/>
  <c r="T647" i="21"/>
  <c r="G16" i="22"/>
  <c r="R647" i="21"/>
  <c r="Q647" i="21"/>
  <c r="E33" i="22"/>
  <c r="S647" i="21"/>
  <c r="W700" i="21"/>
  <c r="W657" i="21" s="1"/>
  <c r="L666" i="21"/>
  <c r="L658" i="21"/>
  <c r="O658" i="21" s="1"/>
  <c r="W737" i="21"/>
  <c r="W658" i="21" s="1"/>
  <c r="W666" i="21"/>
  <c r="W585" i="21" s="1"/>
  <c r="W29" i="21"/>
  <c r="N616" i="21"/>
  <c r="N734" i="21"/>
  <c r="W734" i="21"/>
  <c r="D64" i="21"/>
  <c r="E64" i="21"/>
  <c r="D66" i="21"/>
  <c r="F56" i="21"/>
  <c r="F65" i="21" s="1"/>
  <c r="W622" i="21"/>
  <c r="O4" i="21" l="1"/>
  <c r="P4" i="21" s="1"/>
  <c r="N460" i="21"/>
  <c r="N414" i="21"/>
  <c r="P54" i="21"/>
  <c r="P65" i="21" s="1"/>
  <c r="Q54" i="21"/>
  <c r="Q65" i="21" s="1"/>
  <c r="T54" i="21"/>
  <c r="T65" i="21" s="1"/>
  <c r="R54" i="21"/>
  <c r="R65" i="21" s="1"/>
  <c r="S54" i="21"/>
  <c r="S65" i="21" s="1"/>
  <c r="O54" i="21"/>
  <c r="O65" i="21" s="1"/>
  <c r="N113" i="21"/>
  <c r="N341" i="21"/>
  <c r="L739" i="21"/>
  <c r="L653" i="21"/>
  <c r="O653" i="21" s="1"/>
  <c r="W736" i="21"/>
  <c r="W653" i="21" s="1"/>
  <c r="W654" i="21" s="1"/>
  <c r="W583" i="21" s="1"/>
  <c r="W587" i="21" s="1"/>
  <c r="L254" i="21"/>
  <c r="J255" i="21"/>
  <c r="K253" i="21"/>
  <c r="K255" i="21" s="1"/>
  <c r="K256" i="21" s="1"/>
  <c r="L251" i="21"/>
  <c r="L253" i="21" s="1"/>
  <c r="L659" i="21"/>
  <c r="F64" i="21"/>
  <c r="W659" i="21"/>
  <c r="W584" i="21" s="1"/>
  <c r="W588" i="21" s="1"/>
  <c r="F66" i="21"/>
  <c r="E45" i="4"/>
  <c r="C197" i="3" s="1"/>
  <c r="C47" i="1"/>
  <c r="O341" i="21" l="1"/>
  <c r="O51" i="21"/>
  <c r="O113" i="21"/>
  <c r="P414" i="21"/>
  <c r="Y515" i="21"/>
  <c r="P460" i="21"/>
  <c r="O414" i="21"/>
  <c r="X515" i="21"/>
  <c r="O460" i="21"/>
  <c r="O75" i="21"/>
  <c r="O101" i="21" s="1"/>
  <c r="O125" i="21"/>
  <c r="O127" i="21" s="1"/>
  <c r="O129" i="21" s="1"/>
  <c r="P75" i="21"/>
  <c r="P101" i="21" s="1"/>
  <c r="P125" i="21"/>
  <c r="P127" i="21" s="1"/>
  <c r="P129" i="21" s="1"/>
  <c r="T75" i="21"/>
  <c r="T101" i="21" s="1"/>
  <c r="T125" i="21"/>
  <c r="T127" i="21" s="1"/>
  <c r="T129" i="21" s="1"/>
  <c r="S75" i="21"/>
  <c r="S101" i="21" s="1"/>
  <c r="S125" i="21"/>
  <c r="S127" i="21" s="1"/>
  <c r="S129" i="21" s="1"/>
  <c r="R75" i="21"/>
  <c r="R101" i="21" s="1"/>
  <c r="R125" i="21"/>
  <c r="R127" i="21" s="1"/>
  <c r="R129" i="21" s="1"/>
  <c r="Q75" i="21"/>
  <c r="Q101" i="21" s="1"/>
  <c r="Q125" i="21"/>
  <c r="Q127" i="21" s="1"/>
  <c r="Q129" i="21" s="1"/>
  <c r="P66" i="21"/>
  <c r="P76" i="21" s="1"/>
  <c r="P64" i="21"/>
  <c r="O64" i="21"/>
  <c r="O66" i="21"/>
  <c r="T64" i="21"/>
  <c r="T66" i="21"/>
  <c r="T76" i="21" s="1"/>
  <c r="S64" i="21"/>
  <c r="S74" i="21" s="1"/>
  <c r="S293" i="21" s="1"/>
  <c r="S66" i="21"/>
  <c r="R64" i="21"/>
  <c r="R66" i="21"/>
  <c r="Q66" i="21"/>
  <c r="Q76" i="21" s="1"/>
  <c r="Q64" i="21"/>
  <c r="P51" i="21"/>
  <c r="P341" i="21"/>
  <c r="L255" i="21"/>
  <c r="L654" i="21"/>
  <c r="L661" i="21" s="1"/>
  <c r="Q4" i="21"/>
  <c r="P113" i="21"/>
  <c r="W589" i="21"/>
  <c r="R226" i="2"/>
  <c r="S226" i="2"/>
  <c r="R227" i="2"/>
  <c r="S227" i="2"/>
  <c r="Q227" i="2"/>
  <c r="Q226" i="2"/>
  <c r="Q414" i="21" l="1"/>
  <c r="Z515" i="21"/>
  <c r="Q460" i="21"/>
  <c r="O116" i="21"/>
  <c r="O118" i="21" s="1"/>
  <c r="O120" i="21" s="1"/>
  <c r="O122" i="21" s="1"/>
  <c r="O74" i="21"/>
  <c r="O293" i="21" s="1"/>
  <c r="Y293" i="21" s="1"/>
  <c r="S131" i="21"/>
  <c r="S303" i="21"/>
  <c r="Q131" i="21"/>
  <c r="Q303" i="21"/>
  <c r="P131" i="21"/>
  <c r="P303" i="21"/>
  <c r="R131" i="21"/>
  <c r="R303" i="21"/>
  <c r="O131" i="21"/>
  <c r="O303" i="21"/>
  <c r="T131" i="21"/>
  <c r="T303" i="21"/>
  <c r="Q51" i="21"/>
  <c r="Q341" i="21"/>
  <c r="R4" i="21"/>
  <c r="Q113" i="21"/>
  <c r="P134" i="21"/>
  <c r="P136" i="21" s="1"/>
  <c r="P138" i="21" s="1"/>
  <c r="R76" i="21"/>
  <c r="R134" i="21"/>
  <c r="R136" i="21" s="1"/>
  <c r="R138" i="21" s="1"/>
  <c r="Q134" i="21"/>
  <c r="Q136" i="21" s="1"/>
  <c r="Q138" i="21" s="1"/>
  <c r="T134" i="21"/>
  <c r="T136" i="21" s="1"/>
  <c r="T138" i="21" s="1"/>
  <c r="S76" i="21"/>
  <c r="S134" i="21"/>
  <c r="S136" i="21" s="1"/>
  <c r="S138" i="21" s="1"/>
  <c r="T74" i="21"/>
  <c r="T116" i="21"/>
  <c r="T118" i="21" s="1"/>
  <c r="T120" i="21" s="1"/>
  <c r="T122" i="21" s="1"/>
  <c r="P74" i="21"/>
  <c r="P293" i="21" s="1"/>
  <c r="Z293" i="21" s="1"/>
  <c r="P116" i="21"/>
  <c r="P118" i="21" s="1"/>
  <c r="P120" i="21" s="1"/>
  <c r="P122" i="21" s="1"/>
  <c r="O76" i="21"/>
  <c r="O134" i="21"/>
  <c r="O136" i="21" s="1"/>
  <c r="O138" i="21" s="1"/>
  <c r="R74" i="21"/>
  <c r="R293" i="21" s="1"/>
  <c r="R116" i="21"/>
  <c r="R118" i="21" s="1"/>
  <c r="R120" i="21" s="1"/>
  <c r="R122" i="21" s="1"/>
  <c r="S116" i="21"/>
  <c r="S118" i="21" s="1"/>
  <c r="S120" i="21" s="1"/>
  <c r="S122" i="21" s="1"/>
  <c r="Q74" i="21"/>
  <c r="Q293" i="21" s="1"/>
  <c r="AA293" i="21" s="1"/>
  <c r="Q116" i="21"/>
  <c r="Q118" i="21" s="1"/>
  <c r="Q120" i="21" s="1"/>
  <c r="Q122" i="21" s="1"/>
  <c r="C34" i="4"/>
  <c r="C223" i="21"/>
  <c r="R228" i="2"/>
  <c r="Q228" i="2"/>
  <c r="S228" i="2"/>
  <c r="J52" i="2"/>
  <c r="I52" i="2"/>
  <c r="H52" i="2"/>
  <c r="G52" i="2"/>
  <c r="F52" i="2"/>
  <c r="E52" i="2"/>
  <c r="D52" i="2"/>
  <c r="O77" i="21" l="1"/>
  <c r="O106" i="21" s="1"/>
  <c r="R414" i="21"/>
  <c r="AA515" i="21"/>
  <c r="R460" i="21"/>
  <c r="T77" i="21"/>
  <c r="T106" i="21" s="1"/>
  <c r="T293" i="21"/>
  <c r="R77" i="21"/>
  <c r="R106" i="21" s="1"/>
  <c r="Q77" i="21"/>
  <c r="Q106" i="21" s="1"/>
  <c r="S77" i="21"/>
  <c r="S106" i="21" s="1"/>
  <c r="P77" i="21"/>
  <c r="P106" i="21" s="1"/>
  <c r="O140" i="21"/>
  <c r="O141" i="21" s="1"/>
  <c r="Q140" i="21"/>
  <c r="Q141" i="21" s="1"/>
  <c r="R140" i="21"/>
  <c r="R141" i="21" s="1"/>
  <c r="P140" i="21"/>
  <c r="P141" i="21" s="1"/>
  <c r="S140" i="21"/>
  <c r="S141" i="21" s="1"/>
  <c r="T140" i="21"/>
  <c r="T141" i="21" s="1"/>
  <c r="R51" i="21"/>
  <c r="R341" i="21"/>
  <c r="T100" i="21"/>
  <c r="R102" i="21"/>
  <c r="R648" i="21" s="1"/>
  <c r="R311" i="21"/>
  <c r="Q102" i="21"/>
  <c r="Q648" i="21" s="1"/>
  <c r="Q311" i="21"/>
  <c r="R100" i="21"/>
  <c r="S102" i="21"/>
  <c r="S648" i="21" s="1"/>
  <c r="S311" i="21"/>
  <c r="P102" i="21"/>
  <c r="P648" i="21" s="1"/>
  <c r="P311" i="21"/>
  <c r="P100" i="21"/>
  <c r="Q100" i="21"/>
  <c r="O102" i="21"/>
  <c r="O648" i="21" s="1"/>
  <c r="O311" i="21"/>
  <c r="T102" i="21"/>
  <c r="T648" i="21" s="1"/>
  <c r="T311" i="21"/>
  <c r="S4" i="21"/>
  <c r="R113" i="21"/>
  <c r="S100" i="21"/>
  <c r="O100" i="21"/>
  <c r="E63" i="4"/>
  <c r="F63" i="4"/>
  <c r="G63" i="4"/>
  <c r="H63" i="4"/>
  <c r="I63" i="4"/>
  <c r="J63" i="4"/>
  <c r="K63" i="4"/>
  <c r="L63" i="4"/>
  <c r="M63" i="4"/>
  <c r="N63" i="4"/>
  <c r="O63" i="4"/>
  <c r="P63" i="4"/>
  <c r="Q63" i="4"/>
  <c r="R63" i="4"/>
  <c r="D63" i="4"/>
  <c r="V66" i="2"/>
  <c r="W66" i="2"/>
  <c r="X66" i="2"/>
  <c r="Y66" i="2"/>
  <c r="Z66" i="2"/>
  <c r="AA66" i="2"/>
  <c r="C209" i="2"/>
  <c r="C215" i="2"/>
  <c r="D200" i="2"/>
  <c r="E200" i="2"/>
  <c r="F200" i="2"/>
  <c r="G200" i="2"/>
  <c r="H200" i="2"/>
  <c r="I200" i="2"/>
  <c r="J200" i="2"/>
  <c r="C200" i="2"/>
  <c r="D201" i="2"/>
  <c r="E201" i="2"/>
  <c r="F201" i="2"/>
  <c r="G201" i="2"/>
  <c r="H201" i="2"/>
  <c r="I201" i="2"/>
  <c r="J201" i="2"/>
  <c r="K201" i="2"/>
  <c r="L201" i="2"/>
  <c r="M201" i="2"/>
  <c r="D202" i="2"/>
  <c r="E202" i="2"/>
  <c r="F202" i="2"/>
  <c r="G202" i="2"/>
  <c r="H202" i="2"/>
  <c r="I202" i="2"/>
  <c r="J202" i="2"/>
  <c r="K202" i="2"/>
  <c r="L202" i="2"/>
  <c r="M202" i="2"/>
  <c r="C202" i="2"/>
  <c r="C201" i="2"/>
  <c r="S185" i="2"/>
  <c r="S186" i="2" s="1"/>
  <c r="R185" i="2"/>
  <c r="R186" i="2" s="1"/>
  <c r="Q185" i="2"/>
  <c r="Q186" i="2" s="1"/>
  <c r="D13" i="2"/>
  <c r="E13" i="2"/>
  <c r="F13" i="2"/>
  <c r="G13" i="2"/>
  <c r="H13" i="2"/>
  <c r="I13" i="2"/>
  <c r="J13" i="2"/>
  <c r="K13" i="2"/>
  <c r="L13" i="2"/>
  <c r="M13" i="2"/>
  <c r="N13" i="2"/>
  <c r="O13" i="2"/>
  <c r="P13" i="2"/>
  <c r="Q13" i="2"/>
  <c r="R13" i="2"/>
  <c r="S13" i="2"/>
  <c r="C13" i="2"/>
  <c r="O86" i="21" l="1"/>
  <c r="S108" i="21"/>
  <c r="S109" i="21" s="1"/>
  <c r="S110" i="21"/>
  <c r="P108" i="21"/>
  <c r="P109" i="21" s="1"/>
  <c r="P110" i="21"/>
  <c r="Q108" i="21"/>
  <c r="Q109" i="21" s="1"/>
  <c r="Q110" i="21"/>
  <c r="R108" i="21"/>
  <c r="R109" i="21" s="1"/>
  <c r="R110" i="21"/>
  <c r="T108" i="21"/>
  <c r="T109" i="21" s="1"/>
  <c r="T110" i="21"/>
  <c r="O108" i="21"/>
  <c r="O109" i="21" s="1"/>
  <c r="O110" i="21"/>
  <c r="T86" i="21"/>
  <c r="O78" i="21"/>
  <c r="S414" i="21"/>
  <c r="AB515" i="21"/>
  <c r="S460" i="21"/>
  <c r="T78" i="21"/>
  <c r="R86" i="21"/>
  <c r="R78" i="21"/>
  <c r="P78" i="21"/>
  <c r="P86" i="21"/>
  <c r="O145" i="21"/>
  <c r="S78" i="21"/>
  <c r="S86" i="21"/>
  <c r="Q78" i="21"/>
  <c r="Q86" i="21"/>
  <c r="Q617" i="21"/>
  <c r="Q103" i="21"/>
  <c r="Q104" i="21" s="1"/>
  <c r="R617" i="21"/>
  <c r="R103" i="21"/>
  <c r="R104" i="21" s="1"/>
  <c r="T617" i="21"/>
  <c r="T103" i="21"/>
  <c r="T104" i="21" s="1"/>
  <c r="O617" i="21"/>
  <c r="O103" i="21"/>
  <c r="O104" i="21" s="1"/>
  <c r="P617" i="21"/>
  <c r="P103" i="21"/>
  <c r="P104" i="21" s="1"/>
  <c r="S617" i="21"/>
  <c r="S103" i="21"/>
  <c r="S104" i="21" s="1"/>
  <c r="S51" i="21"/>
  <c r="S341" i="21"/>
  <c r="V158" i="2"/>
  <c r="V389" i="2"/>
  <c r="AD83" i="3" s="1"/>
  <c r="T4" i="21"/>
  <c r="S113" i="21"/>
  <c r="E203" i="2"/>
  <c r="N7" i="3" s="1"/>
  <c r="D203" i="2"/>
  <c r="M7" i="3" s="1"/>
  <c r="I203" i="2"/>
  <c r="R7" i="3" s="1"/>
  <c r="G203" i="2"/>
  <c r="P7" i="3" s="1"/>
  <c r="F203" i="2"/>
  <c r="O7" i="3" s="1"/>
  <c r="H203" i="2"/>
  <c r="Q7" i="3" s="1"/>
  <c r="C203" i="2"/>
  <c r="L7" i="3" s="1"/>
  <c r="J203" i="2"/>
  <c r="S7" i="3" s="1"/>
  <c r="T341" i="21" l="1"/>
  <c r="T414" i="21"/>
  <c r="T460" i="21"/>
  <c r="T113" i="21"/>
  <c r="T51" i="21"/>
  <c r="BG4" i="19" l="1"/>
  <c r="BG3" i="19"/>
  <c r="BH3" i="19" s="1"/>
  <c r="BI3" i="19" s="1"/>
  <c r="BJ3" i="19" s="1"/>
  <c r="BK3" i="19" s="1"/>
  <c r="BL3" i="19" s="1"/>
  <c r="BM3" i="19" s="1"/>
  <c r="BN3" i="19" s="1"/>
  <c r="BO3" i="19" s="1"/>
  <c r="BH4" i="19" l="1"/>
  <c r="BI4" i="19" l="1"/>
  <c r="BJ4" i="19" l="1"/>
  <c r="BK4" i="19" l="1"/>
  <c r="BL4" i="19" l="1"/>
  <c r="BM4" i="19" l="1"/>
  <c r="BN4" i="19" l="1"/>
  <c r="BO4" i="19" l="1"/>
  <c r="Q123" i="2"/>
  <c r="Q128" i="2" s="1"/>
  <c r="P123" i="2"/>
  <c r="P128" i="2" s="1"/>
  <c r="P116" i="2"/>
  <c r="Q116" i="2"/>
  <c r="R112" i="2" s="1"/>
  <c r="R116" i="2"/>
  <c r="S112" i="2" s="1"/>
  <c r="O116" i="2"/>
  <c r="P112" i="2" s="1"/>
  <c r="L100" i="2"/>
  <c r="M100" i="2"/>
  <c r="N100" i="2"/>
  <c r="O100" i="2"/>
  <c r="E99" i="2"/>
  <c r="F99" i="2"/>
  <c r="G99" i="2"/>
  <c r="H99" i="2"/>
  <c r="I99" i="2"/>
  <c r="J99" i="2"/>
  <c r="K99" i="2"/>
  <c r="L99" i="2"/>
  <c r="M99" i="2"/>
  <c r="N99" i="2"/>
  <c r="O99" i="2"/>
  <c r="P99" i="2"/>
  <c r="Q99" i="2"/>
  <c r="R99" i="2"/>
  <c r="S99" i="2"/>
  <c r="D99" i="2"/>
  <c r="R59" i="2"/>
  <c r="S59" i="2"/>
  <c r="Q59" i="2"/>
  <c r="S123" i="2"/>
  <c r="S128" i="2" s="1"/>
  <c r="R123" i="2"/>
  <c r="R124" i="2" s="1"/>
  <c r="R101" i="2" s="1"/>
  <c r="V132" i="2"/>
  <c r="W132" i="2" s="1"/>
  <c r="X132" i="2" s="1"/>
  <c r="Y132" i="2" s="1"/>
  <c r="Z132" i="2" s="1"/>
  <c r="AA132" i="2" s="1"/>
  <c r="Z158" i="2"/>
  <c r="Y158" i="2"/>
  <c r="X158" i="2"/>
  <c r="R387" i="2" l="1"/>
  <c r="AA81" i="3" s="1"/>
  <c r="AA129" i="3"/>
  <c r="Q387" i="2"/>
  <c r="Z81" i="3" s="1"/>
  <c r="Z129" i="3"/>
  <c r="S387" i="2"/>
  <c r="AB81" i="3" s="1"/>
  <c r="AB129" i="3"/>
  <c r="W158" i="2"/>
  <c r="AA158" i="2"/>
  <c r="Q124" i="2"/>
  <c r="Q101" i="2" s="1"/>
  <c r="Q112" i="2"/>
  <c r="P124" i="2"/>
  <c r="P101" i="2" s="1"/>
  <c r="R128" i="2"/>
  <c r="S124" i="2"/>
  <c r="S101" i="2" s="1"/>
  <c r="V128" i="2"/>
  <c r="W128" i="2" l="1"/>
  <c r="E16" i="18"/>
  <c r="D16" i="18"/>
  <c r="E17" i="18"/>
  <c r="D17" i="18"/>
  <c r="E36" i="18"/>
  <c r="F36" i="18"/>
  <c r="D36" i="18"/>
  <c r="E45" i="18"/>
  <c r="F45" i="18"/>
  <c r="D45" i="18"/>
  <c r="E51" i="18"/>
  <c r="F51" i="18"/>
  <c r="E52" i="18"/>
  <c r="F52" i="18"/>
  <c r="D52" i="18"/>
  <c r="D51" i="18"/>
  <c r="V3" i="18"/>
  <c r="V2" i="18" s="1"/>
  <c r="E3" i="18"/>
  <c r="F3" i="18" s="1"/>
  <c r="G3" i="18" s="1"/>
  <c r="H3" i="18" s="1"/>
  <c r="I3" i="18" s="1"/>
  <c r="J3" i="18" s="1"/>
  <c r="K3" i="18" s="1"/>
  <c r="L3" i="18" s="1"/>
  <c r="AX2" i="18"/>
  <c r="AY2" i="18" s="1"/>
  <c r="AZ2" i="18" s="1"/>
  <c r="BA2" i="18" s="1"/>
  <c r="BB2" i="18" s="1"/>
  <c r="BC2" i="18" s="1"/>
  <c r="BD2" i="18" s="1"/>
  <c r="BE2" i="18" s="1"/>
  <c r="BF2" i="18" s="1"/>
  <c r="BG2" i="18" s="1"/>
  <c r="BH2" i="18" s="1"/>
  <c r="BI2" i="18" s="1"/>
  <c r="BJ2" i="18" s="1"/>
  <c r="BK2" i="18" s="1"/>
  <c r="BL2" i="18" s="1"/>
  <c r="U2" i="18"/>
  <c r="E2" i="18"/>
  <c r="F2" i="18" s="1"/>
  <c r="G2" i="18" s="1"/>
  <c r="H2" i="18" s="1"/>
  <c r="I2" i="18" s="1"/>
  <c r="J2" i="18" s="1"/>
  <c r="K2" i="18" s="1"/>
  <c r="L2" i="18" s="1"/>
  <c r="M2" i="18" l="1"/>
  <c r="N2" i="18" s="1"/>
  <c r="O2" i="18" s="1"/>
  <c r="P2" i="18" s="1"/>
  <c r="Q2" i="18" s="1"/>
  <c r="R2" i="18" s="1"/>
  <c r="S2" i="18" s="1"/>
  <c r="M3" i="18"/>
  <c r="N3" i="18" s="1"/>
  <c r="O3" i="18" s="1"/>
  <c r="P3" i="18" s="1"/>
  <c r="Q3" i="18" s="1"/>
  <c r="R3" i="18" s="1"/>
  <c r="S3" i="18" s="1"/>
  <c r="X128" i="2"/>
  <c r="Y128" i="2" s="1"/>
  <c r="Z128" i="2" s="1"/>
  <c r="AA128" i="2" s="1"/>
  <c r="W3" i="18"/>
  <c r="W2" i="18" s="1"/>
  <c r="X3" i="18" l="1"/>
  <c r="X2" i="18" s="1"/>
  <c r="Y3" i="18" l="1"/>
  <c r="Y2" i="18" s="1"/>
  <c r="Z3" i="18" l="1"/>
  <c r="Z2" i="18" s="1"/>
  <c r="AA3" i="18" l="1"/>
  <c r="AB3" i="18" s="1"/>
  <c r="AA2" i="18" l="1"/>
  <c r="AC3" i="18"/>
  <c r="AB2" i="18"/>
  <c r="AC2" i="18" l="1"/>
  <c r="AD3" i="18"/>
  <c r="AE3" i="18" l="1"/>
  <c r="AD2" i="18"/>
  <c r="AE2" i="18" l="1"/>
  <c r="AF3" i="18"/>
  <c r="AF2" i="18" l="1"/>
  <c r="AG3" i="18"/>
  <c r="AG2" i="18" l="1"/>
  <c r="AH3" i="18"/>
  <c r="AI3" i="18" l="1"/>
  <c r="AH2" i="18"/>
  <c r="AJ3" i="18" l="1"/>
  <c r="AI2" i="18"/>
  <c r="AJ2" i="18" l="1"/>
  <c r="AK3" i="18"/>
  <c r="AK2" i="18" l="1"/>
  <c r="AL3" i="18"/>
  <c r="AM3" i="18" l="1"/>
  <c r="AL2" i="18"/>
  <c r="AM2" i="18" l="1"/>
  <c r="AN3" i="18"/>
  <c r="AN2" i="18" l="1"/>
  <c r="AO3" i="18"/>
  <c r="AP3" i="18" l="1"/>
  <c r="AO2" i="18"/>
  <c r="AQ3" i="18" l="1"/>
  <c r="AP2" i="18"/>
  <c r="AQ2" i="18" l="1"/>
  <c r="AR3" i="18"/>
  <c r="I126" i="17"/>
  <c r="J126" i="17"/>
  <c r="K126" i="17"/>
  <c r="L126" i="17"/>
  <c r="J129" i="17"/>
  <c r="K129" i="17"/>
  <c r="L129" i="17"/>
  <c r="I129" i="17"/>
  <c r="D109" i="17"/>
  <c r="C110" i="17"/>
  <c r="C111" i="17" s="1"/>
  <c r="D111" i="17" s="1"/>
  <c r="E84" i="17"/>
  <c r="D84" i="17"/>
  <c r="H176" i="17"/>
  <c r="H177" i="17"/>
  <c r="H101" i="17"/>
  <c r="C101" i="17"/>
  <c r="E101" i="17" s="1"/>
  <c r="C100" i="17"/>
  <c r="E100" i="17" s="1"/>
  <c r="M99" i="17" s="1"/>
  <c r="C97" i="17"/>
  <c r="C186" i="17"/>
  <c r="E168" i="17"/>
  <c r="D192" i="17" s="1"/>
  <c r="E167" i="17"/>
  <c r="D191" i="17" s="1"/>
  <c r="E166" i="17"/>
  <c r="D190" i="17" s="1"/>
  <c r="AR2" i="18" l="1"/>
  <c r="AS3" i="18"/>
  <c r="AS2" i="18" s="1"/>
  <c r="D183" i="17"/>
  <c r="D184" i="17"/>
  <c r="D185" i="17"/>
  <c r="D182" i="17"/>
  <c r="C105" i="17"/>
  <c r="M100" i="17"/>
  <c r="C102" i="17"/>
  <c r="E102" i="17"/>
  <c r="D169" i="17"/>
  <c r="C169" i="17"/>
  <c r="H173" i="17"/>
  <c r="H175" i="17"/>
  <c r="H172" i="17"/>
  <c r="J191" i="17" l="1"/>
  <c r="H179" i="17"/>
  <c r="I192" i="17" s="1"/>
  <c r="J190" i="17"/>
  <c r="J192" i="17"/>
  <c r="D105" i="17"/>
  <c r="M101" i="17"/>
  <c r="F100" i="17"/>
  <c r="I100" i="17"/>
  <c r="I101" i="17"/>
  <c r="F101" i="17"/>
  <c r="C191" i="17"/>
  <c r="C192" i="17"/>
  <c r="C190" i="17"/>
  <c r="E169" i="17"/>
  <c r="C193" i="17" l="1"/>
  <c r="I190" i="17"/>
  <c r="J193" i="17"/>
  <c r="P101" i="17"/>
  <c r="M102" i="17"/>
  <c r="I102" i="17"/>
  <c r="I191" i="17"/>
  <c r="I193" i="17" l="1"/>
  <c r="P102" i="17"/>
  <c r="Q101" i="17" s="1"/>
  <c r="N99" i="17"/>
  <c r="M103" i="17"/>
  <c r="N100" i="17"/>
  <c r="N101" i="17"/>
  <c r="H128" i="17"/>
  <c r="H125" i="17"/>
  <c r="J123" i="17"/>
  <c r="K123" i="17" s="1"/>
  <c r="L123" i="17" s="1"/>
  <c r="H124" i="17"/>
  <c r="C120" i="17"/>
  <c r="H205" i="17"/>
  <c r="H206" i="17"/>
  <c r="F207" i="17"/>
  <c r="C85" i="17" s="1"/>
  <c r="C215" i="17"/>
  <c r="BU37" i="7"/>
  <c r="BU39" i="7"/>
  <c r="BU49" i="7"/>
  <c r="CH318" i="1"/>
  <c r="CH323" i="1"/>
  <c r="CI181" i="1"/>
  <c r="CI186" i="1"/>
  <c r="AQ10" i="18"/>
  <c r="CH253" i="1"/>
  <c r="L683" i="21" s="1"/>
  <c r="CV8" i="9"/>
  <c r="CH451" i="1"/>
  <c r="CM452" i="1" s="1"/>
  <c r="CH74" i="1" l="1"/>
  <c r="CI80" i="1"/>
  <c r="CH75" i="1"/>
  <c r="CI87" i="1"/>
  <c r="P99" i="17"/>
  <c r="P100" i="17"/>
  <c r="BU9" i="7"/>
  <c r="BU22" i="7" s="1"/>
  <c r="L681" i="21"/>
  <c r="CH161" i="1"/>
  <c r="CM162" i="1" s="1"/>
  <c r="BU38" i="7"/>
  <c r="AQ17" i="18"/>
  <c r="H126" i="17"/>
  <c r="D130" i="17"/>
  <c r="C86" i="17"/>
  <c r="C112" i="17"/>
  <c r="D213" i="17"/>
  <c r="G190" i="17"/>
  <c r="G191" i="17"/>
  <c r="H127" i="17"/>
  <c r="BU62" i="7"/>
  <c r="H207" i="17"/>
  <c r="CV6" i="9"/>
  <c r="D214" i="17"/>
  <c r="D211" i="17"/>
  <c r="D212" i="17"/>
  <c r="BU42" i="7"/>
  <c r="BU43" i="7"/>
  <c r="BU40" i="7"/>
  <c r="BU71" i="7"/>
  <c r="CH12" i="1"/>
  <c r="CM13" i="1" s="1"/>
  <c r="CH188" i="1"/>
  <c r="CI189" i="1" s="1"/>
  <c r="BU33" i="7" l="1"/>
  <c r="CH76" i="1"/>
  <c r="CH77" i="1" s="1"/>
  <c r="CI88" i="1"/>
  <c r="CI90" i="1"/>
  <c r="CI324" i="1" s="1"/>
  <c r="CI321" i="1" s="1"/>
  <c r="CI81" i="1"/>
  <c r="CI83" i="1"/>
  <c r="CI319" i="1" s="1"/>
  <c r="CI316" i="1" s="1"/>
  <c r="BU57" i="7"/>
  <c r="CI163" i="1"/>
  <c r="L615" i="21"/>
  <c r="L618" i="21" s="1"/>
  <c r="L553" i="21" s="1"/>
  <c r="G192" i="17"/>
  <c r="G193" i="17" s="1"/>
  <c r="CH16" i="1"/>
  <c r="CI229" i="1" l="1"/>
  <c r="CI305" i="1"/>
  <c r="CI228" i="1"/>
  <c r="CI304" i="1"/>
  <c r="C126" i="17"/>
  <c r="BT37" i="7" l="1"/>
  <c r="BT39" i="7"/>
  <c r="BT49" i="7"/>
  <c r="CG253" i="1"/>
  <c r="K683" i="21" s="1"/>
  <c r="CG451" i="1"/>
  <c r="CL452" i="1" s="1"/>
  <c r="Q150" i="2"/>
  <c r="R150" i="2"/>
  <c r="S150" i="2"/>
  <c r="CG323" i="1" l="1"/>
  <c r="CL135" i="1"/>
  <c r="CG318" i="1"/>
  <c r="CL133" i="1"/>
  <c r="CU8" i="9"/>
  <c r="CL429" i="1"/>
  <c r="AP17" i="18"/>
  <c r="CL137" i="1"/>
  <c r="BT40" i="7"/>
  <c r="CL159" i="1"/>
  <c r="AP10" i="18"/>
  <c r="CL249" i="1"/>
  <c r="BT9" i="7"/>
  <c r="BT22" i="7" s="1"/>
  <c r="K681" i="21"/>
  <c r="BT38" i="7"/>
  <c r="CU6" i="9"/>
  <c r="BT42" i="7"/>
  <c r="CH87" i="1"/>
  <c r="CG188" i="1"/>
  <c r="CH189" i="1" s="1"/>
  <c r="CH186" i="1"/>
  <c r="BT43" i="7"/>
  <c r="CH80" i="1"/>
  <c r="BT71" i="7"/>
  <c r="CH181" i="1"/>
  <c r="BT62" i="7"/>
  <c r="CG75" i="1"/>
  <c r="CG74" i="1"/>
  <c r="CG12" i="1"/>
  <c r="CL13" i="1" s="1"/>
  <c r="DH45" i="7"/>
  <c r="DI45" i="7"/>
  <c r="DH46" i="7"/>
  <c r="DI46" i="7"/>
  <c r="DH49" i="7"/>
  <c r="DI49" i="7"/>
  <c r="DH50" i="7"/>
  <c r="DI50" i="7"/>
  <c r="DH51" i="7"/>
  <c r="DI51" i="7"/>
  <c r="BT33" i="7" l="1"/>
  <c r="CG16" i="1"/>
  <c r="K615" i="21"/>
  <c r="K618" i="21" s="1"/>
  <c r="K553" i="21" s="1"/>
  <c r="CH83" i="1"/>
  <c r="CH319" i="1" s="1"/>
  <c r="CH316" i="1" s="1"/>
  <c r="CM317" i="1" s="1"/>
  <c r="CH81" i="1"/>
  <c r="CH90" i="1"/>
  <c r="CH324" i="1" s="1"/>
  <c r="CH321" i="1" s="1"/>
  <c r="CM322" i="1" s="1"/>
  <c r="CH88" i="1"/>
  <c r="CG76" i="1"/>
  <c r="CG77" i="1" s="1"/>
  <c r="AO9" i="7"/>
  <c r="AN9" i="7"/>
  <c r="AM9" i="7"/>
  <c r="AL9" i="7"/>
  <c r="AK9" i="7"/>
  <c r="AJ9" i="7"/>
  <c r="AI9" i="7"/>
  <c r="AH9" i="7"/>
  <c r="AG9" i="7"/>
  <c r="AF9" i="7"/>
  <c r="AE9" i="7"/>
  <c r="AD9" i="7"/>
  <c r="AC9" i="7"/>
  <c r="AB9" i="7"/>
  <c r="AA9" i="7"/>
  <c r="Z9" i="7"/>
  <c r="Z22" i="7" s="1"/>
  <c r="Y9" i="7"/>
  <c r="Y22" i="7" s="1"/>
  <c r="X9" i="7"/>
  <c r="X22" i="7" s="1"/>
  <c r="W9" i="7"/>
  <c r="W22" i="7" s="1"/>
  <c r="V9" i="7"/>
  <c r="V22" i="7" s="1"/>
  <c r="U9" i="7"/>
  <c r="U22" i="7" s="1"/>
  <c r="T9" i="7"/>
  <c r="T22" i="7" s="1"/>
  <c r="S9" i="7"/>
  <c r="S22" i="7" s="1"/>
  <c r="R9" i="7"/>
  <c r="R22" i="7" s="1"/>
  <c r="Q9" i="7"/>
  <c r="Q22" i="7" s="1"/>
  <c r="P9" i="7"/>
  <c r="P22" i="7" s="1"/>
  <c r="O9" i="7"/>
  <c r="O22" i="7" s="1"/>
  <c r="N9" i="7"/>
  <c r="M9" i="7"/>
  <c r="L9" i="7"/>
  <c r="K9" i="7"/>
  <c r="J9" i="7"/>
  <c r="I9" i="7"/>
  <c r="H9" i="7"/>
  <c r="G9" i="7"/>
  <c r="H8" i="7"/>
  <c r="I8" i="7"/>
  <c r="J8" i="7"/>
  <c r="G8" i="7"/>
  <c r="D2" i="7"/>
  <c r="E2" i="7" s="1"/>
  <c r="E1" i="7" s="1"/>
  <c r="C1" i="7"/>
  <c r="D273" i="17"/>
  <c r="E273" i="17"/>
  <c r="H273" i="17" s="1"/>
  <c r="D274" i="17"/>
  <c r="E274" i="17"/>
  <c r="H274" i="17" s="1"/>
  <c r="D275" i="17"/>
  <c r="E275" i="17"/>
  <c r="C274" i="17"/>
  <c r="C275" i="17"/>
  <c r="C273" i="17"/>
  <c r="AN22" i="7" l="1"/>
  <c r="I22" i="7"/>
  <c r="M22" i="7"/>
  <c r="AA22" i="7"/>
  <c r="AO22" i="7"/>
  <c r="K22" i="7"/>
  <c r="AM22" i="7"/>
  <c r="L22" i="7"/>
  <c r="N22" i="7"/>
  <c r="AK22" i="7"/>
  <c r="AE22" i="7"/>
  <c r="AH22" i="7"/>
  <c r="AL22" i="7"/>
  <c r="AC22" i="7"/>
  <c r="AD22" i="7"/>
  <c r="AF22" i="7"/>
  <c r="AG22" i="7"/>
  <c r="G22" i="7"/>
  <c r="AI22" i="7"/>
  <c r="J22" i="7"/>
  <c r="AB22" i="7"/>
  <c r="H22" i="7"/>
  <c r="AJ22" i="7"/>
  <c r="CH305" i="1"/>
  <c r="CH229" i="1"/>
  <c r="CH304" i="1"/>
  <c r="CH228" i="1"/>
  <c r="D1" i="7"/>
  <c r="F2" i="7"/>
  <c r="F284" i="17"/>
  <c r="F270" i="17"/>
  <c r="F275" i="17" s="1"/>
  <c r="H275" i="17" s="1"/>
  <c r="F1" i="7" l="1"/>
  <c r="G2" i="7"/>
  <c r="D260" i="17"/>
  <c r="D261" i="17"/>
  <c r="G1" i="7" l="1"/>
  <c r="H2" i="7"/>
  <c r="D262" i="17"/>
  <c r="I2" i="7" l="1"/>
  <c r="H1" i="7"/>
  <c r="M248" i="17"/>
  <c r="M249" i="17" s="1"/>
  <c r="G252" i="17"/>
  <c r="G246" i="17"/>
  <c r="E251" i="17"/>
  <c r="E252" i="17" s="1"/>
  <c r="F252" i="17"/>
  <c r="E246" i="17"/>
  <c r="F246" i="17"/>
  <c r="D244" i="17"/>
  <c r="D246" i="17" s="1"/>
  <c r="D251" i="17"/>
  <c r="D252" i="17" s="1"/>
  <c r="E224" i="17"/>
  <c r="J2" i="7" l="1"/>
  <c r="I1" i="7"/>
  <c r="D254" i="17"/>
  <c r="E254" i="17"/>
  <c r="F254" i="17"/>
  <c r="G254" i="17"/>
  <c r="K2" i="7" l="1"/>
  <c r="J1" i="7"/>
  <c r="H224" i="17"/>
  <c r="H223" i="17"/>
  <c r="F225" i="17"/>
  <c r="BS49" i="7"/>
  <c r="BS39" i="7"/>
  <c r="BS37" i="7"/>
  <c r="CK409" i="1"/>
  <c r="CK397" i="1"/>
  <c r="CK392" i="1"/>
  <c r="CK297" i="1"/>
  <c r="CK249" i="1"/>
  <c r="CG186" i="1"/>
  <c r="CK159" i="1"/>
  <c r="CK137" i="1"/>
  <c r="CK135" i="1"/>
  <c r="CK133" i="1"/>
  <c r="CK405" i="1" l="1"/>
  <c r="CK402" i="1"/>
  <c r="CT8" i="9"/>
  <c r="CK429" i="1"/>
  <c r="CT9" i="9"/>
  <c r="AO10" i="18"/>
  <c r="CJ248" i="1"/>
  <c r="BW33" i="7" s="1"/>
  <c r="BS40" i="7"/>
  <c r="CJ158" i="1"/>
  <c r="AO17" i="18"/>
  <c r="CJ136" i="1"/>
  <c r="J694" i="21"/>
  <c r="J646" i="21" s="1"/>
  <c r="J649" i="21" s="1"/>
  <c r="J567" i="21" s="1"/>
  <c r="AO12" i="18"/>
  <c r="BS9" i="7"/>
  <c r="BS22" i="7" s="1"/>
  <c r="J681" i="21"/>
  <c r="CF161" i="1"/>
  <c r="CK162" i="1" s="1"/>
  <c r="BS38" i="7"/>
  <c r="CT6" i="9"/>
  <c r="BS11" i="7"/>
  <c r="BS24" i="7" s="1"/>
  <c r="CT13" i="9"/>
  <c r="BS71" i="7"/>
  <c r="CG181" i="1"/>
  <c r="BS43" i="7"/>
  <c r="CG80" i="1"/>
  <c r="BS42" i="7"/>
  <c r="CG87" i="1"/>
  <c r="L2" i="7"/>
  <c r="K1" i="7"/>
  <c r="BS62" i="7"/>
  <c r="H225" i="17"/>
  <c r="BS33" i="7" l="1"/>
  <c r="BS35" i="7"/>
  <c r="CT14" i="9"/>
  <c r="N394" i="21"/>
  <c r="CX6" i="9"/>
  <c r="J615" i="21"/>
  <c r="CG88" i="1"/>
  <c r="CG90" i="1"/>
  <c r="CG324" i="1" s="1"/>
  <c r="CG321" i="1" s="1"/>
  <c r="CL322" i="1" s="1"/>
  <c r="CG83" i="1"/>
  <c r="CG319" i="1" s="1"/>
  <c r="CG316" i="1" s="1"/>
  <c r="CL317" i="1" s="1"/>
  <c r="CG81" i="1"/>
  <c r="M2" i="7"/>
  <c r="L1" i="7"/>
  <c r="J618" i="21" l="1"/>
  <c r="J553" i="21" s="1"/>
  <c r="CG304" i="1"/>
  <c r="CG228" i="1"/>
  <c r="CG229" i="1"/>
  <c r="CG305" i="1"/>
  <c r="M1" i="7"/>
  <c r="N2" i="7"/>
  <c r="N1" i="7" l="1"/>
  <c r="O2" i="7"/>
  <c r="P2" i="7" l="1"/>
  <c r="O1" i="7"/>
  <c r="CF451" i="1"/>
  <c r="CK452" i="1" s="1"/>
  <c r="CF252" i="1"/>
  <c r="CF244" i="1"/>
  <c r="J678" i="21" s="1"/>
  <c r="CF242" i="1"/>
  <c r="J676" i="21" s="1"/>
  <c r="CF232" i="1"/>
  <c r="CF253" i="1"/>
  <c r="J683" i="21" s="1"/>
  <c r="CF241" i="1"/>
  <c r="J675" i="21" s="1"/>
  <c r="CF240" i="1"/>
  <c r="J674" i="21" s="1"/>
  <c r="CF323" i="1"/>
  <c r="CF318" i="1"/>
  <c r="CF75" i="1"/>
  <c r="CF31" i="1"/>
  <c r="CF12" i="1"/>
  <c r="CK13" i="1" s="1"/>
  <c r="BR37" i="7"/>
  <c r="BR39" i="7"/>
  <c r="BR49" i="7"/>
  <c r="W32" i="16"/>
  <c r="J682" i="21" l="1"/>
  <c r="J621" i="21" s="1"/>
  <c r="J623" i="21" s="1"/>
  <c r="J554" i="21" s="1"/>
  <c r="Q2" i="7"/>
  <c r="P1" i="7"/>
  <c r="CF254" i="1"/>
  <c r="CF35" i="1"/>
  <c r="BS12" i="7" s="1"/>
  <c r="CF439" i="1"/>
  <c r="CF188" i="1"/>
  <c r="CG189" i="1" s="1"/>
  <c r="CF16" i="1"/>
  <c r="CF74" i="1"/>
  <c r="CF76" i="1" s="1"/>
  <c r="CF77" i="1" s="1"/>
  <c r="CF411" i="1"/>
  <c r="CF243" i="1"/>
  <c r="J677" i="21" s="1"/>
  <c r="CF292" i="1"/>
  <c r="CF393" i="1"/>
  <c r="BR62" i="7"/>
  <c r="W58" i="16"/>
  <c r="W36" i="16"/>
  <c r="W28" i="16"/>
  <c r="W25" i="16"/>
  <c r="CK412" i="1" l="1"/>
  <c r="CF256" i="1"/>
  <c r="CK255" i="1"/>
  <c r="J555" i="21"/>
  <c r="R2" i="7"/>
  <c r="Q1" i="7"/>
  <c r="Q55" i="16" a="1"/>
  <c r="S2" i="7" l="1"/>
  <c r="R1" i="7"/>
  <c r="Q55" i="16"/>
  <c r="Q24" i="16" a="1"/>
  <c r="Q31" i="16" a="1"/>
  <c r="R20" i="16" a="1"/>
  <c r="Q27" i="16" a="1"/>
  <c r="Q20" i="16" a="1"/>
  <c r="Q35" i="16" a="1"/>
  <c r="T2" i="7" l="1"/>
  <c r="S1" i="7"/>
  <c r="Q20" i="16"/>
  <c r="Q27" i="16"/>
  <c r="Q24" i="16"/>
  <c r="Q35" i="16"/>
  <c r="Q31" i="16"/>
  <c r="R20" i="16"/>
  <c r="R24" i="16" a="1"/>
  <c r="R31" i="16" a="1"/>
  <c r="S20" i="16" a="1"/>
  <c r="R55" i="16" a="1"/>
  <c r="R27" i="16" a="1"/>
  <c r="R35" i="16" a="1"/>
  <c r="T1" i="7" l="1"/>
  <c r="U2" i="7"/>
  <c r="R24" i="16"/>
  <c r="R22" i="16" s="1"/>
  <c r="Q22" i="16"/>
  <c r="Q39" i="16"/>
  <c r="Q37" i="16"/>
  <c r="Q33" i="16"/>
  <c r="Q29" i="16"/>
  <c r="R55" i="16"/>
  <c r="R58" i="16" s="1"/>
  <c r="R35" i="16"/>
  <c r="R36" i="16" s="1"/>
  <c r="R27" i="16"/>
  <c r="R31" i="16"/>
  <c r="R21" i="16"/>
  <c r="S20" i="16"/>
  <c r="T24" i="16" a="1"/>
  <c r="S31" i="16" a="1"/>
  <c r="S35" i="16" a="1"/>
  <c r="S55" i="16" a="1"/>
  <c r="S27" i="16" a="1"/>
  <c r="S24" i="16" a="1"/>
  <c r="U1" i="7" l="1"/>
  <c r="V2" i="7"/>
  <c r="R25" i="16"/>
  <c r="S55" i="16"/>
  <c r="S61" i="16" s="1"/>
  <c r="R23" i="16"/>
  <c r="R29" i="16"/>
  <c r="R39" i="16"/>
  <c r="R33" i="16"/>
  <c r="R32" i="16"/>
  <c r="R28" i="16"/>
  <c r="R37" i="16"/>
  <c r="R61" i="16"/>
  <c r="S24" i="16"/>
  <c r="S22" i="16" s="1"/>
  <c r="S23" i="16" s="1"/>
  <c r="S27" i="16"/>
  <c r="S31" i="16"/>
  <c r="S32" i="16" s="1"/>
  <c r="S35" i="16"/>
  <c r="S36" i="16" s="1"/>
  <c r="S21" i="16"/>
  <c r="T24" i="16"/>
  <c r="T27" i="16" a="1"/>
  <c r="T35" i="16" a="1"/>
  <c r="T31" i="16" a="1"/>
  <c r="T55" i="16" a="1"/>
  <c r="T20" i="16" a="1"/>
  <c r="U20" i="16" a="1"/>
  <c r="V1" i="7" l="1"/>
  <c r="W2" i="7"/>
  <c r="S58" i="16"/>
  <c r="T55" i="16"/>
  <c r="T58" i="16" s="1"/>
  <c r="T20" i="16"/>
  <c r="T31" i="16"/>
  <c r="T33" i="16" s="1"/>
  <c r="T27" i="16"/>
  <c r="T28" i="16" s="1"/>
  <c r="S28" i="16"/>
  <c r="S39" i="16"/>
  <c r="S62" i="16"/>
  <c r="S37" i="16"/>
  <c r="S29" i="16"/>
  <c r="S33" i="16"/>
  <c r="S25" i="16"/>
  <c r="T35" i="16"/>
  <c r="T37" i="16" s="1"/>
  <c r="T25" i="16"/>
  <c r="U20" i="16"/>
  <c r="U27" i="16" a="1"/>
  <c r="U55" i="16" a="1"/>
  <c r="U31" i="16" a="1"/>
  <c r="U24" i="16" a="1"/>
  <c r="U35" i="16" a="1"/>
  <c r="W1" i="7" l="1"/>
  <c r="X2" i="7"/>
  <c r="T61" i="16"/>
  <c r="T62" i="16" s="1"/>
  <c r="T21" i="16"/>
  <c r="T29" i="16"/>
  <c r="T22" i="16"/>
  <c r="T23" i="16" s="1"/>
  <c r="U55" i="16"/>
  <c r="U58" i="16" s="1"/>
  <c r="U31" i="16"/>
  <c r="U32" i="16" s="1"/>
  <c r="U24" i="16"/>
  <c r="U27" i="16"/>
  <c r="U28" i="16" s="1"/>
  <c r="U35" i="16"/>
  <c r="U36" i="16" s="1"/>
  <c r="T32" i="16"/>
  <c r="T36" i="16"/>
  <c r="T39" i="16"/>
  <c r="U21" i="16"/>
  <c r="U61" i="16" l="1"/>
  <c r="U62" i="16" s="1"/>
  <c r="X1" i="7"/>
  <c r="Y2" i="7"/>
  <c r="U39" i="16"/>
  <c r="U29" i="16"/>
  <c r="U37" i="16"/>
  <c r="U22" i="16"/>
  <c r="U23" i="16" s="1"/>
  <c r="U25" i="16"/>
  <c r="U33" i="16"/>
  <c r="Z2" i="7" l="1"/>
  <c r="Y1" i="7"/>
  <c r="BR71" i="7"/>
  <c r="BQ71" i="7"/>
  <c r="BP71" i="7"/>
  <c r="BO71" i="7"/>
  <c r="BN71" i="7"/>
  <c r="BM71" i="7"/>
  <c r="BL71" i="7"/>
  <c r="BK71" i="7"/>
  <c r="AA2" i="7" l="1"/>
  <c r="Z1" i="7"/>
  <c r="S323" i="2"/>
  <c r="S244" i="2"/>
  <c r="S198" i="2"/>
  <c r="S197" i="2"/>
  <c r="S5" i="2"/>
  <c r="S47" i="2" s="1"/>
  <c r="I701" i="21" s="1"/>
  <c r="I505" i="21" s="1"/>
  <c r="S6" i="2"/>
  <c r="S8" i="2"/>
  <c r="S14" i="2"/>
  <c r="S23" i="2"/>
  <c r="S25" i="2"/>
  <c r="S27" i="2"/>
  <c r="S28" i="2"/>
  <c r="S32" i="2"/>
  <c r="S202" i="2" s="1"/>
  <c r="S33" i="2"/>
  <c r="S36" i="2"/>
  <c r="S37" i="2"/>
  <c r="S78" i="2"/>
  <c r="S79" i="2"/>
  <c r="S142" i="2"/>
  <c r="S158" i="2"/>
  <c r="S159" i="2" s="1"/>
  <c r="S190" i="2"/>
  <c r="S193" i="2"/>
  <c r="S211" i="2"/>
  <c r="S212" i="2" s="1"/>
  <c r="S217" i="2"/>
  <c r="S243" i="2"/>
  <c r="S250" i="2"/>
  <c r="S253" i="2"/>
  <c r="S256" i="2"/>
  <c r="S294" i="2"/>
  <c r="S308" i="2"/>
  <c r="S309" i="2" s="1"/>
  <c r="S312" i="2"/>
  <c r="S313" i="2" s="1"/>
  <c r="S315" i="2"/>
  <c r="S336" i="2"/>
  <c r="S371" i="2"/>
  <c r="S404" i="2"/>
  <c r="S409" i="2"/>
  <c r="CE453" i="1"/>
  <c r="CE451" i="1"/>
  <c r="CE438" i="1"/>
  <c r="S369" i="2" s="1"/>
  <c r="CE362" i="1"/>
  <c r="CE346" i="1"/>
  <c r="CE345" i="1"/>
  <c r="CE343" i="1"/>
  <c r="CE264" i="1"/>
  <c r="CE218" i="1"/>
  <c r="CE217" i="1"/>
  <c r="CE216" i="1"/>
  <c r="CE185" i="1"/>
  <c r="CE180" i="1"/>
  <c r="CD51" i="1"/>
  <c r="CD52" i="1"/>
  <c r="BR42" i="7"/>
  <c r="CD181" i="1"/>
  <c r="CD186" i="1"/>
  <c r="CD188" i="1"/>
  <c r="CI249" i="1"/>
  <c r="CD253" i="1"/>
  <c r="H683" i="21" s="1"/>
  <c r="W683" i="21" s="1"/>
  <c r="CE281" i="1"/>
  <c r="CI297" i="1"/>
  <c r="CD451" i="1"/>
  <c r="CI452" i="1" s="1"/>
  <c r="I483" i="21" l="1"/>
  <c r="N482" i="21" s="1"/>
  <c r="I266" i="21"/>
  <c r="I494" i="21"/>
  <c r="I536" i="21"/>
  <c r="I706" i="21"/>
  <c r="I518" i="21"/>
  <c r="CF181" i="1"/>
  <c r="CJ181" i="1"/>
  <c r="CF186" i="1"/>
  <c r="CJ186" i="1"/>
  <c r="CR8" i="9"/>
  <c r="CI429" i="1"/>
  <c r="CD318" i="1"/>
  <c r="BR40" i="7"/>
  <c r="CI159" i="1"/>
  <c r="AN17" i="18"/>
  <c r="CI137" i="1"/>
  <c r="CD323" i="1"/>
  <c r="H681" i="21"/>
  <c r="J238" i="21" s="1"/>
  <c r="J256" i="21" s="1"/>
  <c r="AN10" i="18"/>
  <c r="I700" i="21"/>
  <c r="I517" i="21" s="1"/>
  <c r="S39" i="2"/>
  <c r="S38" i="2" s="1"/>
  <c r="S40" i="2" s="1"/>
  <c r="L54" i="18" s="1"/>
  <c r="S342" i="2"/>
  <c r="S60" i="2"/>
  <c r="S386" i="2" s="1"/>
  <c r="AB80" i="3" s="1"/>
  <c r="S26" i="2"/>
  <c r="S173" i="2" s="1"/>
  <c r="S200" i="2"/>
  <c r="S168" i="2"/>
  <c r="S201" i="2"/>
  <c r="L52" i="18"/>
  <c r="S169" i="2"/>
  <c r="S218" i="2"/>
  <c r="T130" i="2"/>
  <c r="CD161" i="1"/>
  <c r="CI162" i="1" s="1"/>
  <c r="L36" i="18"/>
  <c r="L45" i="18"/>
  <c r="L51" i="18"/>
  <c r="BR38" i="7"/>
  <c r="CR6" i="9"/>
  <c r="CD12" i="1"/>
  <c r="CI13" i="1" s="1"/>
  <c r="BR9" i="7"/>
  <c r="BR22" i="7" s="1"/>
  <c r="AB2" i="7"/>
  <c r="AA1" i="7"/>
  <c r="CE82" i="1"/>
  <c r="CJ80" i="1" s="1"/>
  <c r="BR43" i="7"/>
  <c r="CD75" i="1"/>
  <c r="CE89" i="1"/>
  <c r="CD292" i="1"/>
  <c r="CD74" i="1"/>
  <c r="CE188" i="1"/>
  <c r="CF189" i="1" s="1"/>
  <c r="CE253" i="1"/>
  <c r="I683" i="21" s="1"/>
  <c r="I351" i="21" s="1"/>
  <c r="S7" i="2"/>
  <c r="S263" i="2" s="1"/>
  <c r="S31" i="2"/>
  <c r="S15" i="2"/>
  <c r="S153" i="2"/>
  <c r="S80" i="2"/>
  <c r="W11" i="3"/>
  <c r="X11" i="3"/>
  <c r="Y11" i="3"/>
  <c r="Z11" i="3"/>
  <c r="AA11" i="3"/>
  <c r="AB11" i="3"/>
  <c r="AC11" i="3"/>
  <c r="V11" i="3"/>
  <c r="CQ32" i="7"/>
  <c r="CP32" i="7"/>
  <c r="CO32" i="7"/>
  <c r="CN32" i="7"/>
  <c r="CM32" i="7"/>
  <c r="CL32" i="7"/>
  <c r="CV9" i="7"/>
  <c r="CU9" i="7"/>
  <c r="CT9" i="7"/>
  <c r="CS9" i="7"/>
  <c r="CR9" i="7"/>
  <c r="CQ9" i="7"/>
  <c r="CP9" i="7"/>
  <c r="CO9" i="7"/>
  <c r="CN9" i="7"/>
  <c r="CM9" i="7"/>
  <c r="CL9" i="7"/>
  <c r="CT11" i="7"/>
  <c r="CS11" i="7"/>
  <c r="CR11" i="7"/>
  <c r="CQ11" i="7"/>
  <c r="CP11" i="7"/>
  <c r="CO11" i="7"/>
  <c r="CN11" i="7"/>
  <c r="CM11" i="7"/>
  <c r="CL11" i="7"/>
  <c r="BQ37" i="7"/>
  <c r="BQ39" i="7"/>
  <c r="BQ49" i="7"/>
  <c r="CC181" i="1"/>
  <c r="CC186" i="1"/>
  <c r="CC188" i="1"/>
  <c r="CD189" i="1" s="1"/>
  <c r="AM10" i="18"/>
  <c r="CC253" i="1"/>
  <c r="G683" i="21" s="1"/>
  <c r="CH429" i="1"/>
  <c r="CC451" i="1"/>
  <c r="CH452" i="1" s="1"/>
  <c r="Z257" i="3"/>
  <c r="C267" i="3"/>
  <c r="C254" i="3"/>
  <c r="BR33" i="7" l="1"/>
  <c r="I465" i="21"/>
  <c r="S174" i="2"/>
  <c r="S175" i="2" s="1"/>
  <c r="S49" i="2"/>
  <c r="CF87" i="1"/>
  <c r="CF90" i="1" s="1"/>
  <c r="CF324" i="1" s="1"/>
  <c r="CF321" i="1" s="1"/>
  <c r="CJ87" i="1"/>
  <c r="CJ83" i="1"/>
  <c r="CJ319" i="1" s="1"/>
  <c r="CJ81" i="1"/>
  <c r="W681" i="21"/>
  <c r="W615" i="21" s="1"/>
  <c r="W618" i="21" s="1"/>
  <c r="W553" i="21" s="1"/>
  <c r="W590" i="21" s="1"/>
  <c r="H615" i="21"/>
  <c r="H618" i="21" s="1"/>
  <c r="H553" i="21" s="1"/>
  <c r="L238" i="21"/>
  <c r="L256" i="21" s="1"/>
  <c r="CH249" i="1"/>
  <c r="G681" i="21"/>
  <c r="G615" i="21" s="1"/>
  <c r="S24" i="2"/>
  <c r="S29" i="2" s="1"/>
  <c r="C250" i="17" s="1"/>
  <c r="L49" i="18"/>
  <c r="C251" i="17"/>
  <c r="L44" i="18"/>
  <c r="L35" i="18"/>
  <c r="S170" i="2"/>
  <c r="S203" i="2"/>
  <c r="AB7" i="3" s="1"/>
  <c r="CH297" i="1"/>
  <c r="CC161" i="1"/>
  <c r="CH137" i="1"/>
  <c r="AM17" i="18"/>
  <c r="S46" i="2"/>
  <c r="L50" i="18"/>
  <c r="CD16" i="1"/>
  <c r="BQ40" i="7"/>
  <c r="CH159" i="1"/>
  <c r="CC323" i="1"/>
  <c r="CC318" i="1"/>
  <c r="CC12" i="1"/>
  <c r="BQ9" i="7"/>
  <c r="BQ22" i="7" s="1"/>
  <c r="AC2" i="7"/>
  <c r="AB1" i="7"/>
  <c r="CE74" i="1"/>
  <c r="CF80" i="1"/>
  <c r="CD76" i="1"/>
  <c r="CD77" i="1" s="1"/>
  <c r="CE75" i="1"/>
  <c r="BQ42" i="7"/>
  <c r="CD87" i="1"/>
  <c r="CC74" i="1"/>
  <c r="CD80" i="1"/>
  <c r="S34" i="2"/>
  <c r="S9" i="2"/>
  <c r="BQ62" i="7"/>
  <c r="CC75" i="1"/>
  <c r="BQ43" i="7"/>
  <c r="BQ38" i="7"/>
  <c r="CQ6" i="9"/>
  <c r="CQ8" i="9"/>
  <c r="CC292" i="1"/>
  <c r="Q245" i="3"/>
  <c r="P245" i="3"/>
  <c r="O245" i="3"/>
  <c r="N245" i="3"/>
  <c r="M245" i="3"/>
  <c r="L245" i="3"/>
  <c r="BU185" i="1"/>
  <c r="BV186" i="1" s="1"/>
  <c r="L13" i="18" l="1"/>
  <c r="U25" i="27"/>
  <c r="U31" i="27" s="1"/>
  <c r="BQ33" i="7"/>
  <c r="N461" i="21"/>
  <c r="N470" i="21" s="1"/>
  <c r="O470" i="21" s="1"/>
  <c r="P470" i="21" s="1"/>
  <c r="I497" i="21"/>
  <c r="CJ321" i="1"/>
  <c r="CJ305" i="1" s="1"/>
  <c r="CK322" i="1"/>
  <c r="CF88" i="1"/>
  <c r="CJ90" i="1"/>
  <c r="CJ324" i="1" s="1"/>
  <c r="CJ88" i="1"/>
  <c r="S48" i="2"/>
  <c r="AB138" i="3" s="1"/>
  <c r="I699" i="21"/>
  <c r="I516" i="21" s="1"/>
  <c r="L43" i="18"/>
  <c r="L34" i="18"/>
  <c r="G618" i="21"/>
  <c r="G553" i="21" s="1"/>
  <c r="L573" i="21" s="1"/>
  <c r="K67" i="4"/>
  <c r="S35" i="2"/>
  <c r="S42" i="2" s="1"/>
  <c r="L53" i="18"/>
  <c r="L55" i="18" s="1"/>
  <c r="CC16" i="1"/>
  <c r="CH13" i="1"/>
  <c r="AC1" i="7"/>
  <c r="AD2" i="7"/>
  <c r="CE76" i="1"/>
  <c r="CE77" i="1" s="1"/>
  <c r="CF83" i="1"/>
  <c r="CF319" i="1" s="1"/>
  <c r="CF316" i="1" s="1"/>
  <c r="CF81" i="1"/>
  <c r="CF229" i="1"/>
  <c r="CF305" i="1"/>
  <c r="CD90" i="1"/>
  <c r="CD324" i="1" s="1"/>
  <c r="CD321" i="1" s="1"/>
  <c r="CI322" i="1" s="1"/>
  <c r="CD88" i="1"/>
  <c r="CD83" i="1"/>
  <c r="CD319" i="1" s="1"/>
  <c r="CD316" i="1" s="1"/>
  <c r="CI317" i="1" s="1"/>
  <c r="CD81" i="1"/>
  <c r="CC76" i="1"/>
  <c r="CC77" i="1" s="1"/>
  <c r="I455" i="21" l="1"/>
  <c r="I519" i="21"/>
  <c r="Q470" i="21"/>
  <c r="CJ316" i="1"/>
  <c r="CJ304" i="1" s="1"/>
  <c r="CK317" i="1"/>
  <c r="I265" i="21"/>
  <c r="I705" i="21"/>
  <c r="I702" i="21"/>
  <c r="CP76" i="1"/>
  <c r="AD1" i="7"/>
  <c r="AE2" i="7"/>
  <c r="CF228" i="1"/>
  <c r="CF304" i="1"/>
  <c r="CD228" i="1"/>
  <c r="CD304" i="1"/>
  <c r="CD305" i="1"/>
  <c r="CD229" i="1"/>
  <c r="N539" i="21" l="1"/>
  <c r="N529" i="21"/>
  <c r="N453" i="21"/>
  <c r="I493" i="21"/>
  <c r="I495" i="21" s="1"/>
  <c r="R470" i="21"/>
  <c r="CO77" i="1"/>
  <c r="AE1" i="7"/>
  <c r="AF2" i="7"/>
  <c r="CQ76" i="1"/>
  <c r="CP77" i="1"/>
  <c r="I498" i="21" l="1"/>
  <c r="I500" i="21"/>
  <c r="S470" i="21"/>
  <c r="AF1" i="7"/>
  <c r="AG2" i="7"/>
  <c r="CR76" i="1"/>
  <c r="CQ77" i="1"/>
  <c r="T470" i="21" l="1"/>
  <c r="AH2" i="7"/>
  <c r="AG1" i="7"/>
  <c r="CS76" i="1"/>
  <c r="CR77" i="1"/>
  <c r="AI2" i="7" l="1"/>
  <c r="AH1" i="7"/>
  <c r="CT76" i="1"/>
  <c r="CT77" i="1" s="1"/>
  <c r="CS77" i="1"/>
  <c r="AD161" i="1"/>
  <c r="AE161" i="1"/>
  <c r="AF161" i="1"/>
  <c r="AH161" i="1"/>
  <c r="AI161" i="1"/>
  <c r="AJ161" i="1"/>
  <c r="AK161" i="1"/>
  <c r="AM161" i="1"/>
  <c r="AN161" i="1"/>
  <c r="AO161" i="1"/>
  <c r="AP161" i="1"/>
  <c r="AR161" i="1"/>
  <c r="AS161" i="1"/>
  <c r="AT161" i="1"/>
  <c r="CC297" i="1" l="1"/>
  <c r="CF297" i="1"/>
  <c r="CD297" i="1"/>
  <c r="CB326" i="1"/>
  <c r="CF298" i="1"/>
  <c r="CA326" i="1"/>
  <c r="CF326" i="1"/>
  <c r="CD298" i="1"/>
  <c r="BY326" i="1"/>
  <c r="CD326" i="1"/>
  <c r="CC298" i="1"/>
  <c r="BX326" i="1"/>
  <c r="CC326" i="1"/>
  <c r="BW326" i="1"/>
  <c r="AJ2" i="7"/>
  <c r="AI1" i="7"/>
  <c r="CE291" i="1"/>
  <c r="CE290" i="1"/>
  <c r="AZ297" i="1"/>
  <c r="AP297" i="1"/>
  <c r="BT297" i="1"/>
  <c r="BJ297" i="1"/>
  <c r="BB297" i="1"/>
  <c r="AR297" i="1"/>
  <c r="AH297" i="1"/>
  <c r="BL297" i="1"/>
  <c r="AO297" i="1"/>
  <c r="BS297" i="1"/>
  <c r="AY297" i="1"/>
  <c r="BW298" i="1"/>
  <c r="BR297" i="1"/>
  <c r="CB297" i="1"/>
  <c r="AN297" i="1"/>
  <c r="AX297" i="1"/>
  <c r="BX298" i="1"/>
  <c r="BZ291" i="1"/>
  <c r="BG297" i="1"/>
  <c r="AW297" i="1"/>
  <c r="AM297" i="1"/>
  <c r="BY298" i="1"/>
  <c r="CA298" i="1"/>
  <c r="CA297" i="1"/>
  <c r="BY297" i="1"/>
  <c r="BE297" i="1"/>
  <c r="AK297" i="1"/>
  <c r="BX297" i="1"/>
  <c r="BN297" i="1"/>
  <c r="AT297" i="1"/>
  <c r="AJ297" i="1"/>
  <c r="CB298" i="1"/>
  <c r="BO297" i="1"/>
  <c r="AU297" i="1"/>
  <c r="BW297" i="1"/>
  <c r="BM297" i="1"/>
  <c r="AS297" i="1"/>
  <c r="AI297" i="1"/>
  <c r="BZ290" i="1"/>
  <c r="BV292" i="1"/>
  <c r="BT292" i="1"/>
  <c r="BS292" i="1"/>
  <c r="BP290" i="1"/>
  <c r="CB292" i="1"/>
  <c r="CA292" i="1"/>
  <c r="CF299" i="1" s="1"/>
  <c r="BY292" i="1"/>
  <c r="CD299" i="1" s="1"/>
  <c r="BX292" i="1"/>
  <c r="CC299" i="1" s="1"/>
  <c r="BR292" i="1"/>
  <c r="BW292" i="1"/>
  <c r="AQ290" i="1"/>
  <c r="AQ161" i="1" s="1"/>
  <c r="AV290" i="1"/>
  <c r="AV161" i="1" s="1"/>
  <c r="AL290" i="1"/>
  <c r="AL161" i="1" s="1"/>
  <c r="BK290" i="1"/>
  <c r="AG290" i="1"/>
  <c r="BA290" i="1"/>
  <c r="CB232" i="1"/>
  <c r="BY232" i="1"/>
  <c r="BX232" i="1"/>
  <c r="BW232" i="1"/>
  <c r="BV232" i="1"/>
  <c r="BT232" i="1"/>
  <c r="BS232" i="1"/>
  <c r="BR232" i="1"/>
  <c r="BQ232" i="1"/>
  <c r="BO232" i="1"/>
  <c r="BN232" i="1"/>
  <c r="BM232" i="1"/>
  <c r="BL232" i="1"/>
  <c r="BJ232" i="1"/>
  <c r="BI232" i="1"/>
  <c r="BH232" i="1"/>
  <c r="BG232" i="1"/>
  <c r="R245" i="3" l="1"/>
  <c r="AG161" i="1"/>
  <c r="CE326" i="1"/>
  <c r="AH294" i="1"/>
  <c r="AE7" i="7"/>
  <c r="AE8" i="7" s="1"/>
  <c r="AR294" i="1"/>
  <c r="AM7" i="7"/>
  <c r="AM8" i="7" s="1"/>
  <c r="AS294" i="1"/>
  <c r="AN7" i="7"/>
  <c r="AN8" i="7" s="1"/>
  <c r="AJ294" i="1"/>
  <c r="AG7" i="7"/>
  <c r="AG8" i="7" s="1"/>
  <c r="AT294" i="1"/>
  <c r="AO7" i="7"/>
  <c r="AO8" i="7" s="1"/>
  <c r="AF294" i="1"/>
  <c r="AD7" i="7"/>
  <c r="AD8" i="7" s="1"/>
  <c r="AP294" i="1"/>
  <c r="AL7" i="7"/>
  <c r="AL8" i="7" s="1"/>
  <c r="AI294" i="1"/>
  <c r="AF7" i="7"/>
  <c r="AF8" i="7" s="1"/>
  <c r="AK294" i="1"/>
  <c r="AH7" i="7"/>
  <c r="AH8" i="7" s="1"/>
  <c r="AU294" i="1"/>
  <c r="AP7" i="7"/>
  <c r="AP8" i="7" s="1"/>
  <c r="AC294" i="1"/>
  <c r="AA7" i="7"/>
  <c r="AA8" i="7" s="1"/>
  <c r="AM294" i="1"/>
  <c r="AI7" i="7"/>
  <c r="AI8" i="7" s="1"/>
  <c r="AD294" i="1"/>
  <c r="AB7" i="7"/>
  <c r="AB8" i="7" s="1"/>
  <c r="AN294" i="1"/>
  <c r="AJ7" i="7"/>
  <c r="AJ8" i="7" s="1"/>
  <c r="AE294" i="1"/>
  <c r="AC7" i="7"/>
  <c r="AC8" i="7" s="1"/>
  <c r="AO294" i="1"/>
  <c r="AK7" i="7"/>
  <c r="AK8" i="7" s="1"/>
  <c r="AK2" i="7"/>
  <c r="AJ1" i="7"/>
  <c r="CE298" i="1"/>
  <c r="CA232" i="1"/>
  <c r="CE297" i="1"/>
  <c r="CE292" i="1"/>
  <c r="CA299" i="1"/>
  <c r="BY299" i="1"/>
  <c r="BW299" i="1"/>
  <c r="AQ297" i="1"/>
  <c r="T245" i="3"/>
  <c r="BX299" i="1"/>
  <c r="X245" i="3"/>
  <c r="V245" i="3"/>
  <c r="BA297" i="1"/>
  <c r="S245" i="3"/>
  <c r="AL297" i="1"/>
  <c r="Y245" i="3"/>
  <c r="BP297" i="1"/>
  <c r="U245" i="3"/>
  <c r="AV297" i="1"/>
  <c r="CB299" i="1"/>
  <c r="AA245" i="3"/>
  <c r="BZ292" i="1"/>
  <c r="AL314" i="1"/>
  <c r="AL294" i="1" s="1"/>
  <c r="AV314" i="1"/>
  <c r="AV294" i="1" s="1"/>
  <c r="AG314" i="1"/>
  <c r="AG294" i="1" s="1"/>
  <c r="AQ314" i="1"/>
  <c r="AQ294" i="1" s="1"/>
  <c r="BZ310" i="1"/>
  <c r="BZ232" i="1" s="1"/>
  <c r="BU310" i="1"/>
  <c r="BU232" i="1" s="1"/>
  <c r="BP310" i="1"/>
  <c r="BP232" i="1" s="1"/>
  <c r="BK310" i="1"/>
  <c r="BK232" i="1" s="1"/>
  <c r="AK301" i="1" l="1"/>
  <c r="AO301" i="1"/>
  <c r="AU301" i="1"/>
  <c r="AS301" i="1"/>
  <c r="AH301" i="1"/>
  <c r="AT301" i="1"/>
  <c r="AM301" i="1"/>
  <c r="AI301" i="1"/>
  <c r="AJ301" i="1"/>
  <c r="AR301" i="1"/>
  <c r="AP301" i="1"/>
  <c r="AN301" i="1"/>
  <c r="AK1" i="7"/>
  <c r="AL2" i="7"/>
  <c r="D17" i="16"/>
  <c r="D18" i="14"/>
  <c r="AC18" i="14" s="1"/>
  <c r="CE299" i="1"/>
  <c r="AV301" i="1"/>
  <c r="AL301" i="1"/>
  <c r="AQ301" i="1"/>
  <c r="AL1" i="7" l="1"/>
  <c r="AM2" i="7"/>
  <c r="AD228" i="1"/>
  <c r="AE228" i="1"/>
  <c r="AF228" i="1"/>
  <c r="AG228" i="1"/>
  <c r="AD229" i="1"/>
  <c r="AE229" i="1"/>
  <c r="AF229" i="1"/>
  <c r="AG229" i="1"/>
  <c r="AC229" i="1"/>
  <c r="AC228" i="1"/>
  <c r="D2" i="3"/>
  <c r="S252" i="3"/>
  <c r="R252" i="3"/>
  <c r="Q252" i="3"/>
  <c r="P252" i="3"/>
  <c r="O252" i="3"/>
  <c r="N252" i="3"/>
  <c r="M252" i="3"/>
  <c r="L252" i="3"/>
  <c r="AM1" i="7" l="1"/>
  <c r="AN2" i="7"/>
  <c r="E2" i="3"/>
  <c r="D267" i="3"/>
  <c r="D254" i="3"/>
  <c r="AC231" i="1"/>
  <c r="AG231" i="1"/>
  <c r="CR32" i="7" s="1"/>
  <c r="AE231" i="1"/>
  <c r="AF231" i="1"/>
  <c r="AD231" i="1"/>
  <c r="AO2" i="7" l="1"/>
  <c r="AN1" i="7"/>
  <c r="F2" i="3"/>
  <c r="E254" i="3"/>
  <c r="E267" i="3"/>
  <c r="CA188" i="1"/>
  <c r="BZ185" i="1"/>
  <c r="BW188" i="1"/>
  <c r="BX188" i="1"/>
  <c r="BY188" i="1"/>
  <c r="BV188" i="1"/>
  <c r="CB188" i="1"/>
  <c r="CC189" i="1" s="1"/>
  <c r="CB186" i="1"/>
  <c r="CA186" i="1"/>
  <c r="BX186" i="1"/>
  <c r="BY186" i="1"/>
  <c r="BW186" i="1"/>
  <c r="BX181" i="1"/>
  <c r="BW181" i="1"/>
  <c r="BY181" i="1"/>
  <c r="CB181" i="1"/>
  <c r="BZ180" i="1"/>
  <c r="CE181" i="1" s="1"/>
  <c r="D4" i="1"/>
  <c r="E4" i="1"/>
  <c r="F4" i="1"/>
  <c r="G4" i="1"/>
  <c r="I4" i="1"/>
  <c r="J4" i="1"/>
  <c r="K4" i="1"/>
  <c r="L4" i="1"/>
  <c r="N4" i="1"/>
  <c r="O4" i="1"/>
  <c r="P4" i="1"/>
  <c r="Q4" i="1"/>
  <c r="S4" i="1"/>
  <c r="T4" i="1"/>
  <c r="U4" i="1"/>
  <c r="V4" i="1"/>
  <c r="X4" i="1"/>
  <c r="Y4" i="1"/>
  <c r="Z4" i="1"/>
  <c r="AA4" i="1"/>
  <c r="AC4" i="1"/>
  <c r="AD4" i="1"/>
  <c r="AE4" i="1"/>
  <c r="AF4" i="1"/>
  <c r="AH4" i="1"/>
  <c r="AI4" i="1"/>
  <c r="AJ4" i="1"/>
  <c r="AK4" i="1"/>
  <c r="AM4" i="1"/>
  <c r="AN4" i="1"/>
  <c r="AO4" i="1"/>
  <c r="AP4" i="1"/>
  <c r="AR4" i="1"/>
  <c r="AS4" i="1"/>
  <c r="AT4" i="1"/>
  <c r="AU4" i="1"/>
  <c r="AW4" i="1"/>
  <c r="AX4" i="1"/>
  <c r="AY4" i="1"/>
  <c r="AZ4" i="1"/>
  <c r="BB4" i="1"/>
  <c r="BC4" i="1"/>
  <c r="BD4" i="1"/>
  <c r="BE4" i="1"/>
  <c r="BG4" i="1"/>
  <c r="BH4" i="1"/>
  <c r="BI4" i="1"/>
  <c r="BJ4" i="1"/>
  <c r="BS4" i="1"/>
  <c r="BT4" i="1"/>
  <c r="C4" i="1"/>
  <c r="AP2" i="7" l="1"/>
  <c r="AO1" i="7"/>
  <c r="BZ186" i="1"/>
  <c r="CE186" i="1"/>
  <c r="CA181" i="1"/>
  <c r="AA257" i="3"/>
  <c r="G2" i="3"/>
  <c r="F254" i="3"/>
  <c r="F267" i="3"/>
  <c r="BX189" i="1"/>
  <c r="BW189" i="1"/>
  <c r="BY189" i="1"/>
  <c r="BZ188" i="1"/>
  <c r="CA189" i="1" s="1"/>
  <c r="CB189" i="1"/>
  <c r="AQ2" i="7" l="1"/>
  <c r="AP1" i="7"/>
  <c r="H2" i="3"/>
  <c r="G254" i="3"/>
  <c r="G267" i="3"/>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N24" i="7" s="1"/>
  <c r="N28" i="7" s="1"/>
  <c r="M11" i="7"/>
  <c r="M24" i="7" s="1"/>
  <c r="M28" i="7" s="1"/>
  <c r="L11" i="7"/>
  <c r="L24" i="7" s="1"/>
  <c r="L28" i="7" s="1"/>
  <c r="K11" i="7"/>
  <c r="K24" i="7" s="1"/>
  <c r="K28" i="7" s="1"/>
  <c r="J11" i="7"/>
  <c r="J24" i="7" s="1"/>
  <c r="J28" i="7" s="1"/>
  <c r="I11" i="7"/>
  <c r="I24" i="7" s="1"/>
  <c r="I28" i="7" s="1"/>
  <c r="H11" i="7"/>
  <c r="H24" i="7" s="1"/>
  <c r="H28" i="7" s="1"/>
  <c r="G11" i="7"/>
  <c r="G24" i="7" s="1"/>
  <c r="G28" i="7" s="1"/>
  <c r="BP37" i="7"/>
  <c r="BP39" i="7"/>
  <c r="BP49" i="7"/>
  <c r="V24" i="7" l="1"/>
  <c r="V28" i="7" s="1"/>
  <c r="AL24" i="7"/>
  <c r="AL28" i="7" s="1"/>
  <c r="AM24" i="7"/>
  <c r="AM28" i="7" s="1"/>
  <c r="Z24" i="7"/>
  <c r="Z28" i="7" s="1"/>
  <c r="AN24" i="7"/>
  <c r="AN28" i="7" s="1"/>
  <c r="S24" i="7"/>
  <c r="S28" i="7" s="1"/>
  <c r="T24" i="7"/>
  <c r="T28" i="7" s="1"/>
  <c r="U24" i="7"/>
  <c r="U28" i="7" s="1"/>
  <c r="Y24" i="7"/>
  <c r="Y28" i="7" s="1"/>
  <c r="AC24" i="7"/>
  <c r="AC28" i="7" s="1"/>
  <c r="AH24" i="7"/>
  <c r="AH28" i="7" s="1"/>
  <c r="AI24" i="7"/>
  <c r="AI28" i="7" s="1"/>
  <c r="W24" i="7"/>
  <c r="W28" i="7" s="1"/>
  <c r="AO24" i="7"/>
  <c r="AO28" i="7" s="1"/>
  <c r="AE24" i="7"/>
  <c r="AE28" i="7" s="1"/>
  <c r="AG24" i="7"/>
  <c r="AG28" i="7" s="1"/>
  <c r="AJ24" i="7"/>
  <c r="AJ28" i="7" s="1"/>
  <c r="AK24" i="7"/>
  <c r="AK28" i="7" s="1"/>
  <c r="X24" i="7"/>
  <c r="X28" i="7" s="1"/>
  <c r="AA24" i="7"/>
  <c r="AA28" i="7" s="1"/>
  <c r="AB24" i="7"/>
  <c r="AB28" i="7" s="1"/>
  <c r="O24" i="7"/>
  <c r="O28" i="7" s="1"/>
  <c r="P24" i="7"/>
  <c r="P28" i="7" s="1"/>
  <c r="AD24" i="7"/>
  <c r="AD28" i="7" s="1"/>
  <c r="Q24" i="7"/>
  <c r="Q28" i="7" s="1"/>
  <c r="R24" i="7"/>
  <c r="R28" i="7" s="1"/>
  <c r="AF24" i="7"/>
  <c r="AF28" i="7" s="1"/>
  <c r="AR2" i="7"/>
  <c r="AQ1" i="7"/>
  <c r="I2" i="3"/>
  <c r="H267" i="3"/>
  <c r="H254" i="3"/>
  <c r="BP62" i="7"/>
  <c r="CC80" i="1"/>
  <c r="CC87" i="1"/>
  <c r="CB161" i="1"/>
  <c r="CB253" i="1"/>
  <c r="F683" i="21" s="1"/>
  <c r="CG429" i="1"/>
  <c r="CB451" i="1"/>
  <c r="CG452" i="1" s="1"/>
  <c r="M418" i="2"/>
  <c r="L418" i="2"/>
  <c r="K418" i="2"/>
  <c r="J418" i="2"/>
  <c r="I418" i="2"/>
  <c r="H418" i="2"/>
  <c r="G418" i="2"/>
  <c r="F418" i="2"/>
  <c r="E418" i="2"/>
  <c r="D418" i="2"/>
  <c r="C418" i="2"/>
  <c r="M356" i="2"/>
  <c r="L356" i="2"/>
  <c r="K356" i="2"/>
  <c r="J356" i="2"/>
  <c r="I356" i="2"/>
  <c r="H356" i="2"/>
  <c r="G356" i="2"/>
  <c r="F356" i="2"/>
  <c r="E356" i="2"/>
  <c r="D356" i="2"/>
  <c r="C356" i="2"/>
  <c r="M341" i="2"/>
  <c r="L341" i="2"/>
  <c r="D12" i="1"/>
  <c r="E12" i="1"/>
  <c r="F12" i="1"/>
  <c r="G12" i="1"/>
  <c r="H12" i="1"/>
  <c r="I12" i="1"/>
  <c r="J12" i="1"/>
  <c r="K12" i="1"/>
  <c r="L12" i="1"/>
  <c r="M12" i="1"/>
  <c r="N12" i="1"/>
  <c r="O12" i="1"/>
  <c r="P12" i="1"/>
  <c r="Q12" i="1"/>
  <c r="R12" i="1"/>
  <c r="S12" i="1"/>
  <c r="T12" i="1"/>
  <c r="U12" i="1"/>
  <c r="V12" i="1"/>
  <c r="W12" i="1"/>
  <c r="X12" i="1"/>
  <c r="Y12" i="1"/>
  <c r="Z12" i="1"/>
  <c r="AA12" i="1"/>
  <c r="AB12" i="1"/>
  <c r="AC12" i="1"/>
  <c r="AD12" i="1"/>
  <c r="AE12" i="1"/>
  <c r="AF12" i="1"/>
  <c r="AG12" i="1"/>
  <c r="AH12" i="1"/>
  <c r="AI12" i="1"/>
  <c r="AJ12" i="1"/>
  <c r="AK12" i="1"/>
  <c r="AL12" i="1"/>
  <c r="AM12" i="1"/>
  <c r="AN12" i="1"/>
  <c r="AO12" i="1"/>
  <c r="AP12" i="1"/>
  <c r="AQ12" i="1"/>
  <c r="AR12" i="1"/>
  <c r="AS12" i="1"/>
  <c r="AT12" i="1"/>
  <c r="AV12" i="1"/>
  <c r="BA12" i="1"/>
  <c r="BA16" i="1" s="1"/>
  <c r="C12" i="1"/>
  <c r="AK10" i="18"/>
  <c r="AJ10" i="18"/>
  <c r="AI10" i="18"/>
  <c r="AE10" i="18"/>
  <c r="AD10" i="18"/>
  <c r="X10" i="18"/>
  <c r="W10" i="18"/>
  <c r="AX9" i="7"/>
  <c r="AW9" i="7"/>
  <c r="AU248" i="1"/>
  <c r="U249" i="1"/>
  <c r="V249" i="1"/>
  <c r="W249" i="1"/>
  <c r="X249" i="1"/>
  <c r="Y249" i="1"/>
  <c r="Z249" i="1"/>
  <c r="AA249" i="1"/>
  <c r="AB249" i="1"/>
  <c r="AC249" i="1"/>
  <c r="AD249" i="1"/>
  <c r="AE249" i="1"/>
  <c r="AF249" i="1"/>
  <c r="AG249" i="1"/>
  <c r="AH249" i="1"/>
  <c r="AI249" i="1"/>
  <c r="AJ249" i="1"/>
  <c r="AK249" i="1"/>
  <c r="AL249" i="1"/>
  <c r="AM249" i="1"/>
  <c r="AN249" i="1"/>
  <c r="AO249" i="1"/>
  <c r="AP249" i="1"/>
  <c r="AQ249" i="1"/>
  <c r="AR249" i="1"/>
  <c r="AS249" i="1"/>
  <c r="AT249" i="1"/>
  <c r="AV249" i="1"/>
  <c r="BA249" i="1"/>
  <c r="T249" i="1"/>
  <c r="S249" i="1"/>
  <c r="J411" i="1"/>
  <c r="K411" i="1"/>
  <c r="L411" i="1"/>
  <c r="M411" i="1"/>
  <c r="N411" i="1"/>
  <c r="O411" i="1"/>
  <c r="P411" i="1"/>
  <c r="Q411" i="1"/>
  <c r="R411" i="1"/>
  <c r="S411" i="1"/>
  <c r="T411" i="1"/>
  <c r="U411" i="1"/>
  <c r="V411" i="1"/>
  <c r="W411" i="1"/>
  <c r="X411" i="1"/>
  <c r="Y411" i="1"/>
  <c r="Z411" i="1"/>
  <c r="AA411" i="1"/>
  <c r="AB411" i="1"/>
  <c r="AC411" i="1"/>
  <c r="AD411" i="1"/>
  <c r="AE411" i="1"/>
  <c r="AF411" i="1"/>
  <c r="AG411" i="1"/>
  <c r="AH411" i="1"/>
  <c r="AI411" i="1"/>
  <c r="AJ411" i="1"/>
  <c r="AK411" i="1"/>
  <c r="AL411" i="1"/>
  <c r="AM411" i="1"/>
  <c r="AN411" i="1"/>
  <c r="AO411" i="1"/>
  <c r="AP411" i="1"/>
  <c r="AQ411" i="1"/>
  <c r="AR411" i="1"/>
  <c r="AS411" i="1"/>
  <c r="AT411" i="1"/>
  <c r="AV411" i="1"/>
  <c r="I411" i="1"/>
  <c r="E411" i="1"/>
  <c r="F411" i="1"/>
  <c r="G411" i="1"/>
  <c r="D411" i="1"/>
  <c r="H246" i="1"/>
  <c r="C246" i="1"/>
  <c r="BA253" i="1"/>
  <c r="AZ253" i="1"/>
  <c r="AY253" i="1"/>
  <c r="AX253" i="1"/>
  <c r="AW253" i="1"/>
  <c r="AU253" i="1"/>
  <c r="AT253" i="1"/>
  <c r="AS253" i="1"/>
  <c r="AR253" i="1"/>
  <c r="AV244" i="1"/>
  <c r="AT244" i="1"/>
  <c r="AS244" i="1"/>
  <c r="AR244" i="1"/>
  <c r="AV243" i="1"/>
  <c r="AT243" i="1"/>
  <c r="AS243" i="1"/>
  <c r="AR243" i="1"/>
  <c r="AV242" i="1"/>
  <c r="AT242" i="1"/>
  <c r="AS242" i="1"/>
  <c r="AR242" i="1"/>
  <c r="AV241" i="1"/>
  <c r="AT241" i="1"/>
  <c r="AS241" i="1"/>
  <c r="AR241" i="1"/>
  <c r="AV240" i="1"/>
  <c r="AT240" i="1"/>
  <c r="AS240" i="1"/>
  <c r="AR240" i="1"/>
  <c r="AQ253" i="1"/>
  <c r="AP253" i="1"/>
  <c r="AO253" i="1"/>
  <c r="AN253" i="1"/>
  <c r="AM253" i="1"/>
  <c r="AQ252" i="1"/>
  <c r="K357" i="2" s="1"/>
  <c r="AP252" i="1"/>
  <c r="AO252" i="1"/>
  <c r="AN252" i="1"/>
  <c r="AM252" i="1"/>
  <c r="AQ244" i="1"/>
  <c r="AP244" i="1"/>
  <c r="AO244" i="1"/>
  <c r="AN244" i="1"/>
  <c r="AM244" i="1"/>
  <c r="AQ243" i="1"/>
  <c r="AP243" i="1"/>
  <c r="AO243" i="1"/>
  <c r="AN243" i="1"/>
  <c r="AM243" i="1"/>
  <c r="AQ242" i="1"/>
  <c r="AP242" i="1"/>
  <c r="AO242" i="1"/>
  <c r="AN242" i="1"/>
  <c r="AM242" i="1"/>
  <c r="AQ241" i="1"/>
  <c r="AP241" i="1"/>
  <c r="AO241" i="1"/>
  <c r="AN241" i="1"/>
  <c r="AM241" i="1"/>
  <c r="AQ240" i="1"/>
  <c r="AP240" i="1"/>
  <c r="AO240" i="1"/>
  <c r="AN240" i="1"/>
  <c r="AM240" i="1"/>
  <c r="AL253" i="1"/>
  <c r="AK253" i="1"/>
  <c r="AJ253" i="1"/>
  <c r="AI253" i="1"/>
  <c r="AH253" i="1"/>
  <c r="AL252" i="1"/>
  <c r="J357" i="2" s="1"/>
  <c r="AK252" i="1"/>
  <c r="AJ252" i="1"/>
  <c r="AI252" i="1"/>
  <c r="AH252" i="1"/>
  <c r="AL244" i="1"/>
  <c r="AK244" i="1"/>
  <c r="AJ244" i="1"/>
  <c r="AI244" i="1"/>
  <c r="AH244" i="1"/>
  <c r="AL243" i="1"/>
  <c r="AK243" i="1"/>
  <c r="AJ243" i="1"/>
  <c r="AI243" i="1"/>
  <c r="AH243" i="1"/>
  <c r="AL242" i="1"/>
  <c r="AK242" i="1"/>
  <c r="AJ242" i="1"/>
  <c r="AI242" i="1"/>
  <c r="AH242" i="1"/>
  <c r="AL241" i="1"/>
  <c r="AK241" i="1"/>
  <c r="AJ241" i="1"/>
  <c r="AI241" i="1"/>
  <c r="AH241" i="1"/>
  <c r="AL240" i="1"/>
  <c r="AK240" i="1"/>
  <c r="AJ240" i="1"/>
  <c r="AI240" i="1"/>
  <c r="AH240" i="1"/>
  <c r="AG253" i="1"/>
  <c r="AF253" i="1"/>
  <c r="AE253" i="1"/>
  <c r="AD253" i="1"/>
  <c r="AC253" i="1"/>
  <c r="AG252" i="1"/>
  <c r="I357" i="2" s="1"/>
  <c r="AF252" i="1"/>
  <c r="AE252" i="1"/>
  <c r="AD252" i="1"/>
  <c r="AC252" i="1"/>
  <c r="AG244" i="1"/>
  <c r="AF244" i="1"/>
  <c r="AE244" i="1"/>
  <c r="AD244" i="1"/>
  <c r="AC244" i="1"/>
  <c r="AG243" i="1"/>
  <c r="AF243" i="1"/>
  <c r="AE243" i="1"/>
  <c r="AD243" i="1"/>
  <c r="AC243" i="1"/>
  <c r="AG242" i="1"/>
  <c r="AF242" i="1"/>
  <c r="AE242" i="1"/>
  <c r="AD242" i="1"/>
  <c r="AC242" i="1"/>
  <c r="AG241" i="1"/>
  <c r="AF241" i="1"/>
  <c r="AE241" i="1"/>
  <c r="AD241" i="1"/>
  <c r="AC241" i="1"/>
  <c r="AG240" i="1"/>
  <c r="AF240" i="1"/>
  <c r="AE240" i="1"/>
  <c r="AD240" i="1"/>
  <c r="AC240" i="1"/>
  <c r="AB253" i="1"/>
  <c r="AA253" i="1"/>
  <c r="Z253" i="1"/>
  <c r="Y253" i="1"/>
  <c r="X253" i="1"/>
  <c r="AB252" i="1"/>
  <c r="H357" i="2" s="1"/>
  <c r="AA252" i="1"/>
  <c r="Z252" i="1"/>
  <c r="Y252" i="1"/>
  <c r="X252" i="1"/>
  <c r="AB244" i="1"/>
  <c r="AA244" i="1"/>
  <c r="Z244" i="1"/>
  <c r="Y244" i="1"/>
  <c r="X244" i="1"/>
  <c r="AB243" i="1"/>
  <c r="AA243" i="1"/>
  <c r="Z243" i="1"/>
  <c r="Y243" i="1"/>
  <c r="X243" i="1"/>
  <c r="AB242" i="1"/>
  <c r="AA242" i="1"/>
  <c r="Z242" i="1"/>
  <c r="Y242" i="1"/>
  <c r="X242" i="1"/>
  <c r="AB241" i="1"/>
  <c r="AA241" i="1"/>
  <c r="Z241" i="1"/>
  <c r="Y241" i="1"/>
  <c r="X241" i="1"/>
  <c r="AB240" i="1"/>
  <c r="AA240" i="1"/>
  <c r="Z240" i="1"/>
  <c r="Y240" i="1"/>
  <c r="X240" i="1"/>
  <c r="W253" i="1"/>
  <c r="V253" i="1"/>
  <c r="U253" i="1"/>
  <c r="T253" i="1"/>
  <c r="S253" i="1"/>
  <c r="W252" i="1"/>
  <c r="G357" i="2" s="1"/>
  <c r="V252" i="1"/>
  <c r="U252" i="1"/>
  <c r="T252" i="1"/>
  <c r="S252" i="1"/>
  <c r="W244" i="1"/>
  <c r="V244" i="1"/>
  <c r="U244" i="1"/>
  <c r="T244" i="1"/>
  <c r="S244" i="1"/>
  <c r="W243" i="1"/>
  <c r="V243" i="1"/>
  <c r="U243" i="1"/>
  <c r="T243" i="1"/>
  <c r="S243" i="1"/>
  <c r="W242" i="1"/>
  <c r="V242" i="1"/>
  <c r="U242" i="1"/>
  <c r="T242" i="1"/>
  <c r="S242" i="1"/>
  <c r="W241" i="1"/>
  <c r="V241" i="1"/>
  <c r="U241" i="1"/>
  <c r="T241" i="1"/>
  <c r="S241" i="1"/>
  <c r="W240" i="1"/>
  <c r="V240" i="1"/>
  <c r="U240" i="1"/>
  <c r="T240" i="1"/>
  <c r="S240" i="1"/>
  <c r="R253" i="1"/>
  <c r="Q253" i="1"/>
  <c r="P253" i="1"/>
  <c r="O253" i="1"/>
  <c r="N253" i="1"/>
  <c r="R252" i="1"/>
  <c r="F357" i="2" s="1"/>
  <c r="Q252" i="1"/>
  <c r="P252" i="1"/>
  <c r="O252" i="1"/>
  <c r="N252" i="1"/>
  <c r="R244" i="1"/>
  <c r="Q244" i="1"/>
  <c r="P244" i="1"/>
  <c r="O244" i="1"/>
  <c r="N244" i="1"/>
  <c r="R243" i="1"/>
  <c r="Q243" i="1"/>
  <c r="P243" i="1"/>
  <c r="O243" i="1"/>
  <c r="N243" i="1"/>
  <c r="R242" i="1"/>
  <c r="Q242" i="1"/>
  <c r="P242" i="1"/>
  <c r="O242" i="1"/>
  <c r="N242" i="1"/>
  <c r="R241" i="1"/>
  <c r="Q241" i="1"/>
  <c r="P241" i="1"/>
  <c r="O241" i="1"/>
  <c r="N241" i="1"/>
  <c r="R240" i="1"/>
  <c r="Q240" i="1"/>
  <c r="P240" i="1"/>
  <c r="O240" i="1"/>
  <c r="N240" i="1"/>
  <c r="M253" i="1"/>
  <c r="M252" i="1"/>
  <c r="E357" i="2" s="1"/>
  <c r="M244" i="1"/>
  <c r="L244" i="1"/>
  <c r="K244" i="1"/>
  <c r="J244" i="1"/>
  <c r="I244" i="1"/>
  <c r="M243" i="1"/>
  <c r="L243" i="1"/>
  <c r="K243" i="1"/>
  <c r="J243" i="1"/>
  <c r="I243" i="1"/>
  <c r="M242" i="1"/>
  <c r="L242" i="1"/>
  <c r="K242" i="1"/>
  <c r="J242" i="1"/>
  <c r="I242" i="1"/>
  <c r="M241" i="1"/>
  <c r="L241" i="1"/>
  <c r="K241" i="1"/>
  <c r="J241" i="1"/>
  <c r="I241" i="1"/>
  <c r="M240" i="1"/>
  <c r="L240" i="1"/>
  <c r="K240" i="1"/>
  <c r="J240" i="1"/>
  <c r="I240" i="1"/>
  <c r="BF253" i="1"/>
  <c r="BE253" i="1"/>
  <c r="BD253" i="1"/>
  <c r="BC253" i="1"/>
  <c r="BB253" i="1"/>
  <c r="BJ253" i="1"/>
  <c r="BI253" i="1"/>
  <c r="BH253" i="1"/>
  <c r="BG253" i="1"/>
  <c r="BO253" i="1"/>
  <c r="BN253" i="1"/>
  <c r="BM253" i="1"/>
  <c r="BL253" i="1"/>
  <c r="BT253" i="1"/>
  <c r="BS253" i="1"/>
  <c r="BR253" i="1"/>
  <c r="BQ253" i="1"/>
  <c r="H206" i="2" l="1"/>
  <c r="H205" i="2"/>
  <c r="I206" i="2"/>
  <c r="I205" i="2"/>
  <c r="J206" i="2"/>
  <c r="J205" i="2"/>
  <c r="C206" i="2"/>
  <c r="C205" i="2"/>
  <c r="D206" i="2"/>
  <c r="D205" i="2"/>
  <c r="E206" i="2"/>
  <c r="E205" i="2"/>
  <c r="F206" i="2"/>
  <c r="F205" i="2"/>
  <c r="G206" i="2"/>
  <c r="G205" i="2"/>
  <c r="K378" i="2"/>
  <c r="T72" i="3" s="1"/>
  <c r="M41" i="27"/>
  <c r="M378" i="2"/>
  <c r="V72" i="3" s="1"/>
  <c r="O41" i="27"/>
  <c r="D378" i="2"/>
  <c r="M72" i="3" s="1"/>
  <c r="F41" i="27"/>
  <c r="L378" i="2"/>
  <c r="U72" i="3" s="1"/>
  <c r="N41" i="27"/>
  <c r="E378" i="2"/>
  <c r="N72" i="3" s="1"/>
  <c r="G41" i="27"/>
  <c r="F378" i="2"/>
  <c r="O72" i="3" s="1"/>
  <c r="H41" i="27"/>
  <c r="G378" i="2"/>
  <c r="P72" i="3" s="1"/>
  <c r="I41" i="27"/>
  <c r="H378" i="2"/>
  <c r="Q72" i="3" s="1"/>
  <c r="J41" i="27"/>
  <c r="I378" i="2"/>
  <c r="R72" i="3" s="1"/>
  <c r="K41" i="27"/>
  <c r="J378" i="2"/>
  <c r="S72" i="3" s="1"/>
  <c r="L41" i="27"/>
  <c r="C378" i="2"/>
  <c r="L72" i="3" s="1"/>
  <c r="E41" i="27"/>
  <c r="AX22" i="7"/>
  <c r="AW22" i="7"/>
  <c r="F681" i="21"/>
  <c r="F615" i="21" s="1"/>
  <c r="F618" i="21" s="1"/>
  <c r="F553" i="21" s="1"/>
  <c r="K573" i="21" s="1"/>
  <c r="AL10" i="18"/>
  <c r="BC9" i="7"/>
  <c r="Y10" i="18"/>
  <c r="BG9" i="7"/>
  <c r="AC10" i="18"/>
  <c r="BJ9" i="7"/>
  <c r="AF10" i="18"/>
  <c r="AY9" i="7"/>
  <c r="U10" i="18"/>
  <c r="BK9" i="7"/>
  <c r="AG10" i="18"/>
  <c r="BL9" i="7"/>
  <c r="AH10" i="18"/>
  <c r="BO9" i="7"/>
  <c r="BO22" i="7" s="1"/>
  <c r="E681" i="21"/>
  <c r="E615" i="21" s="1"/>
  <c r="CG137" i="1"/>
  <c r="AL17" i="18"/>
  <c r="BP9" i="7"/>
  <c r="BP22" i="7" s="1"/>
  <c r="CG249" i="1"/>
  <c r="BP40" i="7"/>
  <c r="CG159" i="1"/>
  <c r="CB323" i="1"/>
  <c r="CB318" i="1"/>
  <c r="AU12" i="1"/>
  <c r="AP9" i="7"/>
  <c r="BB12" i="1"/>
  <c r="BB16" i="1" s="1"/>
  <c r="AU9" i="7"/>
  <c r="BR12" i="1"/>
  <c r="BR16" i="1" s="1"/>
  <c r="BH9" i="7"/>
  <c r="BS12" i="1"/>
  <c r="BS16" i="1" s="1"/>
  <c r="BI9" i="7"/>
  <c r="BI12" i="1"/>
  <c r="BI16" i="1" s="1"/>
  <c r="BA9" i="7"/>
  <c r="BJ12" i="1"/>
  <c r="BJ16" i="1" s="1"/>
  <c r="BB9" i="7"/>
  <c r="CC249" i="1"/>
  <c r="BM9" i="7"/>
  <c r="BM22" i="7" s="1"/>
  <c r="CD249" i="1"/>
  <c r="BN9" i="7"/>
  <c r="BN22" i="7" s="1"/>
  <c r="AS2" i="7"/>
  <c r="AR1" i="7"/>
  <c r="CE248" i="1"/>
  <c r="CJ249" i="1" s="1"/>
  <c r="CF249" i="1"/>
  <c r="CP8" i="9"/>
  <c r="BP38" i="7"/>
  <c r="CP6" i="9"/>
  <c r="CC90" i="1"/>
  <c r="CC324" i="1" s="1"/>
  <c r="CC321" i="1" s="1"/>
  <c r="CH322" i="1" s="1"/>
  <c r="CC88" i="1"/>
  <c r="CC81" i="1"/>
  <c r="CC83" i="1"/>
  <c r="CC319" i="1" s="1"/>
  <c r="CC316" i="1" s="1"/>
  <c r="CH317" i="1" s="1"/>
  <c r="J2" i="3"/>
  <c r="I254" i="3"/>
  <c r="I267" i="3"/>
  <c r="BV12" i="1"/>
  <c r="BV16" i="1" s="1"/>
  <c r="BV249" i="1"/>
  <c r="BW12" i="1"/>
  <c r="BW16" i="1" s="1"/>
  <c r="BW249" i="1"/>
  <c r="BY12" i="1"/>
  <c r="BY249" i="1"/>
  <c r="BX12" i="1"/>
  <c r="BX249" i="1"/>
  <c r="CB75" i="1"/>
  <c r="BP42" i="7"/>
  <c r="CB74" i="1"/>
  <c r="BP43" i="7"/>
  <c r="BP50" i="7"/>
  <c r="BP51" i="7"/>
  <c r="CB249" i="1"/>
  <c r="CB12" i="1"/>
  <c r="BI249" i="1"/>
  <c r="BJ249" i="1"/>
  <c r="BG249" i="1"/>
  <c r="BG12" i="1"/>
  <c r="BG16" i="1" s="1"/>
  <c r="BQ12" i="1"/>
  <c r="BQ16" i="1" s="1"/>
  <c r="CA12" i="1"/>
  <c r="BE12" i="1"/>
  <c r="BE16" i="1" s="1"/>
  <c r="BQ249" i="1"/>
  <c r="BZ248" i="1"/>
  <c r="K10" i="18" s="1"/>
  <c r="BT12" i="1"/>
  <c r="BT16" i="1" s="1"/>
  <c r="BL12" i="1"/>
  <c r="BL16" i="1" s="1"/>
  <c r="BD12" i="1"/>
  <c r="BD16" i="1" s="1"/>
  <c r="R254" i="1"/>
  <c r="R256" i="1" s="1"/>
  <c r="AF254" i="1"/>
  <c r="AF256" i="1" s="1"/>
  <c r="BU248" i="1"/>
  <c r="BL249" i="1"/>
  <c r="AU249" i="1"/>
  <c r="AH254" i="1"/>
  <c r="AH256" i="1" s="1"/>
  <c r="AG254" i="1"/>
  <c r="AG256" i="1" s="1"/>
  <c r="AJ254" i="1"/>
  <c r="AJ256" i="1" s="1"/>
  <c r="Y254" i="1"/>
  <c r="Y256" i="1" s="1"/>
  <c r="AK254" i="1"/>
  <c r="N254" i="1"/>
  <c r="AL254" i="1"/>
  <c r="AL256" i="1" s="1"/>
  <c r="O254" i="1"/>
  <c r="AA254" i="1"/>
  <c r="AA256" i="1" s="1"/>
  <c r="AC254" i="1"/>
  <c r="AC256" i="1" s="1"/>
  <c r="AN254" i="1"/>
  <c r="AN256" i="1" s="1"/>
  <c r="AI254" i="1"/>
  <c r="AI256" i="1" s="1"/>
  <c r="S254" i="1"/>
  <c r="S256" i="1" s="1"/>
  <c r="AE254" i="1"/>
  <c r="AE256" i="1" s="1"/>
  <c r="AP254" i="1"/>
  <c r="AP256" i="1" s="1"/>
  <c r="M254" i="1"/>
  <c r="M256" i="1" s="1"/>
  <c r="AM254" i="1"/>
  <c r="Q246" i="1"/>
  <c r="P254" i="1"/>
  <c r="X246" i="1"/>
  <c r="AD254" i="1"/>
  <c r="AD256" i="1" s="1"/>
  <c r="T254" i="1"/>
  <c r="T256" i="1" s="1"/>
  <c r="U254" i="1"/>
  <c r="U256" i="1" s="1"/>
  <c r="U246" i="1"/>
  <c r="V254" i="1"/>
  <c r="V256" i="1" s="1"/>
  <c r="X254" i="1"/>
  <c r="X256" i="1" s="1"/>
  <c r="AO254" i="1"/>
  <c r="AO256" i="1" s="1"/>
  <c r="S246" i="1"/>
  <c r="W254" i="1"/>
  <c r="W256" i="1" s="1"/>
  <c r="AB254" i="1"/>
  <c r="AB256" i="1" s="1"/>
  <c r="Q254" i="1"/>
  <c r="Z254" i="1"/>
  <c r="Z256" i="1" s="1"/>
  <c r="AQ254" i="1"/>
  <c r="AQ256" i="1" s="1"/>
  <c r="R246" i="1"/>
  <c r="T246" i="1"/>
  <c r="W246" i="1"/>
  <c r="M246" i="1"/>
  <c r="V246" i="1"/>
  <c r="N246" i="1"/>
  <c r="Y246" i="1"/>
  <c r="AB246" i="1"/>
  <c r="O246" i="1"/>
  <c r="Z246" i="1"/>
  <c r="P246" i="1"/>
  <c r="AA246" i="1"/>
  <c r="AR219" i="1"/>
  <c r="AR223" i="1" s="1"/>
  <c r="AS223" i="1"/>
  <c r="AT223" i="1"/>
  <c r="AV223" i="1"/>
  <c r="AQ29" i="1"/>
  <c r="AL29" i="1"/>
  <c r="AG29" i="1"/>
  <c r="AB29" i="1"/>
  <c r="W29" i="1"/>
  <c r="R29" i="1"/>
  <c r="M29" i="1"/>
  <c r="H29" i="1"/>
  <c r="BB22" i="7" l="1"/>
  <c r="BJ22" i="7"/>
  <c r="BG22" i="7"/>
  <c r="AY22" i="7"/>
  <c r="BI22" i="7"/>
  <c r="BH22" i="7"/>
  <c r="BC22" i="7"/>
  <c r="AU22" i="7"/>
  <c r="AP22" i="7"/>
  <c r="BA22" i="7"/>
  <c r="BL22" i="7"/>
  <c r="BK22" i="7"/>
  <c r="BP33" i="7"/>
  <c r="CZ9" i="7"/>
  <c r="J10" i="18"/>
  <c r="I681" i="21"/>
  <c r="I291" i="21" s="1"/>
  <c r="I295" i="21" s="1"/>
  <c r="I297" i="21" s="1"/>
  <c r="L10" i="18"/>
  <c r="E618" i="21"/>
  <c r="E553" i="21" s="1"/>
  <c r="J573" i="21" s="1"/>
  <c r="E27" i="16"/>
  <c r="P27" i="16" s="1"/>
  <c r="Q28" i="16" s="1"/>
  <c r="S52" i="2"/>
  <c r="S53" i="2"/>
  <c r="AK255" i="1"/>
  <c r="AK256" i="1"/>
  <c r="N255" i="1"/>
  <c r="N256" i="1"/>
  <c r="P255" i="1"/>
  <c r="P256" i="1"/>
  <c r="AM255" i="1"/>
  <c r="AM256" i="1"/>
  <c r="Q255" i="1"/>
  <c r="Q256" i="1"/>
  <c r="O255" i="1"/>
  <c r="O256" i="1"/>
  <c r="AO255" i="1"/>
  <c r="U255" i="1"/>
  <c r="BP57" i="7"/>
  <c r="CB16" i="1"/>
  <c r="CG13" i="1"/>
  <c r="AP255" i="1"/>
  <c r="AB255" i="1"/>
  <c r="AI255" i="1"/>
  <c r="X255" i="1"/>
  <c r="W255" i="1"/>
  <c r="AD255" i="1"/>
  <c r="AG255" i="1"/>
  <c r="Z255" i="1"/>
  <c r="AL255" i="1"/>
  <c r="S255" i="1"/>
  <c r="AF255" i="1"/>
  <c r="Y255" i="1"/>
  <c r="R255" i="1"/>
  <c r="AC255" i="1"/>
  <c r="T255" i="1"/>
  <c r="AE255" i="1"/>
  <c r="AN255" i="1"/>
  <c r="AJ255" i="1"/>
  <c r="AQ255" i="1"/>
  <c r="V255" i="1"/>
  <c r="AA255" i="1"/>
  <c r="AH255" i="1"/>
  <c r="AS1" i="7"/>
  <c r="AT2" i="7"/>
  <c r="CE12" i="1"/>
  <c r="S418" i="2"/>
  <c r="S356" i="2"/>
  <c r="CA16" i="1"/>
  <c r="CF13" i="1"/>
  <c r="CD13" i="1"/>
  <c r="BY16" i="1"/>
  <c r="CC13" i="1"/>
  <c r="BX16" i="1"/>
  <c r="CE249" i="1"/>
  <c r="D27" i="16"/>
  <c r="D28" i="14"/>
  <c r="AC28" i="14" s="1"/>
  <c r="DA9" i="7"/>
  <c r="CC304" i="1"/>
  <c r="CC228" i="1"/>
  <c r="CC305" i="1"/>
  <c r="CC229" i="1"/>
  <c r="K2" i="3"/>
  <c r="J254" i="3"/>
  <c r="J267" i="3"/>
  <c r="CB76" i="1"/>
  <c r="CB77" i="1" s="1"/>
  <c r="CB13" i="1"/>
  <c r="BZ12" i="1"/>
  <c r="R418" i="2"/>
  <c r="R356" i="2"/>
  <c r="BU12" i="1"/>
  <c r="BU16" i="1" s="1"/>
  <c r="Q418" i="2"/>
  <c r="Q356" i="2"/>
  <c r="S206" i="2" l="1"/>
  <c r="S205" i="2"/>
  <c r="Q378" i="2"/>
  <c r="Z72" i="3" s="1"/>
  <c r="S41" i="27"/>
  <c r="S378" i="2"/>
  <c r="AB72" i="3" s="1"/>
  <c r="U41" i="27"/>
  <c r="U13" i="27" s="1"/>
  <c r="R378" i="2"/>
  <c r="AA72" i="3" s="1"/>
  <c r="T41" i="27"/>
  <c r="I615" i="21"/>
  <c r="I618" i="21" s="1"/>
  <c r="I553" i="21" s="1"/>
  <c r="I595" i="21" s="1"/>
  <c r="I346" i="21"/>
  <c r="CE16" i="1"/>
  <c r="CE17" i="1" s="1"/>
  <c r="X27" i="16"/>
  <c r="S420" i="2"/>
  <c r="AT1" i="7"/>
  <c r="AU2" i="7"/>
  <c r="CE13" i="1"/>
  <c r="BZ16" i="1"/>
  <c r="O27" i="16"/>
  <c r="E28" i="16"/>
  <c r="L2" i="3"/>
  <c r="K254" i="3"/>
  <c r="K267" i="3"/>
  <c r="U5" i="27" l="1"/>
  <c r="I501" i="21"/>
  <c r="I513" i="21"/>
  <c r="I415" i="21"/>
  <c r="I524" i="21"/>
  <c r="I525" i="21"/>
  <c r="AV2" i="7"/>
  <c r="AU1" i="7"/>
  <c r="W27" i="16"/>
  <c r="P28" i="16"/>
  <c r="X28" i="16" s="1"/>
  <c r="M2" i="3"/>
  <c r="L267" i="3"/>
  <c r="L254" i="3"/>
  <c r="AW2" i="7" l="1"/>
  <c r="AV1" i="7"/>
  <c r="N2" i="3"/>
  <c r="M267" i="3"/>
  <c r="M254" i="3"/>
  <c r="BZ264" i="1"/>
  <c r="CA253" i="1"/>
  <c r="E683" i="21" s="1"/>
  <c r="BV253" i="1"/>
  <c r="BW253" i="1"/>
  <c r="BX253" i="1"/>
  <c r="BY253" i="1"/>
  <c r="AR323" i="1"/>
  <c r="AM323" i="1"/>
  <c r="AH323" i="1"/>
  <c r="AR318" i="1"/>
  <c r="AM318" i="1"/>
  <c r="AH318" i="1"/>
  <c r="U17" i="18"/>
  <c r="W17" i="18"/>
  <c r="X17" i="18"/>
  <c r="Y17" i="18"/>
  <c r="Z17" i="18"/>
  <c r="AA17" i="18"/>
  <c r="AB17" i="18"/>
  <c r="AC17" i="18"/>
  <c r="AD17" i="18"/>
  <c r="AE17" i="18"/>
  <c r="AF17" i="18"/>
  <c r="AG17" i="18"/>
  <c r="BV323" i="1"/>
  <c r="BT323" i="1"/>
  <c r="BS323" i="1"/>
  <c r="BR323" i="1"/>
  <c r="BQ323" i="1"/>
  <c r="BO323" i="1"/>
  <c r="BN323" i="1"/>
  <c r="BM323" i="1"/>
  <c r="BL323" i="1"/>
  <c r="BJ323" i="1"/>
  <c r="BI323" i="1"/>
  <c r="BH323" i="1"/>
  <c r="BG323" i="1"/>
  <c r="BE323" i="1"/>
  <c r="BD323" i="1"/>
  <c r="BC323" i="1"/>
  <c r="BB323" i="1"/>
  <c r="AW323" i="1"/>
  <c r="BV318" i="1"/>
  <c r="BT318" i="1"/>
  <c r="BS318" i="1"/>
  <c r="BR318" i="1"/>
  <c r="BQ318" i="1"/>
  <c r="BO318" i="1"/>
  <c r="BN318" i="1"/>
  <c r="BM318" i="1"/>
  <c r="BL318" i="1"/>
  <c r="BJ318" i="1"/>
  <c r="BI318" i="1"/>
  <c r="BH318" i="1"/>
  <c r="BG318" i="1"/>
  <c r="BE318" i="1"/>
  <c r="BD318" i="1"/>
  <c r="BC318" i="1"/>
  <c r="BB318" i="1"/>
  <c r="AW318" i="1"/>
  <c r="CF137" i="1" l="1"/>
  <c r="AK17" i="18"/>
  <c r="CD137" i="1"/>
  <c r="AJ17" i="18"/>
  <c r="CC137" i="1"/>
  <c r="AI17" i="18"/>
  <c r="CB137" i="1"/>
  <c r="AH17" i="18"/>
  <c r="AX2" i="7"/>
  <c r="AW1" i="7"/>
  <c r="CA323" i="1"/>
  <c r="CA318" i="1"/>
  <c r="BY318" i="1"/>
  <c r="CO6" i="9"/>
  <c r="CE136" i="1"/>
  <c r="BY323" i="1"/>
  <c r="BX323" i="1"/>
  <c r="BX318" i="1"/>
  <c r="O2" i="3"/>
  <c r="N254" i="3"/>
  <c r="N267" i="3"/>
  <c r="BW323" i="1"/>
  <c r="BW318" i="1"/>
  <c r="BZ136" i="1"/>
  <c r="D394" i="21" s="1"/>
  <c r="AM135" i="1"/>
  <c r="BP136" i="1"/>
  <c r="I17" i="18" s="1"/>
  <c r="BF136" i="1"/>
  <c r="G17" i="18" s="1"/>
  <c r="BF134" i="1"/>
  <c r="BF323" i="1" s="1"/>
  <c r="BP134" i="1"/>
  <c r="BP323" i="1" s="1"/>
  <c r="AR135" i="1"/>
  <c r="BK134" i="1"/>
  <c r="BK323" i="1" s="1"/>
  <c r="BF132" i="1"/>
  <c r="BF318" i="1" s="1"/>
  <c r="BP132" i="1"/>
  <c r="BP318" i="1" s="1"/>
  <c r="BU136" i="1"/>
  <c r="J17" i="18" s="1"/>
  <c r="BU134" i="1"/>
  <c r="BU323" i="1" s="1"/>
  <c r="BU132" i="1"/>
  <c r="BU318" i="1" s="1"/>
  <c r="BK132" i="1"/>
  <c r="BK318" i="1" s="1"/>
  <c r="CJ137" i="1" l="1"/>
  <c r="I394" i="21"/>
  <c r="D61" i="16"/>
  <c r="K17" i="18"/>
  <c r="E61" i="16"/>
  <c r="P61" i="16" s="1"/>
  <c r="L17" i="18"/>
  <c r="AY2" i="7"/>
  <c r="AX1" i="7"/>
  <c r="CE137" i="1"/>
  <c r="P2" i="3"/>
  <c r="O267" i="3"/>
  <c r="O254" i="3"/>
  <c r="BK133" i="1"/>
  <c r="BU135" i="1"/>
  <c r="BK135" i="1"/>
  <c r="BP135" i="1"/>
  <c r="BU133" i="1"/>
  <c r="BP133" i="1"/>
  <c r="E62" i="16" l="1"/>
  <c r="O61" i="16"/>
  <c r="W61" i="16" s="1"/>
  <c r="AZ2" i="7"/>
  <c r="AY1" i="7"/>
  <c r="X61" i="16"/>
  <c r="Q2" i="3"/>
  <c r="P254" i="3"/>
  <c r="P267" i="3"/>
  <c r="AG80" i="1"/>
  <c r="P62" i="16" l="1"/>
  <c r="BA2" i="7"/>
  <c r="AZ1" i="7"/>
  <c r="R2" i="3"/>
  <c r="Q254" i="3"/>
  <c r="Q267" i="3"/>
  <c r="BZ218" i="1"/>
  <c r="BZ217" i="1"/>
  <c r="BZ216" i="1"/>
  <c r="D198" i="1"/>
  <c r="E198" i="1"/>
  <c r="F198" i="1"/>
  <c r="G198" i="1"/>
  <c r="I198" i="1"/>
  <c r="J198" i="1"/>
  <c r="K198" i="1"/>
  <c r="L198" i="1"/>
  <c r="N198" i="1"/>
  <c r="O198" i="1"/>
  <c r="P198" i="1"/>
  <c r="Q198" i="1"/>
  <c r="S198" i="1"/>
  <c r="T198" i="1"/>
  <c r="U198" i="1"/>
  <c r="V198" i="1"/>
  <c r="X198" i="1"/>
  <c r="Y198" i="1"/>
  <c r="Z198" i="1"/>
  <c r="AA198" i="1"/>
  <c r="AC198" i="1"/>
  <c r="AD198" i="1"/>
  <c r="AE198" i="1"/>
  <c r="AF198" i="1"/>
  <c r="AH198" i="1"/>
  <c r="AI198" i="1"/>
  <c r="AJ198" i="1"/>
  <c r="AK198" i="1"/>
  <c r="AM198" i="1"/>
  <c r="AN198" i="1"/>
  <c r="AO198" i="1"/>
  <c r="AP198" i="1"/>
  <c r="AR198" i="1"/>
  <c r="AS198" i="1"/>
  <c r="AT198" i="1"/>
  <c r="AU198" i="1"/>
  <c r="AW198" i="1"/>
  <c r="AX198" i="1"/>
  <c r="AY198" i="1"/>
  <c r="AZ198" i="1"/>
  <c r="BB198" i="1"/>
  <c r="BC198" i="1"/>
  <c r="BD198" i="1"/>
  <c r="BE198" i="1"/>
  <c r="BG198" i="1"/>
  <c r="BH198" i="1"/>
  <c r="BI198" i="1"/>
  <c r="BJ198" i="1"/>
  <c r="BS198" i="1"/>
  <c r="BT198" i="1"/>
  <c r="C198" i="1"/>
  <c r="BA1" i="7" l="1"/>
  <c r="BB2" i="7"/>
  <c r="S2" i="3"/>
  <c r="R254" i="3"/>
  <c r="R267" i="3"/>
  <c r="C4" i="2"/>
  <c r="AH133" i="3"/>
  <c r="AI133" i="3"/>
  <c r="BO49" i="7"/>
  <c r="BO39" i="7"/>
  <c r="BO37" i="7"/>
  <c r="BB1" i="7" l="1"/>
  <c r="BC2" i="7"/>
  <c r="T2" i="3"/>
  <c r="S267" i="3"/>
  <c r="S254" i="3"/>
  <c r="CF429" i="1"/>
  <c r="CF409" i="1"/>
  <c r="CF397" i="1"/>
  <c r="CF392" i="1"/>
  <c r="CE222" i="1"/>
  <c r="CB80" i="1"/>
  <c r="AK12" i="18"/>
  <c r="CA451" i="1"/>
  <c r="CF452" i="1" s="1"/>
  <c r="CA31" i="1" l="1"/>
  <c r="E694" i="21"/>
  <c r="E646" i="21" s="1"/>
  <c r="E649" i="21" s="1"/>
  <c r="E567" i="21" s="1"/>
  <c r="CF159" i="1"/>
  <c r="CA161" i="1"/>
  <c r="BD2" i="7"/>
  <c r="BC1" i="7"/>
  <c r="CF402" i="1"/>
  <c r="CF405" i="1"/>
  <c r="CA241" i="1"/>
  <c r="E675" i="21" s="1"/>
  <c r="CA244" i="1"/>
  <c r="E678" i="21" s="1"/>
  <c r="CA242" i="1"/>
  <c r="E676" i="21" s="1"/>
  <c r="CA243" i="1"/>
  <c r="E677" i="21" s="1"/>
  <c r="BO40" i="7"/>
  <c r="CE158" i="1"/>
  <c r="CO8" i="9"/>
  <c r="CE428" i="1"/>
  <c r="CA252" i="1"/>
  <c r="CO9" i="9"/>
  <c r="BO11" i="7"/>
  <c r="CO13" i="9"/>
  <c r="U2" i="3"/>
  <c r="T267" i="3"/>
  <c r="T254" i="3"/>
  <c r="CB83" i="1"/>
  <c r="CB319" i="1" s="1"/>
  <c r="CB316" i="1" s="1"/>
  <c r="CG317" i="1" s="1"/>
  <c r="CB81" i="1"/>
  <c r="CB87" i="1"/>
  <c r="CA411" i="1"/>
  <c r="CA393" i="1"/>
  <c r="CA240" i="1"/>
  <c r="E674" i="21" s="1"/>
  <c r="BO43" i="7"/>
  <c r="CA74" i="1"/>
  <c r="BO42" i="7"/>
  <c r="CA75" i="1"/>
  <c r="BO38" i="7"/>
  <c r="BO62" i="7"/>
  <c r="BO50" i="7"/>
  <c r="BO51" i="7"/>
  <c r="CA35" i="1"/>
  <c r="BO12" i="7" s="1"/>
  <c r="CA439" i="1"/>
  <c r="CS1" i="9"/>
  <c r="CS343" i="1"/>
  <c r="CT343" i="1"/>
  <c r="CS345" i="1"/>
  <c r="CT345" i="1"/>
  <c r="CS346" i="1"/>
  <c r="CT346" i="1"/>
  <c r="CS362" i="1"/>
  <c r="CT362" i="1"/>
  <c r="CS451" i="1"/>
  <c r="CT451" i="1"/>
  <c r="CS453" i="1"/>
  <c r="CT453" i="1"/>
  <c r="E1" i="4"/>
  <c r="F1" i="4" s="1"/>
  <c r="G1" i="4" s="1"/>
  <c r="H1" i="4" s="1"/>
  <c r="I1" i="4" s="1"/>
  <c r="J1" i="4" s="1"/>
  <c r="K1" i="4" s="1"/>
  <c r="Z336" i="2"/>
  <c r="AA336" i="2"/>
  <c r="Z371" i="2"/>
  <c r="AA371" i="2"/>
  <c r="Z404" i="2"/>
  <c r="AA404" i="2"/>
  <c r="Z409" i="2"/>
  <c r="AA409" i="2"/>
  <c r="CS51" i="7"/>
  <c r="CS50" i="7"/>
  <c r="CS49" i="7"/>
  <c r="CS46" i="7"/>
  <c r="CS45" i="7"/>
  <c r="CS44" i="7"/>
  <c r="CS41" i="7"/>
  <c r="CS40" i="7"/>
  <c r="CS39" i="7"/>
  <c r="CS38" i="7"/>
  <c r="CS33" i="7"/>
  <c r="CR51" i="7"/>
  <c r="CR50" i="7"/>
  <c r="CR49" i="7"/>
  <c r="CR46" i="7"/>
  <c r="CR45" i="7"/>
  <c r="CR44" i="7"/>
  <c r="CR41" i="7"/>
  <c r="CR40" i="7"/>
  <c r="CR39" i="7"/>
  <c r="CR38" i="7"/>
  <c r="CR33" i="7"/>
  <c r="CQ57" i="7"/>
  <c r="CQ51" i="7"/>
  <c r="CQ50" i="7"/>
  <c r="CQ49" i="7"/>
  <c r="CQ46" i="7"/>
  <c r="CQ45" i="7"/>
  <c r="CQ44" i="7"/>
  <c r="CQ41" i="7"/>
  <c r="CQ40" i="7"/>
  <c r="CQ39" i="7"/>
  <c r="CQ38" i="7"/>
  <c r="CQ33" i="7"/>
  <c r="CP57" i="7"/>
  <c r="CP51" i="7"/>
  <c r="CP50" i="7"/>
  <c r="CP49" i="7"/>
  <c r="CP46" i="7"/>
  <c r="CP45" i="7"/>
  <c r="CP44" i="7"/>
  <c r="CP41" i="7"/>
  <c r="CP40" i="7"/>
  <c r="CP39" i="7"/>
  <c r="CP38" i="7"/>
  <c r="CP33" i="7"/>
  <c r="CO57" i="7"/>
  <c r="CO51" i="7"/>
  <c r="CO50" i="7"/>
  <c r="CO49" i="7"/>
  <c r="CO46" i="7"/>
  <c r="CO45" i="7"/>
  <c r="CO44" i="7"/>
  <c r="CO41" i="7"/>
  <c r="CO40" i="7"/>
  <c r="CO39" i="7"/>
  <c r="CO38" i="7"/>
  <c r="CO33" i="7"/>
  <c r="CN57" i="7"/>
  <c r="CN55" i="7"/>
  <c r="CN54" i="7"/>
  <c r="CN53" i="7"/>
  <c r="CN52" i="7"/>
  <c r="CN51" i="7"/>
  <c r="CN50" i="7"/>
  <c r="CN49" i="7"/>
  <c r="CN46" i="7"/>
  <c r="CN45" i="7"/>
  <c r="CN44" i="7"/>
  <c r="CN41" i="7"/>
  <c r="CN40" i="7"/>
  <c r="CN39" i="7"/>
  <c r="CN38" i="7"/>
  <c r="CN33" i="7"/>
  <c r="CM57" i="7"/>
  <c r="CM55" i="7"/>
  <c r="CM54" i="7"/>
  <c r="CM53" i="7"/>
  <c r="CM52" i="7"/>
  <c r="CM51" i="7"/>
  <c r="CM50" i="7"/>
  <c r="CM49" i="7"/>
  <c r="CM46" i="7"/>
  <c r="CM45" i="7"/>
  <c r="CM44" i="7"/>
  <c r="CM41" i="7"/>
  <c r="CM40" i="7"/>
  <c r="CM39" i="7"/>
  <c r="CM38" i="7"/>
  <c r="CM33" i="7"/>
  <c r="CL57" i="7"/>
  <c r="CL55" i="7"/>
  <c r="CL54" i="7"/>
  <c r="CL53" i="7"/>
  <c r="CL52" i="7"/>
  <c r="CL51" i="7"/>
  <c r="CL50" i="7"/>
  <c r="CL49" i="7"/>
  <c r="CL46" i="7"/>
  <c r="CL45" i="7"/>
  <c r="CL44" i="7"/>
  <c r="CL41" i="7"/>
  <c r="CL40" i="7"/>
  <c r="CL39" i="7"/>
  <c r="CL38" i="7"/>
  <c r="CL33" i="7"/>
  <c r="CM2" i="7"/>
  <c r="CN2" i="7" s="1"/>
  <c r="CO2" i="7" s="1"/>
  <c r="CP2" i="7" s="1"/>
  <c r="CQ2" i="7" s="1"/>
  <c r="CR2" i="7" s="1"/>
  <c r="CS2" i="7" s="1"/>
  <c r="CM1" i="7"/>
  <c r="CN1" i="7" s="1"/>
  <c r="CO1" i="7" s="1"/>
  <c r="CP1" i="7" s="1"/>
  <c r="CQ1" i="7" s="1"/>
  <c r="CR1" i="7" s="1"/>
  <c r="CS1" i="7" s="1"/>
  <c r="V361" i="2"/>
  <c r="W361" i="2"/>
  <c r="L1" i="4" l="1"/>
  <c r="M1" i="4" s="1"/>
  <c r="N1" i="4" s="1"/>
  <c r="O1" i="4" s="1"/>
  <c r="P1" i="4" s="1"/>
  <c r="Q1" i="4" s="1"/>
  <c r="CF412" i="1"/>
  <c r="BO24" i="7"/>
  <c r="CX1" i="9"/>
  <c r="DA1" i="9" s="1"/>
  <c r="DB1" i="9" s="1"/>
  <c r="DC1" i="9" s="1"/>
  <c r="DD1" i="9" s="1"/>
  <c r="DE1" i="9" s="1"/>
  <c r="DF1" i="9" s="1"/>
  <c r="CE161" i="1"/>
  <c r="CJ159" i="1"/>
  <c r="CA254" i="1"/>
  <c r="CA256" i="1" s="1"/>
  <c r="E682" i="21"/>
  <c r="E621" i="21" s="1"/>
  <c r="E623" i="21" s="1"/>
  <c r="E554" i="21" s="1"/>
  <c r="E555" i="21" s="1"/>
  <c r="BE2" i="7"/>
  <c r="BD1" i="7"/>
  <c r="CO14" i="9"/>
  <c r="V2" i="3"/>
  <c r="U254" i="3"/>
  <c r="U267" i="3"/>
  <c r="CB90" i="1"/>
  <c r="CB324" i="1" s="1"/>
  <c r="CB321" i="1" s="1"/>
  <c r="CG322" i="1" s="1"/>
  <c r="CB88" i="1"/>
  <c r="CB228" i="1"/>
  <c r="CB304" i="1"/>
  <c r="BO57" i="7"/>
  <c r="CB163" i="1"/>
  <c r="CA76" i="1"/>
  <c r="AA410" i="2"/>
  <c r="CT454" i="1"/>
  <c r="CT452" i="1"/>
  <c r="R308" i="2"/>
  <c r="R198" i="2"/>
  <c r="R197" i="2"/>
  <c r="R36" i="2"/>
  <c r="R323" i="2"/>
  <c r="Q294" i="2"/>
  <c r="R294" i="2"/>
  <c r="R243" i="2"/>
  <c r="R253" i="2"/>
  <c r="R244" i="2"/>
  <c r="S246" i="2" s="1"/>
  <c r="S258" i="2" s="1"/>
  <c r="I596" i="21" s="1"/>
  <c r="R32" i="2"/>
  <c r="R202" i="2" s="1"/>
  <c r="R27" i="2"/>
  <c r="R190" i="2"/>
  <c r="S191" i="2" s="1"/>
  <c r="R158" i="2"/>
  <c r="AC54" i="14"/>
  <c r="AC26" i="14"/>
  <c r="AC5" i="14"/>
  <c r="E5" i="14"/>
  <c r="BY281" i="1"/>
  <c r="BX281" i="1"/>
  <c r="BX283" i="1" s="1"/>
  <c r="BW281" i="1"/>
  <c r="BW283" i="1" s="1"/>
  <c r="BV281" i="1"/>
  <c r="BV283" i="1" s="1"/>
  <c r="BU281" i="1"/>
  <c r="BT281" i="1"/>
  <c r="BT283" i="1" s="1"/>
  <c r="BS281" i="1"/>
  <c r="BS283" i="1" s="1"/>
  <c r="BR281" i="1"/>
  <c r="BR283" i="1" s="1"/>
  <c r="BQ281" i="1"/>
  <c r="BQ283" i="1" s="1"/>
  <c r="BP281" i="1"/>
  <c r="BK281" i="1"/>
  <c r="BO281" i="1"/>
  <c r="BN281" i="1"/>
  <c r="BM281" i="1"/>
  <c r="BL281" i="1"/>
  <c r="BL283" i="1" s="1"/>
  <c r="Q86" i="4" l="1"/>
  <c r="R1" i="4"/>
  <c r="R86" i="4" s="1"/>
  <c r="BZ281" i="1"/>
  <c r="BY283" i="1"/>
  <c r="F5" i="14"/>
  <c r="S5" i="14" s="1"/>
  <c r="T5" i="14" s="1"/>
  <c r="U5" i="14" s="1"/>
  <c r="V5" i="14" s="1"/>
  <c r="W5" i="14" s="1"/>
  <c r="X5" i="14" s="1"/>
  <c r="Y5" i="14" s="1"/>
  <c r="R5" i="14"/>
  <c r="D700" i="21"/>
  <c r="CF255" i="1"/>
  <c r="R200" i="2"/>
  <c r="R205" i="2" s="1"/>
  <c r="R168" i="2"/>
  <c r="R201" i="2"/>
  <c r="K52" i="18"/>
  <c r="R169" i="2"/>
  <c r="K36" i="18"/>
  <c r="K45" i="18"/>
  <c r="K51" i="18"/>
  <c r="BF2" i="7"/>
  <c r="BE1" i="7"/>
  <c r="CB229" i="1"/>
  <c r="S347" i="2"/>
  <c r="S62" i="2"/>
  <c r="S379" i="2" s="1"/>
  <c r="AB73" i="3" s="1"/>
  <c r="W2" i="3"/>
  <c r="V267" i="3"/>
  <c r="V254" i="3"/>
  <c r="CB305" i="1"/>
  <c r="CA77" i="1"/>
  <c r="AD5" i="14"/>
  <c r="BN37" i="7"/>
  <c r="BN39" i="7"/>
  <c r="BN49" i="7"/>
  <c r="BZ453" i="1"/>
  <c r="CE454" i="1" s="1"/>
  <c r="BZ451" i="1"/>
  <c r="CE452" i="1" s="1"/>
  <c r="BZ438" i="1"/>
  <c r="BZ253" i="1" s="1"/>
  <c r="BZ362" i="1"/>
  <c r="BZ346" i="1"/>
  <c r="BZ345" i="1"/>
  <c r="BZ343" i="1"/>
  <c r="BZ49" i="1"/>
  <c r="BZ47" i="1"/>
  <c r="BY2" i="1"/>
  <c r="BY51" i="1"/>
  <c r="BY52" i="1"/>
  <c r="BY161" i="1"/>
  <c r="CD429" i="1"/>
  <c r="BY451" i="1"/>
  <c r="CD452" i="1" s="1"/>
  <c r="AC43" i="7"/>
  <c r="AA43" i="7"/>
  <c r="G5" i="14" l="1"/>
  <c r="AE5" i="14"/>
  <c r="AF5" i="14" s="1"/>
  <c r="AG5" i="14" s="1"/>
  <c r="AH5" i="14" s="1"/>
  <c r="AI5" i="14" s="1"/>
  <c r="R203" i="2"/>
  <c r="R170" i="2"/>
  <c r="S171" i="2" s="1"/>
  <c r="S179" i="2" s="1"/>
  <c r="L62" i="18"/>
  <c r="BG2" i="7"/>
  <c r="BF1" i="7"/>
  <c r="BN40" i="7"/>
  <c r="CD159" i="1"/>
  <c r="BN50" i="7"/>
  <c r="BY4" i="1"/>
  <c r="CD2" i="1"/>
  <c r="CI2" i="1" s="1"/>
  <c r="CN2" i="1" s="1"/>
  <c r="CN4" i="1" s="1"/>
  <c r="X2" i="3"/>
  <c r="W267" i="3"/>
  <c r="W254" i="3"/>
  <c r="AS43" i="7"/>
  <c r="AZ80" i="1"/>
  <c r="AT43" i="7"/>
  <c r="BA82" i="1"/>
  <c r="AM43" i="7"/>
  <c r="AS80" i="1"/>
  <c r="AR74" i="1"/>
  <c r="AK43" i="7"/>
  <c r="AP80" i="1"/>
  <c r="AO74" i="1"/>
  <c r="AD43" i="7"/>
  <c r="AG82" i="1"/>
  <c r="AH80" i="1" s="1"/>
  <c r="AF43" i="7"/>
  <c r="AJ80" i="1"/>
  <c r="AI74" i="1"/>
  <c r="AO43" i="7"/>
  <c r="AT74" i="1"/>
  <c r="AU80" i="1"/>
  <c r="AL43" i="7"/>
  <c r="AP74" i="1"/>
  <c r="AQ82" i="1"/>
  <c r="AE43" i="7"/>
  <c r="AH74" i="1"/>
  <c r="AI80" i="1"/>
  <c r="AG43" i="7"/>
  <c r="AK80" i="1"/>
  <c r="AJ74" i="1"/>
  <c r="AH43" i="7"/>
  <c r="AL82" i="1"/>
  <c r="AK74" i="1"/>
  <c r="AP43" i="7"/>
  <c r="AU74" i="1"/>
  <c r="AV82" i="1"/>
  <c r="BN42" i="7"/>
  <c r="BY75" i="1"/>
  <c r="BZ89" i="1"/>
  <c r="CE87" i="1" s="1"/>
  <c r="BN43" i="7"/>
  <c r="BZ82" i="1"/>
  <c r="CE80" i="1" s="1"/>
  <c r="BY74" i="1"/>
  <c r="AI43" i="7"/>
  <c r="AM74" i="1"/>
  <c r="AN80" i="1"/>
  <c r="AQ43" i="7"/>
  <c r="AX80" i="1"/>
  <c r="AN43" i="7"/>
  <c r="AT80" i="1"/>
  <c r="AS74" i="1"/>
  <c r="AJ43" i="7"/>
  <c r="AN74" i="1"/>
  <c r="AO80" i="1"/>
  <c r="AR43" i="7"/>
  <c r="AY80" i="1"/>
  <c r="BY287" i="1"/>
  <c r="BY198" i="1"/>
  <c r="BN38" i="7"/>
  <c r="CM6" i="9"/>
  <c r="CM8" i="9"/>
  <c r="H5" i="14"/>
  <c r="BN33" i="7"/>
  <c r="BN51" i="7"/>
  <c r="BY155" i="1"/>
  <c r="E2" i="4"/>
  <c r="F2" i="4" s="1"/>
  <c r="G2" i="4" s="1"/>
  <c r="H2" i="4" s="1"/>
  <c r="I2" i="4" s="1"/>
  <c r="J2" i="4" s="1"/>
  <c r="K2" i="4" s="1"/>
  <c r="R211" i="2"/>
  <c r="R212" i="2" s="1"/>
  <c r="R217" i="2"/>
  <c r="Q32" i="2"/>
  <c r="Q202" i="2" s="1"/>
  <c r="P32" i="2"/>
  <c r="P202" i="2" s="1"/>
  <c r="O32" i="2"/>
  <c r="O202" i="2" s="1"/>
  <c r="N32" i="2"/>
  <c r="N202" i="2" s="1"/>
  <c r="Q217" i="2"/>
  <c r="P217" i="2"/>
  <c r="O217" i="2"/>
  <c r="Q27" i="2"/>
  <c r="P27" i="2"/>
  <c r="O27" i="2"/>
  <c r="N27" i="2"/>
  <c r="P211" i="2"/>
  <c r="P212" i="2" s="1"/>
  <c r="Q211" i="2"/>
  <c r="Q212" i="2" s="1"/>
  <c r="O211" i="2"/>
  <c r="O212" i="2" s="1"/>
  <c r="L2" i="4" l="1"/>
  <c r="M2" i="4" s="1"/>
  <c r="N2" i="4" s="1"/>
  <c r="O2" i="4" s="1"/>
  <c r="P2" i="4" s="1"/>
  <c r="Q2" i="4" s="1"/>
  <c r="R2" i="4" s="1"/>
  <c r="AA7" i="3"/>
  <c r="R206" i="2"/>
  <c r="CI4" i="1"/>
  <c r="CI287" i="1"/>
  <c r="CI198" i="1"/>
  <c r="N168" i="2"/>
  <c r="N201" i="2"/>
  <c r="O168" i="2"/>
  <c r="O201" i="2"/>
  <c r="P168" i="2"/>
  <c r="P201" i="2"/>
  <c r="Q168" i="2"/>
  <c r="Q201" i="2"/>
  <c r="G52" i="18"/>
  <c r="N169" i="2"/>
  <c r="H52" i="18"/>
  <c r="O169" i="2"/>
  <c r="I52" i="18"/>
  <c r="P169" i="2"/>
  <c r="J52" i="18"/>
  <c r="Q169" i="2"/>
  <c r="Q218" i="2"/>
  <c r="R218" i="2"/>
  <c r="I36" i="18"/>
  <c r="I45" i="18"/>
  <c r="I51" i="18"/>
  <c r="H51" i="18"/>
  <c r="H36" i="18"/>
  <c r="H45" i="18"/>
  <c r="J36" i="18"/>
  <c r="J45" i="18"/>
  <c r="J51" i="18"/>
  <c r="G51" i="18"/>
  <c r="G36" i="18"/>
  <c r="G62" i="18" s="1"/>
  <c r="G45" i="18"/>
  <c r="BH2" i="7"/>
  <c r="BG1" i="7"/>
  <c r="CE83" i="1"/>
  <c r="CE319" i="1" s="1"/>
  <c r="CE81" i="1"/>
  <c r="CE90" i="1"/>
  <c r="CE324" i="1" s="1"/>
  <c r="CE88" i="1"/>
  <c r="CD4" i="1"/>
  <c r="CD198" i="1"/>
  <c r="CD287" i="1"/>
  <c r="BN57" i="7"/>
  <c r="Y2" i="3"/>
  <c r="X254" i="3"/>
  <c r="X267" i="3"/>
  <c r="AT81" i="1"/>
  <c r="AT83" i="1"/>
  <c r="AT319" i="1" s="1"/>
  <c r="AI81" i="1"/>
  <c r="AI83" i="1"/>
  <c r="AI319" i="1" s="1"/>
  <c r="AO81" i="1"/>
  <c r="AO83" i="1"/>
  <c r="AO319" i="1" s="1"/>
  <c r="AX81" i="1"/>
  <c r="AX83" i="1"/>
  <c r="AX319" i="1" s="1"/>
  <c r="AH81" i="1"/>
  <c r="AH83" i="1"/>
  <c r="AH319" i="1" s="1"/>
  <c r="AH316" i="1" s="1"/>
  <c r="AY81" i="1"/>
  <c r="AY83" i="1"/>
  <c r="AY319" i="1" s="1"/>
  <c r="AJ81" i="1"/>
  <c r="AJ83" i="1"/>
  <c r="AJ319" i="1" s="1"/>
  <c r="AN81" i="1"/>
  <c r="AN83" i="1"/>
  <c r="AN319" i="1" s="1"/>
  <c r="AK81" i="1"/>
  <c r="AK83" i="1"/>
  <c r="AK319" i="1" s="1"/>
  <c r="AU81" i="1"/>
  <c r="AU83" i="1"/>
  <c r="AU319" i="1" s="1"/>
  <c r="AZ81" i="1"/>
  <c r="AZ83" i="1"/>
  <c r="AZ319" i="1" s="1"/>
  <c r="AS81" i="1"/>
  <c r="AS83" i="1"/>
  <c r="AS319" i="1" s="1"/>
  <c r="AP81" i="1"/>
  <c r="AP83" i="1"/>
  <c r="AP319" i="1" s="1"/>
  <c r="BY76" i="1"/>
  <c r="BY77" i="1" s="1"/>
  <c r="BZ74" i="1"/>
  <c r="BB80" i="1"/>
  <c r="BF80" i="1"/>
  <c r="BA74" i="1"/>
  <c r="AW80" i="1"/>
  <c r="AV74" i="1"/>
  <c r="BA80" i="1"/>
  <c r="BA83" i="1" s="1"/>
  <c r="BA319" i="1" s="1"/>
  <c r="BZ75" i="1"/>
  <c r="AM80" i="1"/>
  <c r="AL74" i="1"/>
  <c r="AQ80" i="1"/>
  <c r="AR80" i="1"/>
  <c r="AV80" i="1"/>
  <c r="AV83" i="1" s="1"/>
  <c r="AV319" i="1" s="1"/>
  <c r="AQ74" i="1"/>
  <c r="CA80" i="1"/>
  <c r="CA83" i="1" s="1"/>
  <c r="CA319" i="1" s="1"/>
  <c r="CA316" i="1" s="1"/>
  <c r="CF317" i="1" s="1"/>
  <c r="I5" i="14"/>
  <c r="AI207" i="2"/>
  <c r="CI417" i="1" l="1"/>
  <c r="CI73" i="1"/>
  <c r="CI101" i="1"/>
  <c r="CI458" i="1"/>
  <c r="CI93" i="1"/>
  <c r="CI39" i="1"/>
  <c r="CI46" i="1"/>
  <c r="CI79" i="1"/>
  <c r="CI131" i="1"/>
  <c r="CI113" i="1"/>
  <c r="CI157" i="1"/>
  <c r="CI123" i="1"/>
  <c r="CI86" i="1"/>
  <c r="CI178" i="1"/>
  <c r="CI378" i="1"/>
  <c r="CI446" i="1"/>
  <c r="O170" i="2"/>
  <c r="N170" i="2"/>
  <c r="P170" i="2"/>
  <c r="Q170" i="2"/>
  <c r="R171" i="2" s="1"/>
  <c r="R179" i="2" s="1"/>
  <c r="H62" i="18"/>
  <c r="J62" i="18"/>
  <c r="K62" i="18"/>
  <c r="I62" i="18"/>
  <c r="BI2" i="7"/>
  <c r="BH1" i="7"/>
  <c r="CE316" i="1"/>
  <c r="CD79" i="1"/>
  <c r="CD378" i="1"/>
  <c r="CD446" i="1"/>
  <c r="CD458" i="1"/>
  <c r="CD178" i="1"/>
  <c r="CD113" i="1"/>
  <c r="CD417" i="1"/>
  <c r="CD46" i="1"/>
  <c r="CD123" i="1"/>
  <c r="CD39" i="1"/>
  <c r="CD93" i="1"/>
  <c r="CD157" i="1"/>
  <c r="CD86" i="1"/>
  <c r="CD101" i="1"/>
  <c r="CD131" i="1"/>
  <c r="CD73" i="1"/>
  <c r="Z2" i="3"/>
  <c r="Y267" i="3"/>
  <c r="Y254" i="3"/>
  <c r="AH228" i="1"/>
  <c r="AH304" i="1"/>
  <c r="BZ76" i="1"/>
  <c r="CA304" i="1"/>
  <c r="CA228" i="1"/>
  <c r="AM81" i="1"/>
  <c r="AM83" i="1"/>
  <c r="AM319" i="1" s="1"/>
  <c r="AM316" i="1" s="1"/>
  <c r="AM317" i="1" s="1"/>
  <c r="AR81" i="1"/>
  <c r="AR83" i="1"/>
  <c r="AR319" i="1" s="1"/>
  <c r="AR316" i="1" s="1"/>
  <c r="AQ81" i="1"/>
  <c r="AQ83" i="1"/>
  <c r="AQ319" i="1" s="1"/>
  <c r="AW81" i="1"/>
  <c r="AW83" i="1"/>
  <c r="AW319" i="1" s="1"/>
  <c r="AW316" i="1" s="1"/>
  <c r="BA81" i="1"/>
  <c r="BZ222" i="1"/>
  <c r="AV81" i="1"/>
  <c r="CA81" i="1"/>
  <c r="J5" i="14"/>
  <c r="K5" i="14" s="1"/>
  <c r="L5" i="14" s="1"/>
  <c r="T211" i="2"/>
  <c r="K73" i="2"/>
  <c r="K100" i="2" s="1"/>
  <c r="L75" i="2"/>
  <c r="L381" i="2" s="1"/>
  <c r="U75" i="3" s="1"/>
  <c r="CE132" i="1" l="1"/>
  <c r="CE318" i="1" s="1"/>
  <c r="CJ317" i="1"/>
  <c r="P171" i="2"/>
  <c r="O171" i="2"/>
  <c r="Q171" i="2"/>
  <c r="Q179" i="2" s="1"/>
  <c r="BI1" i="7"/>
  <c r="BJ2" i="7"/>
  <c r="CE228" i="1"/>
  <c r="E10" i="14" s="1"/>
  <c r="AD10" i="14" s="1"/>
  <c r="CE304" i="1"/>
  <c r="AW317" i="1"/>
  <c r="AR317" i="1"/>
  <c r="BZ77" i="1"/>
  <c r="AA2" i="3"/>
  <c r="Z254" i="3"/>
  <c r="Z267" i="3"/>
  <c r="AM228" i="1"/>
  <c r="AM304" i="1"/>
  <c r="AW228" i="1"/>
  <c r="AW304" i="1"/>
  <c r="AR228" i="1"/>
  <c r="AR304" i="1"/>
  <c r="K341" i="2"/>
  <c r="J91" i="4"/>
  <c r="K86" i="4"/>
  <c r="L86" i="4"/>
  <c r="M86" i="4"/>
  <c r="N86" i="4"/>
  <c r="O86" i="4"/>
  <c r="P86" i="4"/>
  <c r="J86" i="4"/>
  <c r="Q312" i="2"/>
  <c r="Q313" i="2" s="1"/>
  <c r="P312" i="2"/>
  <c r="P313" i="2" s="1"/>
  <c r="O312" i="2"/>
  <c r="O313" i="2" s="1"/>
  <c r="N312" i="2"/>
  <c r="N313" i="2" s="1"/>
  <c r="M312" i="2"/>
  <c r="M313" i="2" s="1"/>
  <c r="L312" i="2"/>
  <c r="L313" i="2" s="1"/>
  <c r="K312" i="2"/>
  <c r="K313" i="2" s="1"/>
  <c r="J312" i="2"/>
  <c r="J313" i="2" s="1"/>
  <c r="I312" i="2"/>
  <c r="I313" i="2" s="1"/>
  <c r="H312" i="2"/>
  <c r="H313" i="2" s="1"/>
  <c r="G312" i="2"/>
  <c r="G313" i="2" s="1"/>
  <c r="F312" i="2"/>
  <c r="F313" i="2" s="1"/>
  <c r="E312" i="2"/>
  <c r="E313" i="2" s="1"/>
  <c r="D312" i="2"/>
  <c r="D313" i="2" s="1"/>
  <c r="R312" i="2"/>
  <c r="R313" i="2" s="1"/>
  <c r="N37" i="2"/>
  <c r="M37" i="2"/>
  <c r="L37" i="2"/>
  <c r="K37" i="2"/>
  <c r="J37" i="2"/>
  <c r="I37" i="2"/>
  <c r="H37" i="2"/>
  <c r="G37" i="2"/>
  <c r="F37" i="2"/>
  <c r="E37" i="2"/>
  <c r="D37" i="2"/>
  <c r="C37" i="2"/>
  <c r="O37" i="2"/>
  <c r="P37" i="2"/>
  <c r="Q37" i="2"/>
  <c r="BJ281" i="1"/>
  <c r="BJ283" i="1" s="1"/>
  <c r="BI281" i="1"/>
  <c r="BI283" i="1" s="1"/>
  <c r="BH281" i="1"/>
  <c r="BH283" i="1" s="1"/>
  <c r="BG281" i="1"/>
  <c r="BG283" i="1" s="1"/>
  <c r="BF281" i="1"/>
  <c r="BE281" i="1"/>
  <c r="BE283" i="1" s="1"/>
  <c r="BD281" i="1"/>
  <c r="BD283" i="1" s="1"/>
  <c r="BC281" i="1"/>
  <c r="BC283" i="1" s="1"/>
  <c r="BB281" i="1"/>
  <c r="BB283" i="1" s="1"/>
  <c r="BA281" i="1"/>
  <c r="AZ281" i="1"/>
  <c r="AZ283" i="1" s="1"/>
  <c r="AY281" i="1"/>
  <c r="AY283" i="1" s="1"/>
  <c r="AX281" i="1"/>
  <c r="AX283" i="1" s="1"/>
  <c r="AW281" i="1"/>
  <c r="AW283" i="1" s="1"/>
  <c r="AV281" i="1"/>
  <c r="AV283" i="1" s="1"/>
  <c r="AU281" i="1"/>
  <c r="AU283" i="1" s="1"/>
  <c r="AT281" i="1"/>
  <c r="AT283" i="1" s="1"/>
  <c r="AQ281" i="1"/>
  <c r="AQ283" i="1" s="1"/>
  <c r="Z4" i="3"/>
  <c r="Y4" i="3"/>
  <c r="X4" i="3"/>
  <c r="W4" i="3"/>
  <c r="V4" i="3"/>
  <c r="U4" i="3"/>
  <c r="T4" i="3"/>
  <c r="S4" i="3"/>
  <c r="R4" i="3"/>
  <c r="Q4" i="3"/>
  <c r="P4" i="3"/>
  <c r="O4" i="3"/>
  <c r="N4" i="3"/>
  <c r="M4" i="3"/>
  <c r="L4" i="3"/>
  <c r="I62" i="4"/>
  <c r="H62" i="4"/>
  <c r="G62" i="4"/>
  <c r="F62" i="4"/>
  <c r="E62" i="4"/>
  <c r="D62" i="4"/>
  <c r="Q308" i="2"/>
  <c r="Q309" i="2" s="1"/>
  <c r="P308" i="2"/>
  <c r="P309" i="2" s="1"/>
  <c r="O308" i="2"/>
  <c r="O309" i="2" s="1"/>
  <c r="N308" i="2"/>
  <c r="N309" i="2" s="1"/>
  <c r="M308" i="2"/>
  <c r="M309" i="2" s="1"/>
  <c r="L308" i="2"/>
  <c r="L309" i="2" s="1"/>
  <c r="K308" i="2"/>
  <c r="K309" i="2" s="1"/>
  <c r="J308" i="2"/>
  <c r="J309" i="2" s="1"/>
  <c r="I308" i="2"/>
  <c r="I309" i="2" s="1"/>
  <c r="H308" i="2"/>
  <c r="H309" i="2" s="1"/>
  <c r="G308" i="2"/>
  <c r="G309" i="2" s="1"/>
  <c r="F308" i="2"/>
  <c r="F309" i="2" s="1"/>
  <c r="E308" i="2"/>
  <c r="E309" i="2" s="1"/>
  <c r="D308" i="2"/>
  <c r="D309" i="2" s="1"/>
  <c r="F4" i="12"/>
  <c r="R6" i="9"/>
  <c r="S6" i="9"/>
  <c r="T6" i="9"/>
  <c r="U6" i="9"/>
  <c r="V6" i="9"/>
  <c r="W6" i="9"/>
  <c r="X6" i="9"/>
  <c r="Y6" i="9"/>
  <c r="Z6" i="9"/>
  <c r="AA6" i="9"/>
  <c r="AB6" i="9"/>
  <c r="AC6" i="9"/>
  <c r="AD6" i="9"/>
  <c r="AE6" i="9"/>
  <c r="AF6" i="9"/>
  <c r="AG6" i="9"/>
  <c r="AH6" i="9"/>
  <c r="AI6" i="9"/>
  <c r="AJ6" i="9"/>
  <c r="AK6" i="9"/>
  <c r="AL6" i="9"/>
  <c r="AM6" i="9"/>
  <c r="AN6" i="9"/>
  <c r="AO6" i="9"/>
  <c r="AP6" i="9"/>
  <c r="AQ6" i="9"/>
  <c r="AR6" i="9"/>
  <c r="AS6" i="9"/>
  <c r="AT6" i="9"/>
  <c r="AU6" i="9"/>
  <c r="AV6" i="9"/>
  <c r="AW6" i="9"/>
  <c r="AX6" i="9"/>
  <c r="AY6" i="9"/>
  <c r="AZ6" i="9"/>
  <c r="BA6" i="9"/>
  <c r="BB6" i="9"/>
  <c r="BC6" i="9"/>
  <c r="BE6" i="9"/>
  <c r="BF6" i="9"/>
  <c r="BG6" i="9"/>
  <c r="BH6" i="9"/>
  <c r="BJ6" i="9"/>
  <c r="Q6" i="9"/>
  <c r="CB209" i="1"/>
  <c r="BY209" i="1"/>
  <c r="BY159" i="1" l="1"/>
  <c r="BT161" i="1"/>
  <c r="BJ1" i="7"/>
  <c r="BK2" i="7"/>
  <c r="E9" i="16"/>
  <c r="AB2" i="3"/>
  <c r="AA267" i="3"/>
  <c r="AA254" i="3"/>
  <c r="CA209" i="1"/>
  <c r="BZ208" i="1"/>
  <c r="CJ11" i="9"/>
  <c r="BK1" i="7" l="1"/>
  <c r="BL2" i="7"/>
  <c r="AC2" i="3"/>
  <c r="AB267" i="3"/>
  <c r="AB254" i="3"/>
  <c r="BJ57" i="7"/>
  <c r="BY162" i="1"/>
  <c r="BM37" i="7"/>
  <c r="BM39" i="7"/>
  <c r="BM49" i="7"/>
  <c r="BL1" i="7" l="1"/>
  <c r="BM2" i="7"/>
  <c r="AD2" i="3"/>
  <c r="AC267" i="3"/>
  <c r="AC254" i="3"/>
  <c r="T312" i="2"/>
  <c r="T313" i="2" s="1"/>
  <c r="BM62" i="7"/>
  <c r="BN2" i="7" l="1"/>
  <c r="BM1" i="7"/>
  <c r="AE2" i="3"/>
  <c r="AD254" i="3"/>
  <c r="AD267" i="3"/>
  <c r="V314" i="2"/>
  <c r="W18" i="27" s="1"/>
  <c r="W19" i="27" s="1"/>
  <c r="BX2" i="1"/>
  <c r="BX51" i="1"/>
  <c r="BX52" i="1"/>
  <c r="BX74" i="1"/>
  <c r="BX161" i="1"/>
  <c r="CC429" i="1"/>
  <c r="BX451" i="1"/>
  <c r="CC452" i="1" s="1"/>
  <c r="W21" i="27" l="1"/>
  <c r="CO281" i="1"/>
  <c r="B36" i="4"/>
  <c r="BO2" i="7"/>
  <c r="BN1" i="7"/>
  <c r="BX4" i="1"/>
  <c r="CC2" i="1"/>
  <c r="CH2" i="1" s="1"/>
  <c r="CM2" i="1" s="1"/>
  <c r="BM40" i="7"/>
  <c r="CC159" i="1"/>
  <c r="AF2" i="3"/>
  <c r="AE254" i="3"/>
  <c r="AE267" i="3"/>
  <c r="CL8" i="9"/>
  <c r="BX75" i="1"/>
  <c r="BX76" i="1" s="1"/>
  <c r="BX77" i="1" s="1"/>
  <c r="BX198" i="1"/>
  <c r="BM42" i="7"/>
  <c r="BY87" i="1"/>
  <c r="BM43" i="7"/>
  <c r="BY80" i="1"/>
  <c r="W312" i="2"/>
  <c r="W314" i="2" s="1"/>
  <c r="X18" i="27" s="1"/>
  <c r="X19" i="27" s="1"/>
  <c r="BM38" i="7"/>
  <c r="CL6" i="9"/>
  <c r="BX287" i="1"/>
  <c r="BM33" i="7"/>
  <c r="BM51" i="7"/>
  <c r="BM50" i="7"/>
  <c r="BX155" i="1"/>
  <c r="CM4" i="1" l="1"/>
  <c r="CM198" i="1"/>
  <c r="CM287" i="1"/>
  <c r="C212" i="21"/>
  <c r="C178" i="21"/>
  <c r="D178" i="21" s="1"/>
  <c r="D177" i="21" s="1"/>
  <c r="X21" i="27"/>
  <c r="C36" i="4"/>
  <c r="C224" i="21"/>
  <c r="C225" i="21" s="1"/>
  <c r="CH4" i="1"/>
  <c r="CH198" i="1"/>
  <c r="CH287" i="1"/>
  <c r="BP2" i="7"/>
  <c r="BO1" i="7"/>
  <c r="CC4" i="1"/>
  <c r="CC287" i="1"/>
  <c r="CC198" i="1"/>
  <c r="AG2" i="3"/>
  <c r="AF254" i="3"/>
  <c r="AF267" i="3"/>
  <c r="CP281" i="1"/>
  <c r="BY83" i="1"/>
  <c r="BY319" i="1" s="1"/>
  <c r="BY316" i="1" s="1"/>
  <c r="BY81" i="1"/>
  <c r="BY88" i="1"/>
  <c r="BY90" i="1"/>
  <c r="BY324" i="1" s="1"/>
  <c r="BY321" i="1" s="1"/>
  <c r="BM57" i="7"/>
  <c r="BY163" i="1"/>
  <c r="X312" i="2"/>
  <c r="X314" i="2" s="1"/>
  <c r="BL37" i="7"/>
  <c r="BL39" i="7"/>
  <c r="BL49" i="7"/>
  <c r="BW451" i="1"/>
  <c r="CB452" i="1" s="1"/>
  <c r="BL50" i="7"/>
  <c r="BL47" i="7" s="1"/>
  <c r="BW74" i="1"/>
  <c r="BW52" i="1"/>
  <c r="BW51" i="1"/>
  <c r="CM39" i="1" l="1"/>
  <c r="CM178" i="1"/>
  <c r="CM446" i="1"/>
  <c r="CM73" i="1"/>
  <c r="CM86" i="1"/>
  <c r="CM93" i="1"/>
  <c r="CM131" i="1"/>
  <c r="CM378" i="1"/>
  <c r="CM123" i="1"/>
  <c r="CM458" i="1"/>
  <c r="CM46" i="1"/>
  <c r="CM417" i="1"/>
  <c r="CM101" i="1"/>
  <c r="CM79" i="1"/>
  <c r="CM157" i="1"/>
  <c r="CM113" i="1"/>
  <c r="CQ281" i="1"/>
  <c r="Y18" i="27"/>
  <c r="Y19" i="27" s="1"/>
  <c r="C227" i="21"/>
  <c r="E227" i="21" s="1"/>
  <c r="F227" i="21" s="1"/>
  <c r="E225" i="21"/>
  <c r="F225" i="21" s="1"/>
  <c r="CB159" i="1"/>
  <c r="BW161" i="1"/>
  <c r="CB162" i="1" s="1"/>
  <c r="CH86" i="1"/>
  <c r="CH79" i="1"/>
  <c r="CH123" i="1"/>
  <c r="CH101" i="1"/>
  <c r="CH157" i="1"/>
  <c r="CH458" i="1"/>
  <c r="CH46" i="1"/>
  <c r="CH93" i="1"/>
  <c r="CH378" i="1"/>
  <c r="CH113" i="1"/>
  <c r="CH131" i="1"/>
  <c r="CH417" i="1"/>
  <c r="CH178" i="1"/>
  <c r="CH446" i="1"/>
  <c r="CH39" i="1"/>
  <c r="CH73" i="1"/>
  <c r="BQ2" i="7"/>
  <c r="BP1" i="7"/>
  <c r="CD317" i="1"/>
  <c r="BY229" i="1"/>
  <c r="CD322" i="1"/>
  <c r="CC113" i="1"/>
  <c r="CC93" i="1"/>
  <c r="CC123" i="1"/>
  <c r="CC178" i="1"/>
  <c r="CC73" i="1"/>
  <c r="CC131" i="1"/>
  <c r="CC157" i="1"/>
  <c r="CC39" i="1"/>
  <c r="CC86" i="1"/>
  <c r="CC378" i="1"/>
  <c r="CC46" i="1"/>
  <c r="CC458" i="1"/>
  <c r="CC79" i="1"/>
  <c r="CC446" i="1"/>
  <c r="CC101" i="1"/>
  <c r="CC417" i="1"/>
  <c r="AH2" i="3"/>
  <c r="AG254" i="3"/>
  <c r="AG267" i="3"/>
  <c r="CB429" i="1"/>
  <c r="BY304" i="1"/>
  <c r="BY228" i="1"/>
  <c r="BY305" i="1"/>
  <c r="BW75" i="1"/>
  <c r="BW76" i="1" s="1"/>
  <c r="BW77" i="1" s="1"/>
  <c r="BX80" i="1"/>
  <c r="BX83" i="1" s="1"/>
  <c r="BX319" i="1" s="1"/>
  <c r="BX316" i="1" s="1"/>
  <c r="BL43" i="7"/>
  <c r="BX87" i="1"/>
  <c r="BX90" i="1" s="1"/>
  <c r="BX324" i="1" s="1"/>
  <c r="BX321" i="1" s="1"/>
  <c r="BL42" i="7"/>
  <c r="Y312" i="2"/>
  <c r="Y314" i="2" s="1"/>
  <c r="Z18" i="27" s="1"/>
  <c r="Z19" i="27" s="1"/>
  <c r="BL33" i="7"/>
  <c r="CK8" i="9"/>
  <c r="BL38" i="7"/>
  <c r="CK6" i="9"/>
  <c r="BW155" i="1"/>
  <c r="BL40" i="7"/>
  <c r="BL51" i="7"/>
  <c r="BL48" i="7" s="1"/>
  <c r="BL62" i="7"/>
  <c r="Z21" i="27" l="1"/>
  <c r="Y21" i="27"/>
  <c r="BQ1" i="7"/>
  <c r="BR2" i="7"/>
  <c r="BX229" i="1"/>
  <c r="CC322" i="1"/>
  <c r="CC317" i="1"/>
  <c r="AI2" i="3"/>
  <c r="AH254" i="3"/>
  <c r="AH267" i="3"/>
  <c r="BX304" i="1"/>
  <c r="BX228" i="1"/>
  <c r="BX305" i="1"/>
  <c r="CR281" i="1"/>
  <c r="Z312" i="2"/>
  <c r="Z314" i="2" s="1"/>
  <c r="BX88" i="1"/>
  <c r="BX81" i="1"/>
  <c r="BL57" i="7"/>
  <c r="BX163" i="1"/>
  <c r="K277" i="11"/>
  <c r="L277" i="11"/>
  <c r="M277" i="11"/>
  <c r="K278" i="11"/>
  <c r="L278" i="11"/>
  <c r="M278" i="11"/>
  <c r="K279" i="11"/>
  <c r="L279" i="11"/>
  <c r="M279" i="11"/>
  <c r="D278" i="11"/>
  <c r="D279" i="11" s="1"/>
  <c r="D280" i="11" s="1"/>
  <c r="J277" i="11"/>
  <c r="K301" i="11"/>
  <c r="K299" i="11"/>
  <c r="K300" i="11"/>
  <c r="K298" i="11"/>
  <c r="D299" i="11"/>
  <c r="D300" i="11" s="1"/>
  <c r="D301" i="11" s="1"/>
  <c r="F296" i="11"/>
  <c r="G296" i="11" s="1"/>
  <c r="H296" i="11" s="1"/>
  <c r="I296" i="11" s="1"/>
  <c r="AH4" i="3" l="1"/>
  <c r="AH3" i="3" s="1"/>
  <c r="AA18" i="27"/>
  <c r="AA19" i="27" s="1"/>
  <c r="BR1" i="7"/>
  <c r="BS2" i="7"/>
  <c r="AJ2" i="3"/>
  <c r="AI267" i="3"/>
  <c r="AI254" i="3"/>
  <c r="AA312" i="2"/>
  <c r="AA314" i="2" s="1"/>
  <c r="Q62" i="4"/>
  <c r="CS281" i="1"/>
  <c r="Z315" i="2"/>
  <c r="CT50" i="7"/>
  <c r="CU49" i="7"/>
  <c r="CT49" i="7"/>
  <c r="CU40" i="7"/>
  <c r="CT40" i="7"/>
  <c r="AC40" i="7"/>
  <c r="AD40" i="7"/>
  <c r="AE40" i="7"/>
  <c r="AF40" i="7"/>
  <c r="AG40" i="7"/>
  <c r="AH40" i="7"/>
  <c r="AI40" i="7"/>
  <c r="AJ40" i="7"/>
  <c r="AK40" i="7"/>
  <c r="AL40" i="7"/>
  <c r="AM40" i="7"/>
  <c r="AN40" i="7"/>
  <c r="AO40" i="7"/>
  <c r="AB40" i="7"/>
  <c r="AI4" i="3" l="1"/>
  <c r="AI3" i="3" s="1"/>
  <c r="AB18" i="27"/>
  <c r="AB19" i="27" s="1"/>
  <c r="AA21" i="27"/>
  <c r="BS1" i="7"/>
  <c r="BT2" i="7"/>
  <c r="AK2" i="3"/>
  <c r="AJ267" i="3"/>
  <c r="AJ254" i="3"/>
  <c r="AA315" i="2"/>
  <c r="R62" i="4"/>
  <c r="CT281" i="1"/>
  <c r="L276" i="11"/>
  <c r="M276" i="11"/>
  <c r="K276" i="11"/>
  <c r="J278" i="11"/>
  <c r="J279" i="11"/>
  <c r="D288" i="11"/>
  <c r="D289" i="11" s="1"/>
  <c r="D290" i="11" s="1"/>
  <c r="F285" i="11"/>
  <c r="G285" i="11" s="1"/>
  <c r="H285" i="11" s="1"/>
  <c r="I285" i="11" s="1"/>
  <c r="D198" i="11"/>
  <c r="C198" i="11"/>
  <c r="CT39" i="7"/>
  <c r="CU51" i="7"/>
  <c r="CT51" i="7"/>
  <c r="DG46" i="7"/>
  <c r="DF46" i="7"/>
  <c r="DE46" i="7"/>
  <c r="DD46" i="7"/>
  <c r="CV46" i="7"/>
  <c r="CU46" i="7"/>
  <c r="CT46" i="7"/>
  <c r="DG45" i="7"/>
  <c r="DF45" i="7"/>
  <c r="DE45" i="7"/>
  <c r="DD45" i="7"/>
  <c r="CV45" i="7"/>
  <c r="CU45" i="7"/>
  <c r="CT45" i="7"/>
  <c r="AB21" i="27" l="1"/>
  <c r="BT1" i="7"/>
  <c r="BU2" i="7"/>
  <c r="AL2" i="3"/>
  <c r="AK254" i="3"/>
  <c r="AK267" i="3"/>
  <c r="CU41" i="7"/>
  <c r="CT41" i="7"/>
  <c r="CU38" i="7"/>
  <c r="CT38" i="7"/>
  <c r="CV33" i="7"/>
  <c r="CU33" i="7"/>
  <c r="CT33" i="7"/>
  <c r="CU2" i="7"/>
  <c r="CV2" i="7" s="1"/>
  <c r="CW2" i="7" s="1"/>
  <c r="CX2" i="7" s="1"/>
  <c r="CY2" i="7" s="1"/>
  <c r="CZ2" i="7" s="1"/>
  <c r="CU1" i="7"/>
  <c r="CV1" i="7" s="1"/>
  <c r="CW1" i="7" s="1"/>
  <c r="CX1" i="7" s="1"/>
  <c r="CY1" i="7" s="1"/>
  <c r="CZ1" i="7" s="1"/>
  <c r="BU1" i="7" l="1"/>
  <c r="BV2" i="7"/>
  <c r="BV1" i="7" s="1"/>
  <c r="AM2" i="3"/>
  <c r="AL254" i="3"/>
  <c r="AL267" i="3"/>
  <c r="DA1" i="7"/>
  <c r="DA2" i="7"/>
  <c r="BV51" i="1"/>
  <c r="BV52" i="1"/>
  <c r="B220" i="11"/>
  <c r="B221" i="11"/>
  <c r="B218" i="11"/>
  <c r="B219" i="11"/>
  <c r="BW2" i="7" l="1"/>
  <c r="DB2" i="7"/>
  <c r="DC2" i="7" s="1"/>
  <c r="DD2" i="7" s="1"/>
  <c r="DE2" i="7" s="1"/>
  <c r="DF2" i="7" s="1"/>
  <c r="DG2" i="7" s="1"/>
  <c r="DH2" i="7" s="1"/>
  <c r="DI2" i="7" s="1"/>
  <c r="DB1" i="7"/>
  <c r="DC1" i="7" s="1"/>
  <c r="DD1" i="7" s="1"/>
  <c r="DE1" i="7" s="1"/>
  <c r="DF1" i="7" s="1"/>
  <c r="DG1" i="7" s="1"/>
  <c r="DH1" i="7" s="1"/>
  <c r="DI1" i="7" s="1"/>
  <c r="AN2" i="3"/>
  <c r="AM254" i="3"/>
  <c r="AM267" i="3"/>
  <c r="C143" i="11"/>
  <c r="D262" i="11" s="1"/>
  <c r="BW1" i="7" l="1"/>
  <c r="BX2" i="7"/>
  <c r="AN254" i="3"/>
  <c r="AN267" i="3"/>
  <c r="F275" i="11"/>
  <c r="BX1" i="7" l="1"/>
  <c r="BY2" i="7"/>
  <c r="BY1" i="7" s="1"/>
  <c r="G275" i="11"/>
  <c r="H275" i="11" s="1"/>
  <c r="I275" i="11" s="1"/>
  <c r="C138" i="11"/>
  <c r="C13" i="11"/>
  <c r="C16" i="11"/>
  <c r="C39" i="11"/>
  <c r="D39" i="11" s="1"/>
  <c r="E39" i="11" s="1"/>
  <c r="F39" i="11" s="1"/>
  <c r="G39" i="11" s="1"/>
  <c r="H39" i="11" s="1"/>
  <c r="I39" i="11" s="1"/>
  <c r="J39" i="11" s="1"/>
  <c r="K39" i="11" s="1"/>
  <c r="L39" i="11" s="1"/>
  <c r="M39" i="11" s="1"/>
  <c r="N39" i="11" s="1"/>
  <c r="O39" i="11" s="1"/>
  <c r="P39" i="11" s="1"/>
  <c r="Q39" i="11" s="1"/>
  <c r="R39" i="11" s="1"/>
  <c r="C40" i="11"/>
  <c r="D40" i="11" s="1"/>
  <c r="E40" i="11" s="1"/>
  <c r="F40" i="11" s="1"/>
  <c r="G40" i="11" s="1"/>
  <c r="H40" i="11" s="1"/>
  <c r="I40" i="11" s="1"/>
  <c r="J40" i="11" s="1"/>
  <c r="K40" i="11" s="1"/>
  <c r="L40" i="11" s="1"/>
  <c r="M40" i="11" s="1"/>
  <c r="N40" i="11" s="1"/>
  <c r="O40" i="11" s="1"/>
  <c r="P40" i="11" s="1"/>
  <c r="Q40" i="11" s="1"/>
  <c r="R40" i="11" s="1"/>
  <c r="C38" i="11"/>
  <c r="D38" i="11" s="1"/>
  <c r="E38" i="11" s="1"/>
  <c r="F38" i="11" s="1"/>
  <c r="G38" i="11" s="1"/>
  <c r="H38" i="11" s="1"/>
  <c r="I38" i="11" s="1"/>
  <c r="J38" i="11" s="1"/>
  <c r="K38" i="11" s="1"/>
  <c r="L38" i="11" s="1"/>
  <c r="M38" i="11" s="1"/>
  <c r="N38" i="11" s="1"/>
  <c r="O38" i="11" s="1"/>
  <c r="P38" i="11" s="1"/>
  <c r="Q38" i="11" s="1"/>
  <c r="R38" i="11" s="1"/>
  <c r="C9" i="11"/>
  <c r="C18" i="11" l="1"/>
  <c r="H66" i="11" l="1"/>
  <c r="I66" i="11" s="1"/>
  <c r="J66" i="11" s="1"/>
  <c r="K66" i="11" s="1"/>
  <c r="L66" i="11" s="1"/>
  <c r="M66" i="11" s="1"/>
  <c r="N66" i="11" s="1"/>
  <c r="O66" i="11" s="1"/>
  <c r="P66" i="11" s="1"/>
  <c r="Q66" i="11" s="1"/>
  <c r="R66" i="11" s="1"/>
  <c r="D2" i="11"/>
  <c r="E2" i="11" s="1"/>
  <c r="F2" i="11" s="1"/>
  <c r="G2" i="11" s="1"/>
  <c r="H2" i="11" s="1"/>
  <c r="I2" i="11" s="1"/>
  <c r="J2" i="11" s="1"/>
  <c r="K2" i="11" s="1"/>
  <c r="L2" i="11" s="1"/>
  <c r="M2" i="11" s="1"/>
  <c r="N2" i="11" s="1"/>
  <c r="O2" i="11" l="1"/>
  <c r="P2" i="11" s="1"/>
  <c r="Q2" i="11" s="1"/>
  <c r="R2" i="11" s="1"/>
  <c r="P190" i="2" l="1"/>
  <c r="O190" i="2"/>
  <c r="N190" i="2"/>
  <c r="M190" i="2"/>
  <c r="L190" i="2"/>
  <c r="K190" i="2"/>
  <c r="J190" i="2"/>
  <c r="I190" i="2"/>
  <c r="H190" i="2"/>
  <c r="G190" i="2"/>
  <c r="F190" i="2"/>
  <c r="E190" i="2"/>
  <c r="D190" i="2"/>
  <c r="C190" i="2"/>
  <c r="Q5" i="2"/>
  <c r="Q47" i="2" s="1"/>
  <c r="P5" i="2"/>
  <c r="P47" i="2" s="1"/>
  <c r="O5" i="2"/>
  <c r="O47" i="2" s="1"/>
  <c r="N5" i="2"/>
  <c r="N47" i="2" s="1"/>
  <c r="M5" i="2"/>
  <c r="M47" i="2" s="1"/>
  <c r="L5" i="2"/>
  <c r="L47" i="2" s="1"/>
  <c r="K5" i="2"/>
  <c r="K47" i="2" s="1"/>
  <c r="J5" i="2"/>
  <c r="I5" i="2"/>
  <c r="H5" i="2"/>
  <c r="G5" i="2"/>
  <c r="F5" i="2"/>
  <c r="E5" i="2"/>
  <c r="D5" i="2"/>
  <c r="C5" i="2"/>
  <c r="BJ40" i="7" l="1"/>
  <c r="BS161" i="1"/>
  <c r="BR161" i="1"/>
  <c r="BG40" i="7"/>
  <c r="CE6" i="9"/>
  <c r="CC6" i="9"/>
  <c r="CB6" i="9"/>
  <c r="CA6" i="9"/>
  <c r="BZ6" i="9"/>
  <c r="BX6" i="9"/>
  <c r="BW6" i="9"/>
  <c r="BU6" i="9"/>
  <c r="BS6" i="9"/>
  <c r="BR6" i="9"/>
  <c r="BQ6" i="9"/>
  <c r="BP6" i="9"/>
  <c r="BK6" i="9"/>
  <c r="BE165" i="1"/>
  <c r="BD165" i="1"/>
  <c r="BC165" i="1"/>
  <c r="BB165" i="1"/>
  <c r="BV75" i="1"/>
  <c r="BE42" i="7"/>
  <c r="BD42" i="7"/>
  <c r="BC42" i="7"/>
  <c r="BA42" i="7"/>
  <c r="AZ42" i="7"/>
  <c r="AY42" i="7"/>
  <c r="AW42" i="7"/>
  <c r="AV42" i="7"/>
  <c r="AU42" i="7"/>
  <c r="BV74" i="1"/>
  <c r="BE43" i="7"/>
  <c r="BD43" i="7"/>
  <c r="BC43" i="7"/>
  <c r="BA43" i="7"/>
  <c r="AZ43" i="7"/>
  <c r="AY43" i="7"/>
  <c r="BB83" i="1"/>
  <c r="BB319" i="1" s="1"/>
  <c r="BB316" i="1" s="1"/>
  <c r="BB317" i="1" s="1"/>
  <c r="AG12" i="18"/>
  <c r="AC12" i="18"/>
  <c r="Y12" i="18"/>
  <c r="X12" i="18"/>
  <c r="V12" i="18"/>
  <c r="U12" i="18"/>
  <c r="AQ11" i="7"/>
  <c r="AQ24" i="7" s="1"/>
  <c r="AY23" i="7"/>
  <c r="AU23" i="7"/>
  <c r="AQ23" i="7"/>
  <c r="AU26" i="7"/>
  <c r="AQ26" i="7"/>
  <c r="BV252" i="1"/>
  <c r="BV254" i="1" s="1"/>
  <c r="BQ252" i="1"/>
  <c r="BQ254" i="1" s="1"/>
  <c r="BB252" i="1"/>
  <c r="BB254" i="1" s="1"/>
  <c r="AW252" i="1"/>
  <c r="AW254" i="1" s="1"/>
  <c r="AU252" i="1"/>
  <c r="AU254" i="1" s="1"/>
  <c r="AU255" i="1" s="1"/>
  <c r="AT252" i="1"/>
  <c r="AT254" i="1" s="1"/>
  <c r="AT256" i="1" s="1"/>
  <c r="AS252" i="1"/>
  <c r="AS254" i="1" s="1"/>
  <c r="AS256" i="1" s="1"/>
  <c r="AR252" i="1"/>
  <c r="AR254" i="1" s="1"/>
  <c r="AR256" i="1" s="1"/>
  <c r="BQ244" i="1"/>
  <c r="BM244" i="1"/>
  <c r="BL244" i="1"/>
  <c r="BJ244" i="1"/>
  <c r="BH244" i="1"/>
  <c r="BG244" i="1"/>
  <c r="BB244" i="1"/>
  <c r="AW244" i="1"/>
  <c r="BQ243" i="1"/>
  <c r="BM243" i="1"/>
  <c r="BL243" i="1"/>
  <c r="BJ243" i="1"/>
  <c r="BH243" i="1"/>
  <c r="BG243" i="1"/>
  <c r="BB243" i="1"/>
  <c r="AW243" i="1"/>
  <c r="BQ242" i="1"/>
  <c r="BM242" i="1"/>
  <c r="BL242" i="1"/>
  <c r="BJ242" i="1"/>
  <c r="BH242" i="1"/>
  <c r="BG242" i="1"/>
  <c r="BB242" i="1"/>
  <c r="AW242" i="1"/>
  <c r="BQ241" i="1"/>
  <c r="BM241" i="1"/>
  <c r="BL241" i="1"/>
  <c r="BJ241" i="1"/>
  <c r="BH241" i="1"/>
  <c r="BG241" i="1"/>
  <c r="BB241" i="1"/>
  <c r="AW241" i="1"/>
  <c r="BX209" i="1"/>
  <c r="BW209" i="1"/>
  <c r="Q323" i="2"/>
  <c r="P323" i="2"/>
  <c r="O323" i="2"/>
  <c r="N323" i="2"/>
  <c r="Q198" i="2"/>
  <c r="Q31" i="2" s="1"/>
  <c r="Q197" i="2"/>
  <c r="Q244" i="2"/>
  <c r="Q200" i="2" l="1"/>
  <c r="J50" i="18"/>
  <c r="Q174" i="2"/>
  <c r="AW256" i="1"/>
  <c r="BB256" i="1"/>
  <c r="BQ256" i="1"/>
  <c r="BV256" i="1"/>
  <c r="BF40" i="7"/>
  <c r="BO161" i="1"/>
  <c r="AU40" i="7"/>
  <c r="BB161" i="1"/>
  <c r="AX40" i="7"/>
  <c r="BE161" i="1"/>
  <c r="AY40" i="7"/>
  <c r="BG161" i="1"/>
  <c r="AQ40" i="7"/>
  <c r="AW161" i="1"/>
  <c r="BB40" i="7"/>
  <c r="BJ161" i="1"/>
  <c r="BC40" i="7"/>
  <c r="BL161" i="1"/>
  <c r="CA159" i="1"/>
  <c r="BV161" i="1"/>
  <c r="BD40" i="7"/>
  <c r="BM161" i="1"/>
  <c r="BE40" i="7"/>
  <c r="BN161" i="1"/>
  <c r="BN165" i="1"/>
  <c r="AA16" i="18"/>
  <c r="BG165" i="1"/>
  <c r="U16" i="18"/>
  <c r="BH165" i="1"/>
  <c r="V16" i="18"/>
  <c r="BI165" i="1"/>
  <c r="W16" i="18"/>
  <c r="BM165" i="1"/>
  <c r="Z16" i="18"/>
  <c r="BJ165" i="1"/>
  <c r="X16" i="18"/>
  <c r="BL165" i="1"/>
  <c r="Y16" i="18"/>
  <c r="AW255" i="1"/>
  <c r="BB255" i="1"/>
  <c r="BV255" i="1"/>
  <c r="CA255" i="1"/>
  <c r="AR257" i="1"/>
  <c r="AR255" i="1"/>
  <c r="AS257" i="1"/>
  <c r="AS255" i="1"/>
  <c r="AT257" i="1"/>
  <c r="AT255" i="1"/>
  <c r="AU11" i="7"/>
  <c r="BB31" i="1"/>
  <c r="AX11" i="7"/>
  <c r="BE31" i="1"/>
  <c r="BG11" i="7"/>
  <c r="BQ31" i="1"/>
  <c r="BK11" i="7"/>
  <c r="BV31" i="1"/>
  <c r="AY11" i="7"/>
  <c r="BG31" i="1"/>
  <c r="AZ11" i="7"/>
  <c r="AZ24" i="7" s="1"/>
  <c r="BH31" i="1"/>
  <c r="BB11" i="7"/>
  <c r="BJ31" i="1"/>
  <c r="BC11" i="7"/>
  <c r="BL31" i="1"/>
  <c r="BB228" i="1"/>
  <c r="BB304" i="1"/>
  <c r="BB411" i="1"/>
  <c r="AW411" i="1"/>
  <c r="BM411" i="1"/>
  <c r="BQ411" i="1"/>
  <c r="BG411" i="1"/>
  <c r="BH411" i="1"/>
  <c r="BJ411" i="1"/>
  <c r="BL411" i="1"/>
  <c r="BX429" i="1"/>
  <c r="BY429" i="1"/>
  <c r="BV411" i="1"/>
  <c r="CA429" i="1"/>
  <c r="BV242" i="1"/>
  <c r="BV243" i="1"/>
  <c r="BW429" i="1"/>
  <c r="BM240" i="1"/>
  <c r="BQ240" i="1"/>
  <c r="AW240" i="1"/>
  <c r="BB240" i="1"/>
  <c r="BG240" i="1"/>
  <c r="BH240" i="1"/>
  <c r="BJ240" i="1"/>
  <c r="BL240" i="1"/>
  <c r="BL13" i="1"/>
  <c r="BJ13" i="1"/>
  <c r="BG13" i="1"/>
  <c r="BQ13" i="1"/>
  <c r="BW13" i="1"/>
  <c r="BX13" i="1"/>
  <c r="BY13" i="1"/>
  <c r="BV13" i="1"/>
  <c r="CA13" i="1"/>
  <c r="BI13" i="1"/>
  <c r="C125" i="11"/>
  <c r="C126" i="11" s="1"/>
  <c r="CA397" i="1"/>
  <c r="BV241" i="1"/>
  <c r="CA392" i="1"/>
  <c r="BV240" i="1"/>
  <c r="CA409" i="1"/>
  <c r="BV244" i="1"/>
  <c r="AW43" i="7"/>
  <c r="BE80" i="1"/>
  <c r="BE81" i="1" s="1"/>
  <c r="AX43" i="7"/>
  <c r="BF82" i="1"/>
  <c r="BF43" i="7"/>
  <c r="BP82" i="1"/>
  <c r="BG43" i="7"/>
  <c r="BQ74" i="1"/>
  <c r="AX42" i="7"/>
  <c r="BF89" i="1"/>
  <c r="BF42" i="7"/>
  <c r="BP89" i="1"/>
  <c r="AV43" i="7"/>
  <c r="BD80" i="1"/>
  <c r="BH43" i="7"/>
  <c r="BR74" i="1"/>
  <c r="BG42" i="7"/>
  <c r="BQ75" i="1"/>
  <c r="BI43" i="7"/>
  <c r="BS74" i="1"/>
  <c r="BH42" i="7"/>
  <c r="BR75" i="1"/>
  <c r="BB43" i="7"/>
  <c r="BK82" i="1"/>
  <c r="BJ43" i="7"/>
  <c r="BU82" i="1"/>
  <c r="BT74" i="1"/>
  <c r="BI42" i="7"/>
  <c r="BS75" i="1"/>
  <c r="AU43" i="7"/>
  <c r="BC80" i="1"/>
  <c r="BB81" i="1"/>
  <c r="BV76" i="1"/>
  <c r="BV77" i="1" s="1"/>
  <c r="BB42" i="7"/>
  <c r="BK89" i="1"/>
  <c r="BJ42" i="7"/>
  <c r="BU89" i="1"/>
  <c r="BT75" i="1"/>
  <c r="R246" i="2"/>
  <c r="CA402" i="1"/>
  <c r="CA405" i="1"/>
  <c r="BK40" i="7"/>
  <c r="BZ158" i="1"/>
  <c r="CJ13" i="9"/>
  <c r="CH6" i="9"/>
  <c r="CJ8" i="9"/>
  <c r="BZ428" i="1"/>
  <c r="CE429" i="1" s="1"/>
  <c r="CJ9" i="9"/>
  <c r="CJ6" i="9"/>
  <c r="BW80" i="1"/>
  <c r="BW81" i="1" s="1"/>
  <c r="BK43" i="7"/>
  <c r="BW87" i="1"/>
  <c r="BW90" i="1" s="1"/>
  <c r="BW324" i="1" s="1"/>
  <c r="BW321" i="1" s="1"/>
  <c r="BK42" i="7"/>
  <c r="CF6" i="9"/>
  <c r="CG6" i="9"/>
  <c r="BI40" i="7"/>
  <c r="BX159" i="1"/>
  <c r="BH40" i="7"/>
  <c r="BW159" i="1"/>
  <c r="BK218" i="1"/>
  <c r="BP218" i="1"/>
  <c r="BU218" i="1"/>
  <c r="Q203" i="2" l="1"/>
  <c r="Q205" i="2"/>
  <c r="Z7" i="3"/>
  <c r="Q206" i="2"/>
  <c r="BG24" i="7"/>
  <c r="AX24" i="7"/>
  <c r="BC24" i="7"/>
  <c r="AU24" i="7"/>
  <c r="AU28" i="7" s="1"/>
  <c r="BB24" i="7"/>
  <c r="AY24" i="7"/>
  <c r="BK24" i="7"/>
  <c r="CE159" i="1"/>
  <c r="BZ161" i="1"/>
  <c r="BW229" i="1"/>
  <c r="CB322" i="1"/>
  <c r="BB257" i="1"/>
  <c r="BW305" i="1"/>
  <c r="BC81" i="1"/>
  <c r="BC83" i="1"/>
  <c r="BC319" i="1" s="1"/>
  <c r="BC316" i="1" s="1"/>
  <c r="BD81" i="1"/>
  <c r="BD83" i="1"/>
  <c r="BD319" i="1" s="1"/>
  <c r="BD316" i="1" s="1"/>
  <c r="BQ76" i="1"/>
  <c r="BQ77" i="1" s="1"/>
  <c r="BU80" i="1"/>
  <c r="BU83" i="1" s="1"/>
  <c r="BP74" i="1"/>
  <c r="BU75" i="1"/>
  <c r="BZ87" i="1"/>
  <c r="BS76" i="1"/>
  <c r="BS77" i="1" s="1"/>
  <c r="BP75" i="1"/>
  <c r="BU87" i="1"/>
  <c r="BU90" i="1" s="1"/>
  <c r="BK80" i="1"/>
  <c r="BK83" i="1" s="1"/>
  <c r="BK319" i="1" s="1"/>
  <c r="BF81" i="1"/>
  <c r="BF74" i="1"/>
  <c r="BF83" i="1"/>
  <c r="BF319" i="1" s="1"/>
  <c r="BP87" i="1"/>
  <c r="BP90" i="1" s="1"/>
  <c r="BP324" i="1" s="1"/>
  <c r="BK75" i="1"/>
  <c r="BT76" i="1"/>
  <c r="BT77" i="1" s="1"/>
  <c r="BZ80" i="1"/>
  <c r="BU74" i="1"/>
  <c r="BF75" i="1"/>
  <c r="BK87" i="1"/>
  <c r="BK90" i="1" s="1"/>
  <c r="BK324" i="1" s="1"/>
  <c r="BP80" i="1"/>
  <c r="BK74" i="1"/>
  <c r="BR76" i="1"/>
  <c r="BR77" i="1" s="1"/>
  <c r="D57" i="14"/>
  <c r="AC57" i="14" s="1"/>
  <c r="BO33" i="7"/>
  <c r="BW88" i="1"/>
  <c r="BW83" i="1"/>
  <c r="BW319" i="1" s="1"/>
  <c r="BW316" i="1" s="1"/>
  <c r="CJ14" i="9"/>
  <c r="BK62" i="7"/>
  <c r="BI62" i="7"/>
  <c r="CB317" i="1" l="1"/>
  <c r="BC228" i="1"/>
  <c r="BC304" i="1"/>
  <c r="BD228" i="1"/>
  <c r="BD304" i="1"/>
  <c r="BW304" i="1"/>
  <c r="BW228" i="1"/>
  <c r="BU319" i="1"/>
  <c r="BU324" i="1"/>
  <c r="BK76" i="1"/>
  <c r="BK77" i="1" s="1"/>
  <c r="BU76" i="1"/>
  <c r="BU77" i="1" s="1"/>
  <c r="BU81" i="1"/>
  <c r="BK81" i="1"/>
  <c r="BK88" i="1"/>
  <c r="BZ90" i="1"/>
  <c r="BZ324" i="1" s="1"/>
  <c r="BZ88" i="1"/>
  <c r="BF76" i="1"/>
  <c r="BF77" i="1" s="1"/>
  <c r="BZ83" i="1"/>
  <c r="BZ319" i="1" s="1"/>
  <c r="BZ81" i="1"/>
  <c r="BU88" i="1"/>
  <c r="BP76" i="1"/>
  <c r="BP77" i="1" s="1"/>
  <c r="BP81" i="1"/>
  <c r="BP83" i="1"/>
  <c r="BP319" i="1" s="1"/>
  <c r="BP88" i="1"/>
  <c r="BZ163" i="1"/>
  <c r="CA163" i="1"/>
  <c r="BF62" i="7"/>
  <c r="BC62" i="7"/>
  <c r="BH62" i="7"/>
  <c r="BE62" i="7"/>
  <c r="BD62" i="7"/>
  <c r="BG62" i="7"/>
  <c r="BJ62" i="7"/>
  <c r="D287" i="1"/>
  <c r="E287" i="1"/>
  <c r="F287" i="1"/>
  <c r="G287" i="1"/>
  <c r="I287" i="1"/>
  <c r="J287" i="1"/>
  <c r="K287" i="1"/>
  <c r="L287" i="1"/>
  <c r="N287" i="1"/>
  <c r="O287" i="1"/>
  <c r="P287" i="1"/>
  <c r="Q287" i="1"/>
  <c r="S287" i="1"/>
  <c r="T287" i="1"/>
  <c r="U287" i="1"/>
  <c r="V287" i="1"/>
  <c r="X287" i="1"/>
  <c r="Y287" i="1"/>
  <c r="Z287" i="1"/>
  <c r="AA287" i="1"/>
  <c r="AC287" i="1"/>
  <c r="AD287" i="1"/>
  <c r="AE287" i="1"/>
  <c r="AF287" i="1"/>
  <c r="AH287" i="1"/>
  <c r="AI287" i="1"/>
  <c r="AJ287" i="1"/>
  <c r="AK287" i="1"/>
  <c r="AM287" i="1"/>
  <c r="AN287" i="1"/>
  <c r="AO287" i="1"/>
  <c r="AP287" i="1"/>
  <c r="AR287" i="1"/>
  <c r="AS287" i="1"/>
  <c r="AT287" i="1"/>
  <c r="AU287" i="1"/>
  <c r="AW287" i="1"/>
  <c r="AX287" i="1"/>
  <c r="AY287" i="1"/>
  <c r="AZ287" i="1"/>
  <c r="BB287" i="1"/>
  <c r="BC287" i="1"/>
  <c r="BD287" i="1"/>
  <c r="BE287" i="1"/>
  <c r="BG287" i="1"/>
  <c r="BH287" i="1"/>
  <c r="BI287" i="1"/>
  <c r="BJ287" i="1"/>
  <c r="BS287" i="1"/>
  <c r="BT287" i="1"/>
  <c r="C287" i="1"/>
  <c r="BK49" i="7"/>
  <c r="BK39" i="7"/>
  <c r="BK37" i="7"/>
  <c r="BV35" i="1" l="1"/>
  <c r="BK12" i="7" s="1"/>
  <c r="BV451" i="1"/>
  <c r="CA452" i="1" s="1"/>
  <c r="BV439" i="1"/>
  <c r="BK38" i="7"/>
  <c r="CF1" i="9"/>
  <c r="CK1" i="9" s="1"/>
  <c r="CP1" i="9" s="1"/>
  <c r="CU1" i="9" s="1"/>
  <c r="CZ1" i="9" s="1"/>
  <c r="CG1" i="9"/>
  <c r="CL1" i="9" s="1"/>
  <c r="CQ1" i="9" s="1"/>
  <c r="CV1" i="9" s="1"/>
  <c r="CH1" i="9"/>
  <c r="CM1" i="9" s="1"/>
  <c r="CR1" i="9" s="1"/>
  <c r="CW1" i="9" s="1"/>
  <c r="BJ49" i="7"/>
  <c r="BJ39" i="7"/>
  <c r="BJ37" i="7"/>
  <c r="BK51" i="7" l="1"/>
  <c r="BK50" i="7"/>
  <c r="CA162" i="1"/>
  <c r="BU264" i="1"/>
  <c r="BU453" i="1"/>
  <c r="BZ454" i="1" s="1"/>
  <c r="BU451" i="1"/>
  <c r="BZ452" i="1" s="1"/>
  <c r="BU438" i="1"/>
  <c r="BU253" i="1" s="1"/>
  <c r="BT451" i="1"/>
  <c r="BY452" i="1" s="1"/>
  <c r="CG11" i="9"/>
  <c r="BV278" i="1"/>
  <c r="BV392" i="1"/>
  <c r="BV397" i="1"/>
  <c r="BV402" i="1"/>
  <c r="BV409" i="1"/>
  <c r="CG8" i="9"/>
  <c r="CF8" i="9"/>
  <c r="BV429" i="1"/>
  <c r="BI49" i="7"/>
  <c r="BI39" i="7"/>
  <c r="BI37" i="7"/>
  <c r="BR282" i="1"/>
  <c r="BR285" i="1" s="1"/>
  <c r="BS451" i="1"/>
  <c r="BX452" i="1" s="1"/>
  <c r="BI51" i="7"/>
  <c r="BT87" i="1"/>
  <c r="BT80" i="1"/>
  <c r="BH49" i="7"/>
  <c r="BH39" i="7"/>
  <c r="BH37" i="7"/>
  <c r="BR451" i="1"/>
  <c r="BW452" i="1" s="1"/>
  <c r="BH51" i="7"/>
  <c r="BS87" i="1"/>
  <c r="BS80" i="1"/>
  <c r="P198" i="2"/>
  <c r="P197" i="2"/>
  <c r="BG49" i="7"/>
  <c r="BG39" i="7"/>
  <c r="BG37" i="7"/>
  <c r="BF49" i="7"/>
  <c r="BF39" i="7"/>
  <c r="BF37" i="7"/>
  <c r="BP264" i="1"/>
  <c r="BP453" i="1"/>
  <c r="BP451" i="1"/>
  <c r="BP438" i="1"/>
  <c r="BP253" i="1" s="1"/>
  <c r="P276" i="2"/>
  <c r="P263" i="2"/>
  <c r="P244" i="2"/>
  <c r="P336" i="2"/>
  <c r="P256" i="2"/>
  <c r="P253" i="2"/>
  <c r="P250" i="2"/>
  <c r="P243" i="2"/>
  <c r="P193" i="2"/>
  <c r="P342" i="2" s="1"/>
  <c r="P158" i="2"/>
  <c r="P159" i="2" s="1"/>
  <c r="P142" i="2"/>
  <c r="P33" i="2"/>
  <c r="BO2" i="1"/>
  <c r="BO4" i="1" s="1"/>
  <c r="BN2" i="1"/>
  <c r="BN4" i="1" s="1"/>
  <c r="BM2" i="1"/>
  <c r="BL2" i="1"/>
  <c r="BL4" i="1" s="1"/>
  <c r="BN282" i="1"/>
  <c r="BO282" i="1" s="1"/>
  <c r="P200" i="2" l="1"/>
  <c r="BM198" i="1"/>
  <c r="BM4" i="1"/>
  <c r="CA412" i="1"/>
  <c r="BN287" i="1"/>
  <c r="BN198" i="1"/>
  <c r="BL287" i="1"/>
  <c r="BL198" i="1"/>
  <c r="BO287" i="1"/>
  <c r="BO198" i="1"/>
  <c r="BV80" i="1"/>
  <c r="BV83" i="1" s="1"/>
  <c r="BV319" i="1" s="1"/>
  <c r="BV316" i="1" s="1"/>
  <c r="BK57" i="7"/>
  <c r="BW163" i="1"/>
  <c r="BU452" i="1"/>
  <c r="BR2" i="1"/>
  <c r="BR4" i="1" s="1"/>
  <c r="BM287" i="1"/>
  <c r="BP282" i="1"/>
  <c r="BQ2" i="1"/>
  <c r="BV405" i="1"/>
  <c r="BU454" i="1"/>
  <c r="BT90" i="1"/>
  <c r="BT324" i="1" s="1"/>
  <c r="BT321" i="1" s="1"/>
  <c r="BT174" i="1"/>
  <c r="BU200" i="1"/>
  <c r="BI33" i="7"/>
  <c r="BU277" i="1"/>
  <c r="BU283" i="1" s="1"/>
  <c r="CF11" i="9"/>
  <c r="BI38" i="7"/>
  <c r="BJ51" i="7"/>
  <c r="BJ50" i="7"/>
  <c r="BJ38" i="7"/>
  <c r="BJ33" i="7"/>
  <c r="CH8" i="9"/>
  <c r="CH11" i="9"/>
  <c r="BH38" i="7"/>
  <c r="BH33" i="7"/>
  <c r="BU428" i="1"/>
  <c r="BT83" i="1"/>
  <c r="BT319" i="1" s="1"/>
  <c r="BT316" i="1" s="1"/>
  <c r="BT81" i="1"/>
  <c r="BT88" i="1"/>
  <c r="BS83" i="1"/>
  <c r="BS319" i="1" s="1"/>
  <c r="BS316" i="1" s="1"/>
  <c r="BS81" i="1"/>
  <c r="BH50" i="7"/>
  <c r="BS88" i="1"/>
  <c r="BI50" i="7"/>
  <c r="BS174" i="1"/>
  <c r="BS90" i="1"/>
  <c r="BS324" i="1" s="1"/>
  <c r="BS321" i="1" s="1"/>
  <c r="BR174" i="1"/>
  <c r="P203" i="2" l="1"/>
  <c r="Y7" i="3" s="1"/>
  <c r="BY317" i="1"/>
  <c r="BV228" i="1"/>
  <c r="CA317" i="1"/>
  <c r="BT229" i="1"/>
  <c r="BY322" i="1"/>
  <c r="BS229" i="1"/>
  <c r="BX322" i="1"/>
  <c r="BX317" i="1"/>
  <c r="BT228" i="1"/>
  <c r="BT304" i="1"/>
  <c r="BT305" i="1"/>
  <c r="BS305" i="1"/>
  <c r="BS228" i="1"/>
  <c r="BS304" i="1"/>
  <c r="BQ198" i="1"/>
  <c r="BQ4" i="1"/>
  <c r="BV304" i="1"/>
  <c r="BZ316" i="1"/>
  <c r="BW2" i="1"/>
  <c r="BW4" i="1" s="1"/>
  <c r="BR198" i="1"/>
  <c r="BV81" i="1"/>
  <c r="CZ33" i="7"/>
  <c r="BZ429" i="1"/>
  <c r="BP285" i="1"/>
  <c r="H73" i="4"/>
  <c r="BI57" i="7"/>
  <c r="BX162" i="1"/>
  <c r="BH57" i="7"/>
  <c r="BW162" i="1"/>
  <c r="C164" i="11"/>
  <c r="C186" i="11"/>
  <c r="BQ287" i="1"/>
  <c r="BV2" i="1"/>
  <c r="BV4" i="1" s="1"/>
  <c r="BR287" i="1"/>
  <c r="BT163" i="1"/>
  <c r="BS163" i="1"/>
  <c r="BG33" i="7"/>
  <c r="BV159" i="1"/>
  <c r="BR87" i="1"/>
  <c r="BR80" i="1"/>
  <c r="BZ228" i="1" l="1"/>
  <c r="CE317" i="1"/>
  <c r="BW198" i="1"/>
  <c r="CB2" i="1"/>
  <c r="CG2" i="1" s="1"/>
  <c r="CL2" i="1" s="1"/>
  <c r="BZ132" i="1"/>
  <c r="CE133" i="1" s="1"/>
  <c r="BZ304" i="1"/>
  <c r="BW287" i="1"/>
  <c r="CA2" i="1"/>
  <c r="CF2" i="1" s="1"/>
  <c r="CK2" i="1" s="1"/>
  <c r="BV198" i="1"/>
  <c r="C205" i="11"/>
  <c r="C218" i="11" s="1"/>
  <c r="BV287" i="1"/>
  <c r="BU208" i="1"/>
  <c r="BZ209" i="1" s="1"/>
  <c r="BV209" i="1"/>
  <c r="BG38" i="7"/>
  <c r="BZ137" i="1"/>
  <c r="BU158" i="1"/>
  <c r="BZ159" i="1" s="1"/>
  <c r="BR90" i="1"/>
  <c r="BR324" i="1" s="1"/>
  <c r="BR321" i="1" s="1"/>
  <c r="BR88" i="1"/>
  <c r="BR83" i="1"/>
  <c r="BR319" i="1" s="1"/>
  <c r="BR316" i="1" s="1"/>
  <c r="BR81" i="1"/>
  <c r="BG51" i="7"/>
  <c r="BG50" i="7"/>
  <c r="CL4" i="1" l="1"/>
  <c r="CL287" i="1"/>
  <c r="CL198" i="1"/>
  <c r="CK287" i="1"/>
  <c r="CK4" i="1"/>
  <c r="CK198" i="1"/>
  <c r="CG287" i="1"/>
  <c r="CG4" i="1"/>
  <c r="CG198" i="1"/>
  <c r="CF287" i="1"/>
  <c r="CF4" i="1"/>
  <c r="CF198" i="1"/>
  <c r="D9" i="16"/>
  <c r="D10" i="14"/>
  <c r="BW317" i="1"/>
  <c r="BR229" i="1"/>
  <c r="BW322" i="1"/>
  <c r="BR305" i="1"/>
  <c r="BR228" i="1"/>
  <c r="BR304" i="1"/>
  <c r="CA287" i="1"/>
  <c r="CA4" i="1"/>
  <c r="CB4" i="1"/>
  <c r="CB198" i="1"/>
  <c r="CB287" i="1"/>
  <c r="BZ318" i="1"/>
  <c r="BZ133" i="1"/>
  <c r="CA198" i="1"/>
  <c r="CZ38" i="7"/>
  <c r="CZ51" i="7"/>
  <c r="CZ40" i="7"/>
  <c r="CE1" i="9"/>
  <c r="CJ1" i="9" s="1"/>
  <c r="CO1" i="9" s="1"/>
  <c r="CT1" i="9" s="1"/>
  <c r="CY1" i="9" s="1"/>
  <c r="BQ285" i="1"/>
  <c r="BO285" i="1"/>
  <c r="BQ451" i="1"/>
  <c r="BV452" i="1" s="1"/>
  <c r="CE9" i="9"/>
  <c r="BO451" i="1"/>
  <c r="BT452" i="1" s="1"/>
  <c r="CE8" i="9"/>
  <c r="BT209" i="1"/>
  <c r="BT201" i="1"/>
  <c r="BG35" i="7"/>
  <c r="CL101" i="1" l="1"/>
  <c r="CL113" i="1"/>
  <c r="CL46" i="1"/>
  <c r="CL123" i="1"/>
  <c r="CL86" i="1"/>
  <c r="CL131" i="1"/>
  <c r="CL157" i="1"/>
  <c r="CL417" i="1"/>
  <c r="CL79" i="1"/>
  <c r="CL446" i="1"/>
  <c r="CL73" i="1"/>
  <c r="CL93" i="1"/>
  <c r="CL378" i="1"/>
  <c r="CL178" i="1"/>
  <c r="CL458" i="1"/>
  <c r="CL39" i="1"/>
  <c r="E11" i="14"/>
  <c r="AC10" i="14"/>
  <c r="CK46" i="1"/>
  <c r="CK86" i="1"/>
  <c r="CK378" i="1"/>
  <c r="CK101" i="1"/>
  <c r="CK39" i="1"/>
  <c r="CK446" i="1"/>
  <c r="CK417" i="1"/>
  <c r="CK157" i="1"/>
  <c r="CK131" i="1"/>
  <c r="CK73" i="1"/>
  <c r="CK458" i="1"/>
  <c r="CK178" i="1"/>
  <c r="CK123" i="1"/>
  <c r="CK93" i="1"/>
  <c r="CK79" i="1"/>
  <c r="CK113" i="1"/>
  <c r="CG39" i="1"/>
  <c r="CG86" i="1"/>
  <c r="CG93" i="1"/>
  <c r="CG131" i="1"/>
  <c r="CG46" i="1"/>
  <c r="CG378" i="1"/>
  <c r="CG79" i="1"/>
  <c r="CG101" i="1"/>
  <c r="CG458" i="1"/>
  <c r="CG446" i="1"/>
  <c r="CG123" i="1"/>
  <c r="CG157" i="1"/>
  <c r="CG113" i="1"/>
  <c r="CG417" i="1"/>
  <c r="CG178" i="1"/>
  <c r="CG73" i="1"/>
  <c r="CF178" i="1"/>
  <c r="CF73" i="1"/>
  <c r="CF378" i="1"/>
  <c r="CF157" i="1"/>
  <c r="CF46" i="1"/>
  <c r="CF123" i="1"/>
  <c r="CF131" i="1"/>
  <c r="CF86" i="1"/>
  <c r="CF446" i="1"/>
  <c r="CF417" i="1"/>
  <c r="CF113" i="1"/>
  <c r="CF39" i="1"/>
  <c r="CF79" i="1"/>
  <c r="CF93" i="1"/>
  <c r="CF101" i="1"/>
  <c r="CF458" i="1"/>
  <c r="E10" i="16"/>
  <c r="E78" i="16"/>
  <c r="BT159" i="1"/>
  <c r="BF38" i="7"/>
  <c r="BF51" i="7"/>
  <c r="BF50" i="7"/>
  <c r="BQ174" i="1"/>
  <c r="BQ35" i="1"/>
  <c r="BG12" i="7" s="1"/>
  <c r="CE13" i="9"/>
  <c r="BQ439" i="1"/>
  <c r="BQ80" i="1"/>
  <c r="BQ83" i="1" s="1"/>
  <c r="BQ319" i="1" s="1"/>
  <c r="BQ316" i="1" s="1"/>
  <c r="BQ304" i="1" l="1"/>
  <c r="BV317" i="1"/>
  <c r="BU316" i="1"/>
  <c r="BQ228" i="1"/>
  <c r="CE14" i="9"/>
  <c r="BV412" i="1"/>
  <c r="BQ81" i="1"/>
  <c r="BZ317" i="1" l="1"/>
  <c r="BU228" i="1"/>
  <c r="BU304" i="1"/>
  <c r="BE37" i="7"/>
  <c r="BE39" i="7"/>
  <c r="BE49" i="7"/>
  <c r="BN285" i="1"/>
  <c r="BN451" i="1"/>
  <c r="BS452" i="1" s="1"/>
  <c r="BS201" i="1"/>
  <c r="BO87" i="1"/>
  <c r="BO80" i="1"/>
  <c r="BS159" i="1" l="1"/>
  <c r="BO94" i="1"/>
  <c r="BE50" i="7"/>
  <c r="BS209" i="1"/>
  <c r="BO90" i="1"/>
  <c r="BO324" i="1" s="1"/>
  <c r="BO321" i="1" s="1"/>
  <c r="BO88" i="1"/>
  <c r="BO83" i="1"/>
  <c r="BO319" i="1" s="1"/>
  <c r="BO316" i="1" s="1"/>
  <c r="BO81" i="1"/>
  <c r="BE38" i="7"/>
  <c r="BN53" i="1"/>
  <c r="BN42" i="1" s="1"/>
  <c r="CB3" i="9"/>
  <c r="BN174" i="1"/>
  <c r="BS175" i="1" s="1"/>
  <c r="BE41" i="7"/>
  <c r="BE51" i="7"/>
  <c r="H2" i="1"/>
  <c r="BM277" i="1"/>
  <c r="BM283" i="1" s="1"/>
  <c r="AV278" i="1"/>
  <c r="AQ278" i="1"/>
  <c r="AP278" i="1"/>
  <c r="AO278" i="1"/>
  <c r="AN278" i="1"/>
  <c r="AM278" i="1"/>
  <c r="AL278" i="1"/>
  <c r="AK278" i="1"/>
  <c r="AJ278" i="1"/>
  <c r="AI278" i="1"/>
  <c r="AH278" i="1"/>
  <c r="AG278" i="1"/>
  <c r="AF278" i="1"/>
  <c r="AE278" i="1"/>
  <c r="AD278" i="1"/>
  <c r="AC278" i="1"/>
  <c r="AB278" i="1"/>
  <c r="AA278" i="1"/>
  <c r="Z278" i="1"/>
  <c r="Y278" i="1"/>
  <c r="X278" i="1"/>
  <c r="W278" i="1"/>
  <c r="V278" i="1"/>
  <c r="U278" i="1"/>
  <c r="T278" i="1"/>
  <c r="S278" i="1"/>
  <c r="R278" i="1"/>
  <c r="CA10" i="9"/>
  <c r="BK438" i="1"/>
  <c r="BK253" i="1" s="1"/>
  <c r="AR215" i="1"/>
  <c r="AQ215" i="1"/>
  <c r="AP215" i="1"/>
  <c r="AO215" i="1"/>
  <c r="AN215" i="1"/>
  <c r="AM215" i="1"/>
  <c r="AL215" i="1"/>
  <c r="AK215" i="1"/>
  <c r="AJ215" i="1"/>
  <c r="AI215" i="1"/>
  <c r="AH215" i="1"/>
  <c r="AG215" i="1"/>
  <c r="AF215" i="1"/>
  <c r="AE215" i="1"/>
  <c r="AD215" i="1"/>
  <c r="AC215" i="1"/>
  <c r="AB215" i="1"/>
  <c r="AA215" i="1"/>
  <c r="Z215" i="1"/>
  <c r="Y215" i="1"/>
  <c r="X215" i="1"/>
  <c r="W215" i="1"/>
  <c r="V215" i="1"/>
  <c r="U215" i="1"/>
  <c r="T215" i="1"/>
  <c r="S215" i="1"/>
  <c r="R215" i="1"/>
  <c r="AR213" i="1"/>
  <c r="AQ213" i="1"/>
  <c r="AP213" i="1"/>
  <c r="AO213" i="1"/>
  <c r="AN213" i="1"/>
  <c r="AM213" i="1"/>
  <c r="AL213" i="1"/>
  <c r="AK213" i="1"/>
  <c r="AJ213" i="1"/>
  <c r="AI213" i="1"/>
  <c r="AH213" i="1"/>
  <c r="AG213" i="1"/>
  <c r="AF213" i="1"/>
  <c r="AE213" i="1"/>
  <c r="AD213" i="1"/>
  <c r="AC213" i="1"/>
  <c r="AB213" i="1"/>
  <c r="AA213" i="1"/>
  <c r="Z213" i="1"/>
  <c r="Y213" i="1"/>
  <c r="X213" i="1"/>
  <c r="W213" i="1"/>
  <c r="V213" i="1"/>
  <c r="U213" i="1"/>
  <c r="T213" i="1"/>
  <c r="S213" i="1"/>
  <c r="R213" i="1"/>
  <c r="BD87" i="1"/>
  <c r="BD90" i="1" s="1"/>
  <c r="BD324" i="1" s="1"/>
  <c r="BD321" i="1" s="1"/>
  <c r="BE87" i="1"/>
  <c r="BE90" i="1" s="1"/>
  <c r="BE324" i="1" s="1"/>
  <c r="BE321" i="1" s="1"/>
  <c r="BC87" i="1"/>
  <c r="BC90" i="1" s="1"/>
  <c r="BC324" i="1" s="1"/>
  <c r="BC321" i="1" s="1"/>
  <c r="BG80" i="1"/>
  <c r="BJ87" i="1"/>
  <c r="BI87" i="1"/>
  <c r="BH87" i="1"/>
  <c r="BH80" i="1"/>
  <c r="BN87" i="1"/>
  <c r="BM87" i="1"/>
  <c r="BN80" i="1"/>
  <c r="BN83" i="1" s="1"/>
  <c r="BN319" i="1" s="1"/>
  <c r="BN316" i="1" s="1"/>
  <c r="BM80" i="1"/>
  <c r="BO229" i="1" l="1"/>
  <c r="BT322" i="1"/>
  <c r="BD229" i="1"/>
  <c r="BE229" i="1"/>
  <c r="BS317" i="1"/>
  <c r="BC229" i="1"/>
  <c r="BT317" i="1"/>
  <c r="BD305" i="1"/>
  <c r="BO305" i="1"/>
  <c r="BN228" i="1"/>
  <c r="BN304" i="1"/>
  <c r="BC305" i="1"/>
  <c r="BE305" i="1"/>
  <c r="BO228" i="1"/>
  <c r="BO304" i="1"/>
  <c r="H198" i="1"/>
  <c r="H4" i="1"/>
  <c r="M2" i="1"/>
  <c r="H287" i="1"/>
  <c r="BR278" i="1"/>
  <c r="BE57" i="7"/>
  <c r="BS162" i="1"/>
  <c r="BL80" i="1"/>
  <c r="BL81" i="1" s="1"/>
  <c r="BN277" i="1"/>
  <c r="BN283" i="1" s="1"/>
  <c r="CA11" i="9"/>
  <c r="BN88" i="1"/>
  <c r="BN90" i="1"/>
  <c r="BN324" i="1" s="1"/>
  <c r="BN321" i="1" s="1"/>
  <c r="BN81" i="1"/>
  <c r="CJ423" i="1"/>
  <c r="BE88" i="1"/>
  <c r="BD88" i="1"/>
  <c r="BH83" i="1"/>
  <c r="BH319" i="1" s="1"/>
  <c r="BH316" i="1" s="1"/>
  <c r="BH317" i="1" s="1"/>
  <c r="BC88" i="1"/>
  <c r="BI88" i="1"/>
  <c r="BJ90" i="1"/>
  <c r="BJ324" i="1" s="1"/>
  <c r="BJ321" i="1" s="1"/>
  <c r="BM88" i="1"/>
  <c r="BI90" i="1"/>
  <c r="BI324" i="1" s="1"/>
  <c r="BI321" i="1" s="1"/>
  <c r="BM83" i="1"/>
  <c r="BM319" i="1" s="1"/>
  <c r="BM316" i="1" s="1"/>
  <c r="BH88" i="1"/>
  <c r="BH81" i="1"/>
  <c r="BM81" i="1"/>
  <c r="BM90" i="1"/>
  <c r="BM324" i="1" s="1"/>
  <c r="BM321" i="1" s="1"/>
  <c r="BH90" i="1"/>
  <c r="BH324" i="1" s="1"/>
  <c r="BH321" i="1" s="1"/>
  <c r="BG81" i="1"/>
  <c r="BG83" i="1"/>
  <c r="BG319" i="1" s="1"/>
  <c r="BG316" i="1" s="1"/>
  <c r="BG317" i="1" s="1"/>
  <c r="BE83" i="1"/>
  <c r="BE319" i="1" s="1"/>
  <c r="BE316" i="1" s="1"/>
  <c r="BJ88" i="1"/>
  <c r="BI80" i="1"/>
  <c r="BJ80" i="1"/>
  <c r="BJ81" i="1" s="1"/>
  <c r="BE304" i="1" l="1"/>
  <c r="BI229" i="1"/>
  <c r="BI322" i="1"/>
  <c r="BJ229" i="1"/>
  <c r="BJ322" i="1"/>
  <c r="BN229" i="1"/>
  <c r="BN322" i="1"/>
  <c r="BS322" i="1"/>
  <c r="BM229" i="1"/>
  <c r="BM322" i="1"/>
  <c r="BR322" i="1"/>
  <c r="BM317" i="1"/>
  <c r="BR317" i="1"/>
  <c r="BO322" i="1"/>
  <c r="BH229" i="1"/>
  <c r="BH322" i="1"/>
  <c r="BG228" i="1"/>
  <c r="BG304" i="1"/>
  <c r="BH305" i="1"/>
  <c r="BI305" i="1"/>
  <c r="BJ305" i="1"/>
  <c r="BM228" i="1"/>
  <c r="BM304" i="1"/>
  <c r="BN305" i="1"/>
  <c r="BM305" i="1"/>
  <c r="BH228" i="1"/>
  <c r="BH304" i="1"/>
  <c r="BF316" i="1"/>
  <c r="BE228" i="1"/>
  <c r="M198" i="1"/>
  <c r="M4" i="1"/>
  <c r="BS278" i="1"/>
  <c r="R2" i="1"/>
  <c r="M287" i="1"/>
  <c r="BL83" i="1"/>
  <c r="BL319" i="1" s="1"/>
  <c r="BL316" i="1" s="1"/>
  <c r="CB11" i="9"/>
  <c r="BO277" i="1"/>
  <c r="BO283" i="1" s="1"/>
  <c r="CO423" i="1"/>
  <c r="BJ83" i="1"/>
  <c r="BJ319" i="1" s="1"/>
  <c r="BJ316" i="1" s="1"/>
  <c r="BI81" i="1"/>
  <c r="BI83" i="1"/>
  <c r="BI319" i="1" s="1"/>
  <c r="BI316" i="1" s="1"/>
  <c r="BL304" i="1" l="1"/>
  <c r="BL317" i="1"/>
  <c r="BQ317" i="1"/>
  <c r="BJ317" i="1"/>
  <c r="BO317" i="1"/>
  <c r="BI304" i="1"/>
  <c r="BI317" i="1"/>
  <c r="BN317" i="1"/>
  <c r="BF228" i="1"/>
  <c r="BF304" i="1"/>
  <c r="BJ228" i="1"/>
  <c r="BJ304" i="1"/>
  <c r="BP316" i="1"/>
  <c r="BL228" i="1"/>
  <c r="BK316" i="1"/>
  <c r="BK317" i="1" s="1"/>
  <c r="BI228" i="1"/>
  <c r="R198" i="1"/>
  <c r="R4" i="1"/>
  <c r="BT278" i="1"/>
  <c r="W2" i="1"/>
  <c r="R287" i="1"/>
  <c r="BP277" i="1"/>
  <c r="BP283" i="1" s="1"/>
  <c r="CP423" i="1"/>
  <c r="BP317" i="1" l="1"/>
  <c r="BU317" i="1"/>
  <c r="BK228" i="1"/>
  <c r="BK304" i="1"/>
  <c r="BP228" i="1"/>
  <c r="BP304" i="1"/>
  <c r="W198" i="1"/>
  <c r="W4" i="1"/>
  <c r="BU278" i="1"/>
  <c r="AB2" i="1"/>
  <c r="W287" i="1"/>
  <c r="BQ278" i="1"/>
  <c r="CE11" i="9"/>
  <c r="CQ423" i="1"/>
  <c r="AB198" i="1" l="1"/>
  <c r="AB4" i="1"/>
  <c r="AG2" i="1"/>
  <c r="AB287" i="1"/>
  <c r="CR423" i="1"/>
  <c r="CS423" i="1" s="1"/>
  <c r="CT423" i="1" s="1"/>
  <c r="AG198" i="1" l="1"/>
  <c r="AG4" i="1"/>
  <c r="AL2" i="1"/>
  <c r="AG287" i="1"/>
  <c r="BD49" i="7"/>
  <c r="BD39" i="7"/>
  <c r="BD37" i="7"/>
  <c r="BM285" i="1"/>
  <c r="BM451" i="1"/>
  <c r="BR452" i="1" s="1"/>
  <c r="BR201" i="1"/>
  <c r="AL198" i="1" l="1"/>
  <c r="AL4" i="1"/>
  <c r="AQ2" i="1"/>
  <c r="AL287" i="1"/>
  <c r="CA3" i="9"/>
  <c r="BR159" i="1"/>
  <c r="BD51" i="7"/>
  <c r="BR209" i="1"/>
  <c r="BD41" i="7"/>
  <c r="BN94" i="1"/>
  <c r="BD38" i="7"/>
  <c r="BM53" i="1"/>
  <c r="BM174" i="1"/>
  <c r="BR175" i="1" s="1"/>
  <c r="BD50" i="7"/>
  <c r="BN61" i="1" l="1"/>
  <c r="BM42" i="1"/>
  <c r="AQ198" i="1"/>
  <c r="AQ4" i="1"/>
  <c r="AV2" i="1"/>
  <c r="AQ287" i="1"/>
  <c r="BN163" i="1"/>
  <c r="BR162" i="1"/>
  <c r="BN97" i="1"/>
  <c r="BN95" i="1"/>
  <c r="BD57" i="7"/>
  <c r="BL285" i="1"/>
  <c r="BL451" i="1"/>
  <c r="BQ452" i="1" s="1"/>
  <c r="BP200" i="1"/>
  <c r="BP208" i="1"/>
  <c r="BP158" i="1"/>
  <c r="BP161" i="1" s="1"/>
  <c r="BC49" i="7"/>
  <c r="BC39" i="7"/>
  <c r="BC37" i="7"/>
  <c r="AV198" i="1" l="1"/>
  <c r="AV4" i="1"/>
  <c r="BU201" i="1"/>
  <c r="CY40" i="7"/>
  <c r="BU159" i="1"/>
  <c r="BU209" i="1"/>
  <c r="CY51" i="7"/>
  <c r="BA2" i="1"/>
  <c r="AV287" i="1"/>
  <c r="BQ409" i="1"/>
  <c r="BQ397" i="1"/>
  <c r="CY57" i="7"/>
  <c r="BQ392" i="1"/>
  <c r="CD6" i="9"/>
  <c r="BQ201" i="1"/>
  <c r="BQ220" i="1"/>
  <c r="BQ159" i="1"/>
  <c r="BQ405" i="1"/>
  <c r="BQ402" i="1"/>
  <c r="BQ429" i="1"/>
  <c r="BC51" i="7"/>
  <c r="BQ209" i="1"/>
  <c r="BN203" i="1"/>
  <c r="BC38" i="7"/>
  <c r="BC41" i="7"/>
  <c r="BM94" i="1"/>
  <c r="BC33" i="7"/>
  <c r="BL174" i="1"/>
  <c r="BQ175" i="1" s="1"/>
  <c r="BC50" i="7"/>
  <c r="BL53" i="1"/>
  <c r="BC35" i="7"/>
  <c r="BM61" i="1" l="1"/>
  <c r="BL42" i="1"/>
  <c r="BA198" i="1"/>
  <c r="BA4" i="1"/>
  <c r="BU137" i="1"/>
  <c r="CY38" i="7"/>
  <c r="BF2" i="1"/>
  <c r="BA287" i="1"/>
  <c r="BM163" i="1"/>
  <c r="BN205" i="1"/>
  <c r="BM97" i="1"/>
  <c r="BM203" i="1" s="1"/>
  <c r="BM95" i="1"/>
  <c r="BC57" i="7"/>
  <c r="BF198" i="1" l="1"/>
  <c r="BF4" i="1"/>
  <c r="BK2" i="1"/>
  <c r="BF287" i="1"/>
  <c r="BM205" i="1"/>
  <c r="BZ3" i="9"/>
  <c r="BZ13" i="9"/>
  <c r="BZ11" i="9"/>
  <c r="BZ10" i="9"/>
  <c r="BZ8" i="9"/>
  <c r="BK198" i="1" l="1"/>
  <c r="BK4" i="1"/>
  <c r="BP2" i="1"/>
  <c r="BK287" i="1"/>
  <c r="BZ14" i="9"/>
  <c r="O198" i="2"/>
  <c r="O197" i="2"/>
  <c r="C343" i="2"/>
  <c r="D343" i="2"/>
  <c r="E343" i="2"/>
  <c r="F343" i="2"/>
  <c r="G343" i="2"/>
  <c r="H343" i="2"/>
  <c r="I343" i="2"/>
  <c r="J343" i="2"/>
  <c r="K343" i="2"/>
  <c r="O336" i="2"/>
  <c r="P191" i="2"/>
  <c r="G336" i="2"/>
  <c r="F336" i="2"/>
  <c r="E336" i="2"/>
  <c r="D336" i="2"/>
  <c r="C336" i="2"/>
  <c r="O23" i="2"/>
  <c r="V17" i="2"/>
  <c r="W17" i="2" s="1"/>
  <c r="X17" i="2" s="1"/>
  <c r="Y17" i="2" s="1"/>
  <c r="Z17" i="2" s="1"/>
  <c r="AA17" i="2" s="1"/>
  <c r="N276" i="2"/>
  <c r="O276" i="2"/>
  <c r="O158" i="2"/>
  <c r="O263" i="2"/>
  <c r="O244" i="2"/>
  <c r="BK264" i="1"/>
  <c r="BK451" i="1"/>
  <c r="BP452" i="1" s="1"/>
  <c r="BK453" i="1"/>
  <c r="BP454" i="1" s="1"/>
  <c r="BU54" i="1"/>
  <c r="BP54" i="1"/>
  <c r="BK54" i="1"/>
  <c r="BG285" i="1"/>
  <c r="BO278" i="1"/>
  <c r="BJ451" i="1"/>
  <c r="BO452" i="1" s="1"/>
  <c r="BO201" i="1"/>
  <c r="BO137" i="1"/>
  <c r="BX13" i="9"/>
  <c r="O200" i="2" l="1"/>
  <c r="BP198" i="1"/>
  <c r="BP4" i="1"/>
  <c r="P246" i="2"/>
  <c r="BU2" i="1"/>
  <c r="BU4" i="1" s="1"/>
  <c r="BP287" i="1"/>
  <c r="BO159" i="1"/>
  <c r="BB50" i="7"/>
  <c r="BO209" i="1"/>
  <c r="BX11" i="9"/>
  <c r="O26" i="2"/>
  <c r="O173" i="2" s="1"/>
  <c r="BF172" i="1"/>
  <c r="CW46" i="7" s="1"/>
  <c r="BB62" i="7"/>
  <c r="BX8" i="9"/>
  <c r="BK96" i="1"/>
  <c r="H16" i="18" s="1"/>
  <c r="BX3" i="9"/>
  <c r="BB33" i="7"/>
  <c r="BB51" i="7"/>
  <c r="BB41" i="7"/>
  <c r="BB38" i="7"/>
  <c r="BJ393" i="1"/>
  <c r="BJ174" i="1"/>
  <c r="BB57" i="7"/>
  <c r="O203" i="2" l="1"/>
  <c r="X7" i="3" s="1"/>
  <c r="H35" i="18"/>
  <c r="H44" i="18"/>
  <c r="H49" i="18"/>
  <c r="CX41" i="7"/>
  <c r="BK165" i="1"/>
  <c r="BZ2" i="1"/>
  <c r="BU198" i="1"/>
  <c r="BX14" i="9"/>
  <c r="BU287" i="1"/>
  <c r="BP94" i="1"/>
  <c r="BL94" i="1"/>
  <c r="BZ4" i="1" l="1"/>
  <c r="CE2" i="1"/>
  <c r="CJ2" i="1" s="1"/>
  <c r="BZ287" i="1"/>
  <c r="BZ198" i="1"/>
  <c r="BL95" i="1"/>
  <c r="BL97" i="1"/>
  <c r="BL203" i="1" s="1"/>
  <c r="BH282" i="1"/>
  <c r="BI282" i="1" s="1"/>
  <c r="BI285" i="1" s="1"/>
  <c r="CE198" i="1" l="1"/>
  <c r="CE287" i="1"/>
  <c r="CE4" i="1"/>
  <c r="CE86" i="1" s="1"/>
  <c r="CJ4" i="1"/>
  <c r="BL205" i="1"/>
  <c r="BJ282" i="1"/>
  <c r="BJ285" i="1" s="1"/>
  <c r="BH285" i="1"/>
  <c r="CJ337" i="1" l="1"/>
  <c r="CJ93" i="1"/>
  <c r="CJ86" i="1"/>
  <c r="CJ79" i="1"/>
  <c r="CE417" i="1"/>
  <c r="CE93" i="1"/>
  <c r="CE46" i="1"/>
  <c r="CE157" i="1"/>
  <c r="CE458" i="1"/>
  <c r="CE73" i="1"/>
  <c r="CE123" i="1"/>
  <c r="CE113" i="1"/>
  <c r="CE79" i="1"/>
  <c r="CE337" i="1"/>
  <c r="CE446" i="1"/>
  <c r="CE101" i="1"/>
  <c r="CE131" i="1"/>
  <c r="CE39" i="1"/>
  <c r="CE178" i="1"/>
  <c r="CE378" i="1"/>
  <c r="K91" i="4"/>
  <c r="CJ198" i="1"/>
  <c r="CO2" i="1"/>
  <c r="CO4" i="1" s="1"/>
  <c r="CJ287" i="1"/>
  <c r="BK282" i="1"/>
  <c r="F70" i="10"/>
  <c r="F69" i="10"/>
  <c r="F68" i="10"/>
  <c r="F67" i="10"/>
  <c r="G40" i="10"/>
  <c r="G38" i="10"/>
  <c r="G37" i="10"/>
  <c r="G36" i="10"/>
  <c r="M16" i="10"/>
  <c r="L16" i="10"/>
  <c r="K16" i="10"/>
  <c r="J16" i="10"/>
  <c r="I16" i="10"/>
  <c r="H16" i="10"/>
  <c r="G16" i="10"/>
  <c r="F16" i="10"/>
  <c r="E16" i="10"/>
  <c r="D16" i="10"/>
  <c r="C16" i="10"/>
  <c r="B16" i="10"/>
  <c r="CJ16" i="1" a="1"/>
  <c r="CJ31" i="1" a="1"/>
  <c r="CJ8" i="1" a="1"/>
  <c r="CJ16" i="1" l="1"/>
  <c r="CJ8" i="1"/>
  <c r="CO198" i="1"/>
  <c r="V2" i="2"/>
  <c r="CJ31" i="1"/>
  <c r="BK285" i="1"/>
  <c r="G73" i="4"/>
  <c r="CP2" i="1"/>
  <c r="CO287" i="1"/>
  <c r="G39" i="10"/>
  <c r="CO24" i="1" a="1"/>
  <c r="CO16" i="1" a="1"/>
  <c r="CO31" i="1" a="1"/>
  <c r="CP8" i="1" a="1"/>
  <c r="CO8" i="1" a="1"/>
  <c r="CP8" i="1" l="1"/>
  <c r="L91" i="4"/>
  <c r="CJ18" i="1"/>
  <c r="L95" i="4"/>
  <c r="CJ33" i="1"/>
  <c r="L99" i="4" s="1"/>
  <c r="CP4" i="1"/>
  <c r="V4" i="2"/>
  <c r="V231" i="2"/>
  <c r="V209" i="2"/>
  <c r="V215" i="2"/>
  <c r="CO16" i="1"/>
  <c r="CO8" i="1"/>
  <c r="CO24" i="1"/>
  <c r="W2" i="2"/>
  <c r="CP198" i="1"/>
  <c r="CO31" i="1"/>
  <c r="CQ2" i="1"/>
  <c r="CQ4" i="1" s="1"/>
  <c r="CP287" i="1"/>
  <c r="AG133" i="3"/>
  <c r="AF133" i="3"/>
  <c r="AE133" i="3"/>
  <c r="AD133" i="3"/>
  <c r="AC133" i="3"/>
  <c r="CP24" i="1" a="1"/>
  <c r="CP31" i="1" a="1"/>
  <c r="CP16" i="1" a="1"/>
  <c r="L103" i="4" l="1"/>
  <c r="CO33" i="1"/>
  <c r="M99" i="4" s="1"/>
  <c r="CO10" i="1"/>
  <c r="CV16" i="1"/>
  <c r="CO18" i="1"/>
  <c r="CP10" i="1"/>
  <c r="W4" i="2"/>
  <c r="W231" i="2"/>
  <c r="W209" i="2"/>
  <c r="W215" i="2"/>
  <c r="CP16" i="1"/>
  <c r="CP24" i="1"/>
  <c r="CP25" i="1" s="1"/>
  <c r="CP31" i="1"/>
  <c r="X2" i="2"/>
  <c r="CQ198" i="1"/>
  <c r="M91" i="4"/>
  <c r="M95" i="4"/>
  <c r="CR2" i="1"/>
  <c r="CR4" i="1" s="1"/>
  <c r="CQ287" i="1"/>
  <c r="CQ31" i="1" a="1"/>
  <c r="CQ24" i="1" a="1"/>
  <c r="CQ16" i="1" a="1"/>
  <c r="CQ8" i="1" a="1"/>
  <c r="N95" i="4" l="1"/>
  <c r="CP33" i="1"/>
  <c r="N99" i="4" s="1"/>
  <c r="CP18" i="1"/>
  <c r="X4" i="2"/>
  <c r="X209" i="2"/>
  <c r="X215" i="2"/>
  <c r="X231" i="2"/>
  <c r="CQ31" i="1"/>
  <c r="CQ8" i="1"/>
  <c r="CQ16" i="1"/>
  <c r="CQ24" i="1"/>
  <c r="CQ25" i="1" s="1"/>
  <c r="CR198" i="1"/>
  <c r="CS2" i="1"/>
  <c r="CS4" i="1" s="1"/>
  <c r="Y2" i="2"/>
  <c r="M103" i="4"/>
  <c r="N91" i="4"/>
  <c r="CR287" i="1"/>
  <c r="BA62" i="7"/>
  <c r="BN278" i="1"/>
  <c r="BN201" i="1"/>
  <c r="BN209" i="1"/>
  <c r="BN137" i="1"/>
  <c r="BN98" i="1"/>
  <c r="CR24" i="1" a="1"/>
  <c r="CR31" i="1" a="1"/>
  <c r="CR8" i="1" a="1"/>
  <c r="CR16" i="1" a="1"/>
  <c r="N103" i="4" l="1"/>
  <c r="CQ18" i="1"/>
  <c r="CQ10" i="1"/>
  <c r="O95" i="4"/>
  <c r="CQ33" i="1"/>
  <c r="O99" i="4" s="1"/>
  <c r="Y4" i="2"/>
  <c r="Y215" i="2"/>
  <c r="Y209" i="2"/>
  <c r="Y231" i="2"/>
  <c r="CR16" i="1"/>
  <c r="CR8" i="1"/>
  <c r="CR24" i="1"/>
  <c r="CR25" i="1" s="1"/>
  <c r="Z2" i="2"/>
  <c r="CS198" i="1"/>
  <c r="CS287" i="1"/>
  <c r="CT2" i="1"/>
  <c r="CT4" i="1" s="1"/>
  <c r="O91" i="4"/>
  <c r="CR31" i="1"/>
  <c r="BW11" i="9"/>
  <c r="BW3" i="9"/>
  <c r="BW8" i="9"/>
  <c r="BA38" i="7"/>
  <c r="BA33" i="7"/>
  <c r="BA50" i="7"/>
  <c r="BA51" i="7"/>
  <c r="BA41" i="7"/>
  <c r="BI174" i="1"/>
  <c r="BN175" i="1" s="1"/>
  <c r="CS16" i="1" a="1"/>
  <c r="CS8" i="1" a="1"/>
  <c r="CS24" i="1" a="1"/>
  <c r="CS31" i="1" a="1"/>
  <c r="O103" i="4" l="1"/>
  <c r="CR10" i="1"/>
  <c r="CR33" i="1"/>
  <c r="P99" i="4" s="1"/>
  <c r="P91" i="4"/>
  <c r="CR18" i="1"/>
  <c r="Z4" i="2"/>
  <c r="Z209" i="2"/>
  <c r="Z215" i="2"/>
  <c r="Z231" i="2"/>
  <c r="CS8" i="1"/>
  <c r="CS24" i="1"/>
  <c r="CS25" i="1" s="1"/>
  <c r="CS16" i="1"/>
  <c r="CS31" i="1"/>
  <c r="AA2" i="2"/>
  <c r="CT198" i="1"/>
  <c r="CT287" i="1"/>
  <c r="P95" i="4"/>
  <c r="CT24" i="1" a="1"/>
  <c r="CT16" i="1" a="1"/>
  <c r="CT31" i="1" a="1"/>
  <c r="CT8" i="1" a="1"/>
  <c r="P103" i="4" l="1"/>
  <c r="Q95" i="4"/>
  <c r="CS33" i="1"/>
  <c r="Q99" i="4" s="1"/>
  <c r="CS18" i="1"/>
  <c r="CS10" i="1"/>
  <c r="AA4" i="2"/>
  <c r="AA209" i="2"/>
  <c r="AA215" i="2"/>
  <c r="AA231" i="2"/>
  <c r="CT16" i="1"/>
  <c r="CT31" i="1"/>
  <c r="Q91" i="4"/>
  <c r="CT24" i="1"/>
  <c r="CT25" i="1" s="1"/>
  <c r="CT8" i="1"/>
  <c r="AZ62" i="7"/>
  <c r="BH451" i="1"/>
  <c r="BM452" i="1" s="1"/>
  <c r="BM409" i="1"/>
  <c r="BM397" i="1"/>
  <c r="BM209" i="1"/>
  <c r="BV13" i="9"/>
  <c r="Q103" i="4" l="1"/>
  <c r="CT10" i="1"/>
  <c r="R95" i="4"/>
  <c r="CT33" i="1"/>
  <c r="R99" i="4" s="1"/>
  <c r="R91" i="4"/>
  <c r="CT18" i="1"/>
  <c r="BV11" i="9"/>
  <c r="BM405" i="1"/>
  <c r="BM402" i="1"/>
  <c r="BM392" i="1"/>
  <c r="BM201" i="1"/>
  <c r="BI94" i="1"/>
  <c r="BI95" i="1" s="1"/>
  <c r="BM98" i="1"/>
  <c r="BM220" i="1"/>
  <c r="BH174" i="1"/>
  <c r="BM175" i="1" s="1"/>
  <c r="AZ41" i="7"/>
  <c r="BV3" i="9"/>
  <c r="AZ51" i="7"/>
  <c r="AZ50" i="7"/>
  <c r="BH53" i="1"/>
  <c r="BH42" i="1" s="1"/>
  <c r="BH393" i="1"/>
  <c r="R103" i="4" l="1"/>
  <c r="BI97" i="1"/>
  <c r="AZ35" i="7"/>
  <c r="AY62" i="7"/>
  <c r="BI138" i="1" l="1"/>
  <c r="BI203" i="1"/>
  <c r="BN204" i="1" s="1"/>
  <c r="BF264" i="1"/>
  <c r="BI205" i="1" l="1"/>
  <c r="Q336" i="2"/>
  <c r="R336" i="2"/>
  <c r="T336" i="2"/>
  <c r="V336" i="2"/>
  <c r="W336" i="2"/>
  <c r="X336" i="2"/>
  <c r="Y336" i="2"/>
  <c r="N336" i="2"/>
  <c r="K158" i="2"/>
  <c r="K159" i="2" s="1"/>
  <c r="J158" i="2"/>
  <c r="I158" i="2"/>
  <c r="H158" i="2"/>
  <c r="G158" i="2"/>
  <c r="F158" i="2"/>
  <c r="E158" i="2"/>
  <c r="D158" i="2"/>
  <c r="C158" i="2"/>
  <c r="L34" i="2"/>
  <c r="M34" i="2"/>
  <c r="N198" i="2"/>
  <c r="N197" i="2"/>
  <c r="N263" i="2"/>
  <c r="N244" i="2"/>
  <c r="N200" i="2" l="1"/>
  <c r="N26" i="2"/>
  <c r="N173" i="2" s="1"/>
  <c r="BL402" i="1"/>
  <c r="BK216" i="1"/>
  <c r="BL209" i="1"/>
  <c r="BL159" i="1"/>
  <c r="BI451" i="1"/>
  <c r="BN452" i="1" s="1"/>
  <c r="BG451" i="1"/>
  <c r="BL452" i="1" s="1"/>
  <c r="AR453" i="1"/>
  <c r="BU13" i="9"/>
  <c r="N203" i="2" l="1"/>
  <c r="W7" i="3" s="1"/>
  <c r="G49" i="18"/>
  <c r="G35" i="18"/>
  <c r="G44" i="18"/>
  <c r="BL278" i="1"/>
  <c r="BL201" i="1"/>
  <c r="BL137" i="1"/>
  <c r="BL429" i="1"/>
  <c r="BH94" i="1"/>
  <c r="BH97" i="1" s="1"/>
  <c r="BL98" i="1"/>
  <c r="BL220" i="1"/>
  <c r="BL397" i="1"/>
  <c r="BL392" i="1"/>
  <c r="BL405" i="1"/>
  <c r="BL409" i="1"/>
  <c r="BK208" i="1"/>
  <c r="BK200" i="1"/>
  <c r="BP201" i="1" s="1"/>
  <c r="AY38" i="7"/>
  <c r="BU11" i="9"/>
  <c r="BK277" i="1"/>
  <c r="BK283" i="1" s="1"/>
  <c r="BU3" i="9"/>
  <c r="AY41" i="7"/>
  <c r="BU8" i="9"/>
  <c r="AY33" i="7"/>
  <c r="AY51" i="7"/>
  <c r="AY50" i="7"/>
  <c r="BG393" i="1"/>
  <c r="BG174" i="1"/>
  <c r="BL175" i="1" s="1"/>
  <c r="BL162" i="1"/>
  <c r="BG53" i="1"/>
  <c r="BG42" i="1" s="1"/>
  <c r="H61" i="18" l="1"/>
  <c r="BP278" i="1"/>
  <c r="BU14" i="9"/>
  <c r="BP209" i="1"/>
  <c r="CX51" i="7"/>
  <c r="BH138" i="1"/>
  <c r="BH95" i="1"/>
  <c r="BH61" i="1"/>
  <c r="AY35" i="7"/>
  <c r="AY57" i="7"/>
  <c r="BU10" i="9"/>
  <c r="DA38" i="7" l="1"/>
  <c r="BJ429" i="1" l="1"/>
  <c r="BJ209" i="1"/>
  <c r="BJ159" i="1"/>
  <c r="BE171" i="1" l="1"/>
  <c r="BF171" i="1" s="1"/>
  <c r="CW45" i="7" s="1"/>
  <c r="BJ98" i="1"/>
  <c r="BF96" i="1"/>
  <c r="G16" i="18" s="1"/>
  <c r="BI429" i="1"/>
  <c r="BD451" i="1"/>
  <c r="BI452" i="1" s="1"/>
  <c r="BI209" i="1"/>
  <c r="CW41" i="7" l="1"/>
  <c r="BF165" i="1"/>
  <c r="BI137" i="1"/>
  <c r="BK98" i="1"/>
  <c r="BI98" i="1"/>
  <c r="BK94" i="1"/>
  <c r="BK95" i="1" s="1"/>
  <c r="BK97" i="1"/>
  <c r="BD171" i="1"/>
  <c r="BG94" i="1"/>
  <c r="BD53" i="1"/>
  <c r="BD42" i="1" s="1"/>
  <c r="AX62" i="7" l="1"/>
  <c r="AW62" i="7"/>
  <c r="AV62" i="7"/>
  <c r="BC451" i="1" l="1"/>
  <c r="BH452" i="1" s="1"/>
  <c r="BH98" i="1" l="1"/>
  <c r="BC53" i="1"/>
  <c r="BC42" i="1" s="1"/>
  <c r="BD94" i="1"/>
  <c r="BC171" i="1"/>
  <c r="BD61" i="1" l="1"/>
  <c r="BD95" i="1"/>
  <c r="BD97" i="1"/>
  <c r="BD203" i="1" l="1"/>
  <c r="BR8" i="9"/>
  <c r="BI204" i="1" l="1"/>
  <c r="AB133" i="3"/>
  <c r="AU62" i="7" l="1"/>
  <c r="BG209" i="1" l="1"/>
  <c r="AU51" i="7"/>
  <c r="AU50" i="7"/>
  <c r="AX46" i="7"/>
  <c r="AW46" i="7"/>
  <c r="AV46" i="7"/>
  <c r="AU46" i="7"/>
  <c r="AX45" i="7"/>
  <c r="AW45" i="7"/>
  <c r="BE451" i="1"/>
  <c r="BJ452" i="1" s="1"/>
  <c r="BB451" i="1"/>
  <c r="BG452" i="1" s="1"/>
  <c r="BB209" i="1"/>
  <c r="AW51" i="7"/>
  <c r="AV38" i="7"/>
  <c r="BS3" i="9"/>
  <c r="BS13" i="9"/>
  <c r="BP13" i="9"/>
  <c r="BS11" i="9" l="1"/>
  <c r="BJ278" i="1"/>
  <c r="BG278" i="1"/>
  <c r="BG429" i="1"/>
  <c r="BG98" i="1"/>
  <c r="BP9" i="9"/>
  <c r="BP11" i="9"/>
  <c r="BG397" i="1"/>
  <c r="BG409" i="1"/>
  <c r="BG392" i="1"/>
  <c r="BG405" i="1"/>
  <c r="BG137" i="1"/>
  <c r="BG162" i="1"/>
  <c r="BG159" i="1"/>
  <c r="BC94" i="1"/>
  <c r="BC95" i="1" s="1"/>
  <c r="AV41" i="7"/>
  <c r="BQ3" i="9"/>
  <c r="BR3" i="9"/>
  <c r="AU33" i="7"/>
  <c r="BP8" i="9"/>
  <c r="BP3" i="9"/>
  <c r="AU38" i="7"/>
  <c r="AW50" i="7"/>
  <c r="AV45" i="7"/>
  <c r="BB53" i="1"/>
  <c r="BB42" i="1" s="1"/>
  <c r="AU41" i="7"/>
  <c r="BE94" i="1"/>
  <c r="BE97" i="1" s="1"/>
  <c r="BE203" i="1" s="1"/>
  <c r="BB171" i="1"/>
  <c r="AU45" i="7" s="1"/>
  <c r="AW33" i="7"/>
  <c r="AW38" i="7"/>
  <c r="AW41" i="7"/>
  <c r="BB35" i="1"/>
  <c r="AU12" i="7" s="1"/>
  <c r="BE53" i="1"/>
  <c r="BE42" i="1" s="1"/>
  <c r="AX41" i="7"/>
  <c r="BB464" i="1"/>
  <c r="BB393" i="1"/>
  <c r="BP14" i="9" l="1"/>
  <c r="CW38" i="7"/>
  <c r="BT6" i="9"/>
  <c r="BP10" i="9"/>
  <c r="BC61" i="1"/>
  <c r="AU35" i="7"/>
  <c r="BF53" i="1"/>
  <c r="BE61" i="1"/>
  <c r="AX35" i="7"/>
  <c r="BC97" i="1"/>
  <c r="AU57" i="7"/>
  <c r="BE95" i="1"/>
  <c r="BG61" i="1" l="1"/>
  <c r="BC203" i="1"/>
  <c r="N191" i="2" l="1"/>
  <c r="AT46" i="7"/>
  <c r="M323" i="2" l="1"/>
  <c r="M198" i="2"/>
  <c r="M197" i="2"/>
  <c r="M263" i="2"/>
  <c r="M276" i="2"/>
  <c r="M244" i="2"/>
  <c r="M200" i="2" l="1"/>
  <c r="AT44" i="7"/>
  <c r="BA165" i="1"/>
  <c r="CV44" i="7" s="1"/>
  <c r="M203" i="2" l="1"/>
  <c r="M206" i="2" s="1"/>
  <c r="M205" i="2"/>
  <c r="AS46" i="7"/>
  <c r="V7" i="3" l="1"/>
  <c r="AX265" i="1"/>
  <c r="AX264" i="1"/>
  <c r="AR174" i="1"/>
  <c r="BD209" i="1"/>
  <c r="BD98" i="1"/>
  <c r="AY171" i="1" l="1"/>
  <c r="AS45" i="7" s="1"/>
  <c r="AS41" i="7"/>
  <c r="AY264" i="1"/>
  <c r="AZ264" i="1" s="1"/>
  <c r="BA264" i="1" s="1"/>
  <c r="AY265" i="1"/>
  <c r="AZ265" i="1" s="1"/>
  <c r="AW174" i="1"/>
  <c r="AS51" i="7"/>
  <c r="AS50" i="7"/>
  <c r="AS44" i="7"/>
  <c r="AY167" i="1"/>
  <c r="AY53" i="1"/>
  <c r="AY42" i="1" s="1"/>
  <c r="BA265" i="1" l="1"/>
  <c r="CJ103" i="1" l="1"/>
  <c r="CO103" i="1" s="1"/>
  <c r="CP103" i="1" s="1"/>
  <c r="CQ103" i="1" s="1"/>
  <c r="CR103" i="1" s="1"/>
  <c r="CS103" i="1" s="1"/>
  <c r="CT103" i="1" s="1"/>
  <c r="CJ151" i="1"/>
  <c r="CO151" i="1" s="1"/>
  <c r="CP151" i="1" s="1"/>
  <c r="CQ151" i="1" s="1"/>
  <c r="CR151" i="1" s="1"/>
  <c r="CS151" i="1" s="1"/>
  <c r="AY98" i="1"/>
  <c r="AZ94" i="1"/>
  <c r="CT151" i="1" l="1"/>
  <c r="BA492" i="1"/>
  <c r="BA495" i="1"/>
  <c r="CJ117" i="1" l="1"/>
  <c r="CO117" i="1" s="1"/>
  <c r="CP117" i="1" s="1"/>
  <c r="CQ117" i="1" s="1"/>
  <c r="CR117" i="1" s="1"/>
  <c r="CS117" i="1" s="1"/>
  <c r="CT117" i="1" s="1"/>
  <c r="AC114" i="1"/>
  <c r="AD114" i="1"/>
  <c r="AE114" i="1"/>
  <c r="AF114" i="1"/>
  <c r="AG114" i="1"/>
  <c r="AH114" i="1"/>
  <c r="AI114" i="1"/>
  <c r="AI119" i="1" s="1"/>
  <c r="AJ114" i="1"/>
  <c r="AJ119" i="1" s="1"/>
  <c r="AK114" i="1"/>
  <c r="AK119" i="1" s="1"/>
  <c r="AC115" i="1"/>
  <c r="AD115" i="1"/>
  <c r="AE115" i="1"/>
  <c r="AF115" i="1"/>
  <c r="AG115" i="1"/>
  <c r="AH115" i="1"/>
  <c r="AI115" i="1"/>
  <c r="AJ115" i="1"/>
  <c r="AK115" i="1"/>
  <c r="AM115" i="1"/>
  <c r="AN115" i="1"/>
  <c r="AO115" i="1"/>
  <c r="AP115" i="1"/>
  <c r="AQ115" i="1"/>
  <c r="AR115" i="1"/>
  <c r="AV115" i="1"/>
  <c r="AL115" i="1"/>
  <c r="AR114" i="1"/>
  <c r="AR119" i="1" s="1"/>
  <c r="AL114" i="1"/>
  <c r="AL119" i="1" s="1"/>
  <c r="AM114" i="1"/>
  <c r="AM119" i="1" s="1"/>
  <c r="AN114" i="1"/>
  <c r="AN119" i="1" s="1"/>
  <c r="AO114" i="1"/>
  <c r="AO119" i="1" s="1"/>
  <c r="AP114" i="1"/>
  <c r="AP119" i="1" s="1"/>
  <c r="AQ114" i="1"/>
  <c r="AQ119" i="1" s="1"/>
  <c r="AK116" i="1" l="1"/>
  <c r="AJ116" i="1"/>
  <c r="AF116" i="1"/>
  <c r="AG116" i="1"/>
  <c r="AC116" i="1"/>
  <c r="AO116" i="1"/>
  <c r="AD116" i="1"/>
  <c r="AQ116" i="1"/>
  <c r="AH116" i="1"/>
  <c r="AL116" i="1"/>
  <c r="AR116" i="1"/>
  <c r="AN116" i="1"/>
  <c r="AI116" i="1"/>
  <c r="AE116" i="1"/>
  <c r="AM116" i="1"/>
  <c r="AP116" i="1"/>
  <c r="AK117" i="1" l="1"/>
  <c r="AO117" i="1"/>
  <c r="AJ117" i="1"/>
  <c r="AN117" i="1"/>
  <c r="AH117" i="1"/>
  <c r="AG117" i="1"/>
  <c r="AM117" i="1"/>
  <c r="AP117" i="1"/>
  <c r="AL117" i="1"/>
  <c r="AI117" i="1"/>
  <c r="AR117" i="1"/>
  <c r="AQ117" i="1"/>
  <c r="AX208" i="1" l="1"/>
  <c r="BC98" i="1"/>
  <c r="AX451" i="1"/>
  <c r="BC452" i="1" s="1"/>
  <c r="AX209" i="1" l="1"/>
  <c r="AX171" i="1"/>
  <c r="AY94" i="1"/>
  <c r="AX166" i="1"/>
  <c r="AX98" i="1"/>
  <c r="AX53" i="1"/>
  <c r="AX42" i="1" s="1"/>
  <c r="AX167" i="1"/>
  <c r="AY97" i="1" l="1"/>
  <c r="AY95" i="1"/>
  <c r="AR41" i="7" l="1"/>
  <c r="AR44" i="7"/>
  <c r="AR45" i="7"/>
  <c r="AR46" i="7"/>
  <c r="AR50" i="7"/>
  <c r="AR51" i="7"/>
  <c r="BL3" i="9" l="1"/>
  <c r="BM3" i="9"/>
  <c r="F14" i="8" l="1"/>
  <c r="D14" i="8"/>
  <c r="E13" i="8"/>
  <c r="D13" i="8"/>
  <c r="F9" i="8"/>
  <c r="D9" i="8"/>
  <c r="E8" i="8"/>
  <c r="D8" i="8"/>
  <c r="E3" i="8"/>
  <c r="D3" i="8"/>
  <c r="C3" i="8"/>
  <c r="B3" i="8"/>
  <c r="DG393" i="1" l="1"/>
  <c r="DH393" i="1" s="1"/>
  <c r="DI393" i="1" s="1"/>
  <c r="DJ393" i="1" s="1"/>
  <c r="DK393" i="1" s="1"/>
  <c r="T371" i="2" l="1"/>
  <c r="V371" i="2"/>
  <c r="W371" i="2"/>
  <c r="X371" i="2"/>
  <c r="Y371" i="2"/>
  <c r="T409" i="2"/>
  <c r="V409" i="2"/>
  <c r="W409" i="2"/>
  <c r="X409" i="2"/>
  <c r="Y409" i="2"/>
  <c r="Z410" i="2" s="1"/>
  <c r="CO343" i="1"/>
  <c r="CP343" i="1"/>
  <c r="CQ343" i="1"/>
  <c r="CR343" i="1"/>
  <c r="CO345" i="1"/>
  <c r="CP345" i="1"/>
  <c r="CQ345" i="1"/>
  <c r="CR345" i="1"/>
  <c r="CO346" i="1"/>
  <c r="CP346" i="1"/>
  <c r="CQ346" i="1"/>
  <c r="CR346" i="1"/>
  <c r="CO362" i="1"/>
  <c r="CP362" i="1"/>
  <c r="CQ362" i="1"/>
  <c r="CR362" i="1"/>
  <c r="CJ451" i="1"/>
  <c r="CO451" i="1"/>
  <c r="CP451" i="1"/>
  <c r="CQ451" i="1"/>
  <c r="CR451" i="1"/>
  <c r="CS452" i="1" s="1"/>
  <c r="CJ453" i="1"/>
  <c r="CO453" i="1"/>
  <c r="CP453" i="1"/>
  <c r="CQ453" i="1"/>
  <c r="CR453" i="1"/>
  <c r="CS454" i="1" s="1"/>
  <c r="T410" i="2" l="1"/>
  <c r="CJ454" i="1"/>
  <c r="CP452" i="1"/>
  <c r="Y410" i="2"/>
  <c r="V410" i="2"/>
  <c r="CO452" i="1"/>
  <c r="X410" i="2"/>
  <c r="W410" i="2"/>
  <c r="CP454" i="1"/>
  <c r="CO454" i="1"/>
  <c r="CQ452" i="1"/>
  <c r="CR452" i="1"/>
  <c r="CJ452" i="1"/>
  <c r="CQ454" i="1"/>
  <c r="CR454" i="1"/>
  <c r="AF264" i="1" l="1"/>
  <c r="AG264" i="1" s="1"/>
  <c r="AE265" i="1"/>
  <c r="AI265" i="1"/>
  <c r="AI264" i="1"/>
  <c r="AN265" i="1"/>
  <c r="AS265" i="1"/>
  <c r="AT265" i="1" s="1"/>
  <c r="AN264" i="1"/>
  <c r="AS264" i="1"/>
  <c r="AU265" i="1" l="1"/>
  <c r="AV265" i="1" s="1"/>
  <c r="AO264" i="1"/>
  <c r="AP264" i="1" s="1"/>
  <c r="AO265" i="1"/>
  <c r="AJ264" i="1"/>
  <c r="AK264" i="1" s="1"/>
  <c r="AF265" i="1"/>
  <c r="AG265" i="1" s="1"/>
  <c r="AJ265" i="1"/>
  <c r="AT264" i="1"/>
  <c r="AU264" i="1" s="1"/>
  <c r="AL264" i="1" l="1"/>
  <c r="AP265" i="1"/>
  <c r="AV264" i="1"/>
  <c r="AK265" i="1"/>
  <c r="AQ264" i="1"/>
  <c r="L359" i="2" l="1"/>
  <c r="M359" i="2"/>
  <c r="AL265" i="1"/>
  <c r="AQ265" i="1"/>
  <c r="K359" i="2" s="1"/>
  <c r="J359" i="2" l="1"/>
  <c r="AY451" i="1" l="1"/>
  <c r="BD452" i="1" s="1"/>
  <c r="AZ451" i="1"/>
  <c r="BE452" i="1" s="1"/>
  <c r="AQ393" i="1"/>
  <c r="AR393" i="1"/>
  <c r="AS393" i="1"/>
  <c r="AT393" i="1"/>
  <c r="AV393" i="1"/>
  <c r="AY209" i="1"/>
  <c r="AW209" i="1" l="1"/>
  <c r="AW451" i="1" l="1"/>
  <c r="BB452" i="1" s="1"/>
  <c r="BB405" i="1"/>
  <c r="BB409" i="1"/>
  <c r="BB401" i="1"/>
  <c r="BB392" i="1"/>
  <c r="BB397" i="1"/>
  <c r="BB159" i="1"/>
  <c r="BB98" i="1"/>
  <c r="BB137" i="1" l="1"/>
  <c r="AX94" i="1"/>
  <c r="AX97" i="1" s="1"/>
  <c r="AW53" i="1"/>
  <c r="AW42" i="1" s="1"/>
  <c r="BB162" i="1"/>
  <c r="AW392" i="1"/>
  <c r="AW405" i="1"/>
  <c r="AW401" i="1"/>
  <c r="AW165" i="1"/>
  <c r="BK3" i="9"/>
  <c r="AW137" i="1"/>
  <c r="BK13" i="9"/>
  <c r="BK9" i="9"/>
  <c r="AW393" i="1"/>
  <c r="AW409" i="1"/>
  <c r="AW225" i="1"/>
  <c r="AW397" i="1"/>
  <c r="AW35" i="1"/>
  <c r="AW98" i="1"/>
  <c r="AW159" i="1"/>
  <c r="AW171" i="1"/>
  <c r="AW419" i="1" l="1"/>
  <c r="BB412" i="1"/>
  <c r="AQ31" i="7"/>
  <c r="AQ32" i="7"/>
  <c r="AQ30" i="7"/>
  <c r="AX95" i="1"/>
  <c r="AW166" i="1"/>
  <c r="AW447" i="1"/>
  <c r="BK7" i="9"/>
  <c r="AP136" i="1"/>
  <c r="BD6" i="9" s="1"/>
  <c r="AW455" i="1" l="1"/>
  <c r="AQ57" i="7"/>
  <c r="AQ51" i="7"/>
  <c r="AQ48" i="7" s="1"/>
  <c r="AQ50" i="7"/>
  <c r="AQ47" i="7" s="1"/>
  <c r="AQ46" i="7"/>
  <c r="AQ45" i="7"/>
  <c r="AQ44" i="7"/>
  <c r="AQ41" i="7"/>
  <c r="AQ38" i="7"/>
  <c r="AQ12" i="7"/>
  <c r="AQ35" i="7"/>
  <c r="AW421" i="1" l="1"/>
  <c r="AW459" i="1"/>
  <c r="AW425" i="1" l="1"/>
  <c r="AP35" i="1"/>
  <c r="L3" i="3" l="1"/>
  <c r="T251" i="3"/>
  <c r="T250" i="3"/>
  <c r="T51" i="3"/>
  <c r="T22" i="3"/>
  <c r="H51" i="11" s="1"/>
  <c r="BF509" i="1" l="1"/>
  <c r="BA509" i="1"/>
  <c r="BF508" i="1"/>
  <c r="BA508" i="1"/>
  <c r="BF507" i="1"/>
  <c r="BA507" i="1"/>
  <c r="I359" i="2" l="1"/>
  <c r="H359" i="2"/>
  <c r="G359" i="2"/>
  <c r="F359" i="2"/>
  <c r="E359" i="2"/>
  <c r="D359" i="2"/>
  <c r="C359" i="2"/>
  <c r="L358" i="2"/>
  <c r="K358" i="2"/>
  <c r="J358" i="2"/>
  <c r="I358" i="2"/>
  <c r="H358" i="2"/>
  <c r="G358" i="2"/>
  <c r="F358" i="2"/>
  <c r="E358" i="2"/>
  <c r="D358" i="2"/>
  <c r="C358" i="2"/>
  <c r="AT165" i="1" l="1"/>
  <c r="AY166" i="1" s="1"/>
  <c r="AQ165" i="1"/>
  <c r="CT44" i="7" s="1"/>
  <c r="O191" i="2" l="1"/>
  <c r="AU136" i="1"/>
  <c r="BI6" i="9" s="1"/>
  <c r="AP46" i="7"/>
  <c r="AP38" i="7" l="1"/>
  <c r="AU137" i="1"/>
  <c r="CJ150" i="1"/>
  <c r="CO150" i="1" s="1"/>
  <c r="CP150" i="1" s="1"/>
  <c r="CQ150" i="1" s="1"/>
  <c r="CR150" i="1" s="1"/>
  <c r="CS150" i="1" s="1"/>
  <c r="K24" i="2"/>
  <c r="K284" i="2"/>
  <c r="L284" i="2"/>
  <c r="K276" i="2"/>
  <c r="L197" i="2"/>
  <c r="K197" i="2"/>
  <c r="K198" i="2"/>
  <c r="L198" i="2"/>
  <c r="K34" i="2"/>
  <c r="AU263" i="1"/>
  <c r="L39" i="2"/>
  <c r="K39" i="2"/>
  <c r="L28" i="2"/>
  <c r="K28" i="2"/>
  <c r="L276" i="2"/>
  <c r="K263" i="2"/>
  <c r="K244" i="2"/>
  <c r="L140" i="2"/>
  <c r="L263" i="2"/>
  <c r="L244" i="2"/>
  <c r="AV409" i="1"/>
  <c r="AV405" i="1"/>
  <c r="AV401" i="1"/>
  <c r="AV392" i="1"/>
  <c r="AV397" i="1"/>
  <c r="AV200" i="1"/>
  <c r="AV174" i="1" s="1"/>
  <c r="AU208" i="1"/>
  <c r="AS225" i="1"/>
  <c r="AT225" i="1"/>
  <c r="AT419" i="1" s="1"/>
  <c r="AS209" i="1"/>
  <c r="AT209" i="1"/>
  <c r="N85" i="6"/>
  <c r="O85" i="6"/>
  <c r="J85" i="6"/>
  <c r="K85" i="6"/>
  <c r="L85" i="6"/>
  <c r="M85" i="6"/>
  <c r="F85" i="6"/>
  <c r="G85" i="6"/>
  <c r="H85" i="6"/>
  <c r="I85" i="6"/>
  <c r="E85" i="6"/>
  <c r="J102" i="6"/>
  <c r="K102" i="6"/>
  <c r="L102" i="6"/>
  <c r="M102" i="6"/>
  <c r="N102" i="6"/>
  <c r="O102" i="6"/>
  <c r="P102" i="6"/>
  <c r="Q102" i="6"/>
  <c r="R102" i="6"/>
  <c r="I102" i="6"/>
  <c r="B181" i="6"/>
  <c r="C181" i="6"/>
  <c r="D181" i="6"/>
  <c r="E181" i="6"/>
  <c r="G181" i="6"/>
  <c r="H181" i="6"/>
  <c r="I181" i="6"/>
  <c r="J181" i="6"/>
  <c r="K181" i="6"/>
  <c r="L181" i="6"/>
  <c r="M181" i="6"/>
  <c r="N181" i="6"/>
  <c r="O181" i="6"/>
  <c r="P181" i="6"/>
  <c r="Q181" i="6"/>
  <c r="F181" i="6"/>
  <c r="F174" i="6"/>
  <c r="C193" i="2"/>
  <c r="C60" i="2" s="1"/>
  <c r="C386" i="2" s="1"/>
  <c r="L80" i="3" s="1"/>
  <c r="D193" i="2"/>
  <c r="D60" i="2" s="1"/>
  <c r="D386" i="2" s="1"/>
  <c r="M80" i="3" s="1"/>
  <c r="E193" i="2"/>
  <c r="I276" i="2"/>
  <c r="D39" i="2"/>
  <c r="E39" i="2"/>
  <c r="F39" i="2"/>
  <c r="C39" i="2"/>
  <c r="AM167" i="1"/>
  <c r="AN167" i="1"/>
  <c r="AO167" i="1"/>
  <c r="AP167" i="1"/>
  <c r="AQ167" i="1"/>
  <c r="AR167" i="1"/>
  <c r="AS167" i="1"/>
  <c r="AU224" i="1"/>
  <c r="AU222" i="1"/>
  <c r="N47" i="1"/>
  <c r="O47" i="1"/>
  <c r="P47" i="1"/>
  <c r="Q47" i="1"/>
  <c r="S47" i="1"/>
  <c r="T47" i="1"/>
  <c r="U47" i="1"/>
  <c r="V47" i="1"/>
  <c r="X47" i="1"/>
  <c r="Y47" i="1"/>
  <c r="Z47" i="1"/>
  <c r="AA47" i="1"/>
  <c r="AC47" i="1"/>
  <c r="AD47" i="1"/>
  <c r="AE47" i="1"/>
  <c r="AF47" i="1"/>
  <c r="AH47" i="1"/>
  <c r="AI47" i="1"/>
  <c r="AJ47" i="1"/>
  <c r="AK47" i="1"/>
  <c r="AM47" i="1"/>
  <c r="AN47" i="1"/>
  <c r="AO47" i="1"/>
  <c r="AP47" i="1"/>
  <c r="AV47" i="1"/>
  <c r="M49" i="1"/>
  <c r="N49" i="1"/>
  <c r="O49" i="1"/>
  <c r="P49" i="1"/>
  <c r="Q49" i="1"/>
  <c r="AH49" i="1"/>
  <c r="AI49" i="1"/>
  <c r="AJ49" i="1"/>
  <c r="AK49" i="1"/>
  <c r="AM49" i="1"/>
  <c r="AN49" i="1"/>
  <c r="AO49" i="1"/>
  <c r="AP49" i="1"/>
  <c r="C49" i="1"/>
  <c r="F51" i="1"/>
  <c r="H51" i="1"/>
  <c r="M51" i="1"/>
  <c r="V51" i="1"/>
  <c r="W51" i="1"/>
  <c r="X51" i="1"/>
  <c r="Y51" i="1"/>
  <c r="Z51" i="1"/>
  <c r="AA51" i="1"/>
  <c r="AB51" i="1"/>
  <c r="AC51" i="1"/>
  <c r="AD51" i="1"/>
  <c r="AE51" i="1"/>
  <c r="AF51" i="1"/>
  <c r="AG51" i="1"/>
  <c r="AH51" i="1"/>
  <c r="AI51" i="1"/>
  <c r="AJ51" i="1"/>
  <c r="AK51" i="1"/>
  <c r="AL51" i="1"/>
  <c r="AM51" i="1"/>
  <c r="AN51" i="1"/>
  <c r="AO51" i="1"/>
  <c r="AP51" i="1"/>
  <c r="AQ51" i="1"/>
  <c r="AR51" i="1"/>
  <c r="AS51" i="1"/>
  <c r="AT51" i="1"/>
  <c r="AU51" i="1"/>
  <c r="AV51" i="1"/>
  <c r="F52" i="1"/>
  <c r="M52" i="1"/>
  <c r="W52" i="1"/>
  <c r="X52" i="1"/>
  <c r="Y52" i="1"/>
  <c r="Z52" i="1"/>
  <c r="AA52" i="1"/>
  <c r="AB52" i="1"/>
  <c r="AC52" i="1"/>
  <c r="AD52" i="1"/>
  <c r="AE52" i="1"/>
  <c r="AF52" i="1"/>
  <c r="AG52" i="1"/>
  <c r="AH52" i="1"/>
  <c r="AI52" i="1"/>
  <c r="AJ52" i="1"/>
  <c r="AK52" i="1"/>
  <c r="AL52" i="1"/>
  <c r="AM52" i="1"/>
  <c r="AN52" i="1"/>
  <c r="AO52" i="1"/>
  <c r="AP52" i="1"/>
  <c r="AQ52" i="1"/>
  <c r="AR52" i="1"/>
  <c r="AS52" i="1"/>
  <c r="AT52" i="1"/>
  <c r="AU52" i="1"/>
  <c r="AV52" i="1"/>
  <c r="D53" i="1"/>
  <c r="D42" i="1" s="1"/>
  <c r="E53" i="1"/>
  <c r="E42" i="1" s="1"/>
  <c r="F53" i="1"/>
  <c r="F42" i="1" s="1"/>
  <c r="H53" i="1"/>
  <c r="I53" i="1"/>
  <c r="I42" i="1" s="1"/>
  <c r="J53" i="1"/>
  <c r="J42" i="1" s="1"/>
  <c r="K53" i="1"/>
  <c r="K42" i="1" s="1"/>
  <c r="L53" i="1"/>
  <c r="L42" i="1" s="1"/>
  <c r="M53" i="1"/>
  <c r="N53" i="1"/>
  <c r="N42" i="1" s="1"/>
  <c r="O53" i="1"/>
  <c r="O42" i="1" s="1"/>
  <c r="P53" i="1"/>
  <c r="P42" i="1" s="1"/>
  <c r="Q53" i="1"/>
  <c r="Q42" i="1" s="1"/>
  <c r="R53" i="1"/>
  <c r="S53" i="1"/>
  <c r="S42" i="1" s="1"/>
  <c r="T53" i="1"/>
  <c r="T42" i="1" s="1"/>
  <c r="U53" i="1"/>
  <c r="U42" i="1" s="1"/>
  <c r="V53" i="1"/>
  <c r="V42" i="1" s="1"/>
  <c r="W53" i="1"/>
  <c r="X53" i="1"/>
  <c r="X42" i="1" s="1"/>
  <c r="Y53" i="1"/>
  <c r="Y42" i="1" s="1"/>
  <c r="Z53" i="1"/>
  <c r="Z42" i="1" s="1"/>
  <c r="AA53" i="1"/>
  <c r="AA42" i="1" s="1"/>
  <c r="AB53" i="1"/>
  <c r="AC53" i="1"/>
  <c r="AC42" i="1" s="1"/>
  <c r="AD53" i="1"/>
  <c r="AD42" i="1" s="1"/>
  <c r="AE53" i="1"/>
  <c r="AE42" i="1" s="1"/>
  <c r="AF53" i="1"/>
  <c r="AF42" i="1" s="1"/>
  <c r="AG53" i="1"/>
  <c r="AH53" i="1"/>
  <c r="AH42" i="1" s="1"/>
  <c r="AI53" i="1"/>
  <c r="AI42" i="1" s="1"/>
  <c r="AJ53" i="1"/>
  <c r="AJ42" i="1" s="1"/>
  <c r="AK53" i="1"/>
  <c r="AK42" i="1" s="1"/>
  <c r="AL53" i="1"/>
  <c r="AM53" i="1"/>
  <c r="AM42" i="1" s="1"/>
  <c r="AN53" i="1"/>
  <c r="AN42" i="1" s="1"/>
  <c r="AO53" i="1"/>
  <c r="AO42" i="1" s="1"/>
  <c r="AP53" i="1"/>
  <c r="AP42" i="1" s="1"/>
  <c r="AQ53" i="1"/>
  <c r="AR53" i="1"/>
  <c r="AR42" i="1" s="1"/>
  <c r="AS53" i="1"/>
  <c r="AS42" i="1" s="1"/>
  <c r="AT53" i="1"/>
  <c r="AT42" i="1" s="1"/>
  <c r="AU53" i="1"/>
  <c r="AU42" i="1" s="1"/>
  <c r="AV53" i="1"/>
  <c r="F54"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I54" i="1"/>
  <c r="AJ54" i="1"/>
  <c r="AK54" i="1"/>
  <c r="AL54" i="1"/>
  <c r="AM54" i="1"/>
  <c r="AN54" i="1"/>
  <c r="AO54" i="1"/>
  <c r="AP54" i="1"/>
  <c r="AR54" i="1"/>
  <c r="AS54" i="1"/>
  <c r="AT54" i="1"/>
  <c r="AU54" i="1"/>
  <c r="C53" i="1"/>
  <c r="C51" i="1"/>
  <c r="AR409" i="1"/>
  <c r="AS409" i="1"/>
  <c r="AT409" i="1"/>
  <c r="AR405" i="1"/>
  <c r="AS405" i="1"/>
  <c r="AT405" i="1"/>
  <c r="L200" i="2" l="1"/>
  <c r="K200" i="2"/>
  <c r="CT150" i="1"/>
  <c r="AW163" i="1"/>
  <c r="CU57" i="7"/>
  <c r="AO30" i="7"/>
  <c r="AO31" i="7"/>
  <c r="AN30" i="7"/>
  <c r="AN31" i="7"/>
  <c r="AP50" i="7"/>
  <c r="AP51" i="7"/>
  <c r="AU209" i="1"/>
  <c r="AQ54" i="1"/>
  <c r="AQ62" i="1" s="1"/>
  <c r="AL62" i="1"/>
  <c r="R62" i="1"/>
  <c r="AB62" i="1"/>
  <c r="AG62" i="1"/>
  <c r="M62" i="1"/>
  <c r="W62" i="1"/>
  <c r="AT163" i="1"/>
  <c r="AV225" i="1"/>
  <c r="K203" i="2" l="1"/>
  <c r="K205" i="2"/>
  <c r="L203" i="2"/>
  <c r="U7" i="3" s="1"/>
  <c r="L205" i="2"/>
  <c r="T7" i="3"/>
  <c r="K206" i="2"/>
  <c r="L206" i="2"/>
  <c r="D196" i="6"/>
  <c r="D197" i="6" s="1"/>
  <c r="E345" i="2"/>
  <c r="D345" i="2"/>
  <c r="R281" i="1"/>
  <c r="D281" i="1"/>
  <c r="D283" i="1" s="1"/>
  <c r="E281" i="1"/>
  <c r="E283" i="1" s="1"/>
  <c r="F281" i="1"/>
  <c r="F283" i="1" s="1"/>
  <c r="G281" i="1"/>
  <c r="G283" i="1" s="1"/>
  <c r="C281" i="1"/>
  <c r="C219" i="1"/>
  <c r="D219" i="1"/>
  <c r="D5" i="1" s="1"/>
  <c r="E219" i="1"/>
  <c r="F219" i="1"/>
  <c r="G219" i="1"/>
  <c r="H219" i="1"/>
  <c r="I219" i="1"/>
  <c r="I5" i="1" s="1"/>
  <c r="J219" i="1"/>
  <c r="K219" i="1"/>
  <c r="L219" i="1"/>
  <c r="M219" i="1"/>
  <c r="N219" i="1"/>
  <c r="O219" i="1"/>
  <c r="P219" i="1"/>
  <c r="Q219" i="1"/>
  <c r="AP219" i="1"/>
  <c r="AK219" i="1"/>
  <c r="S219" i="1"/>
  <c r="T219" i="1"/>
  <c r="U219" i="1"/>
  <c r="V219" i="1"/>
  <c r="W219" i="1"/>
  <c r="X219" i="1"/>
  <c r="Y219" i="1"/>
  <c r="Z219" i="1"/>
  <c r="AA219" i="1"/>
  <c r="AB219" i="1"/>
  <c r="AC219" i="1"/>
  <c r="AD219" i="1"/>
  <c r="AE219" i="1"/>
  <c r="AF219" i="1"/>
  <c r="AG219" i="1"/>
  <c r="AH219" i="1"/>
  <c r="AI219" i="1"/>
  <c r="AJ219" i="1"/>
  <c r="AL219" i="1"/>
  <c r="AM219" i="1"/>
  <c r="AN219" i="1"/>
  <c r="AO219" i="1"/>
  <c r="AQ219" i="1"/>
  <c r="R219" i="1"/>
  <c r="M343" i="1"/>
  <c r="M345" i="1"/>
  <c r="M346" i="1"/>
  <c r="M349" i="1"/>
  <c r="M350" i="1"/>
  <c r="M351" i="1"/>
  <c r="AV102" i="1"/>
  <c r="F345" i="2" l="1"/>
  <c r="R283" i="1"/>
  <c r="C345" i="2"/>
  <c r="C283" i="1"/>
  <c r="O86" i="3"/>
  <c r="F396" i="2"/>
  <c r="D396" i="2"/>
  <c r="M86" i="3"/>
  <c r="N86" i="3"/>
  <c r="E396" i="2"/>
  <c r="C396" i="2"/>
  <c r="L86" i="3"/>
  <c r="AB257" i="1"/>
  <c r="H426" i="2" s="1"/>
  <c r="J40" i="27" s="1"/>
  <c r="J50" i="27" s="1"/>
  <c r="AI257" i="1"/>
  <c r="AA257" i="1"/>
  <c r="S257" i="1"/>
  <c r="M257" i="1"/>
  <c r="E426" i="2" s="1"/>
  <c r="G40" i="27" s="1"/>
  <c r="Z257" i="1"/>
  <c r="AK257" i="1"/>
  <c r="T257" i="1"/>
  <c r="AH257" i="1"/>
  <c r="AG257" i="1"/>
  <c r="I426" i="2" s="1"/>
  <c r="K40" i="27" s="1"/>
  <c r="K50" i="27" s="1"/>
  <c r="K56" i="27" s="1"/>
  <c r="Y257" i="1"/>
  <c r="AP257" i="1"/>
  <c r="AJ257" i="1"/>
  <c r="AO257" i="1"/>
  <c r="AF257" i="1"/>
  <c r="X257" i="1"/>
  <c r="Q257" i="1"/>
  <c r="AN257" i="1"/>
  <c r="AE257" i="1"/>
  <c r="W257" i="1"/>
  <c r="G426" i="2" s="1"/>
  <c r="I40" i="27" s="1"/>
  <c r="I50" i="27" s="1"/>
  <c r="I56" i="27" s="1"/>
  <c r="P257" i="1"/>
  <c r="R257" i="1"/>
  <c r="F426" i="2" s="1"/>
  <c r="H40" i="27" s="1"/>
  <c r="R249" i="1"/>
  <c r="AM257" i="1"/>
  <c r="AD257" i="1"/>
  <c r="V257" i="1"/>
  <c r="O257" i="1"/>
  <c r="AQ257" i="1"/>
  <c r="AL257" i="1"/>
  <c r="J426" i="2" s="1"/>
  <c r="L40" i="27" s="1"/>
  <c r="L50" i="27" s="1"/>
  <c r="L56" i="27" s="1"/>
  <c r="AC257" i="1"/>
  <c r="U257" i="1"/>
  <c r="N257" i="1"/>
  <c r="L5" i="1"/>
  <c r="K5" i="1"/>
  <c r="J5" i="1"/>
  <c r="G5" i="1"/>
  <c r="E5" i="1"/>
  <c r="F5" i="1"/>
  <c r="AI223" i="1"/>
  <c r="AH223" i="1"/>
  <c r="S223" i="1"/>
  <c r="X223" i="1"/>
  <c r="AQ223" i="1"/>
  <c r="AC223" i="1"/>
  <c r="N223" i="1"/>
  <c r="M223" i="1"/>
  <c r="Z223" i="1"/>
  <c r="T223" i="1"/>
  <c r="R223" i="1"/>
  <c r="AA223" i="1"/>
  <c r="AK223" i="1"/>
  <c r="Y223" i="1"/>
  <c r="AG223" i="1"/>
  <c r="Q223" i="1"/>
  <c r="AB223" i="1"/>
  <c r="AN223" i="1"/>
  <c r="AE223" i="1"/>
  <c r="W223" i="1"/>
  <c r="P223" i="1"/>
  <c r="AJ223" i="1"/>
  <c r="AO223" i="1"/>
  <c r="AF223" i="1"/>
  <c r="AM223" i="1"/>
  <c r="AD223" i="1"/>
  <c r="V223" i="1"/>
  <c r="O223" i="1"/>
  <c r="AP223" i="1"/>
  <c r="AL223" i="1"/>
  <c r="U223" i="1"/>
  <c r="AQ218" i="1"/>
  <c r="R200" i="1"/>
  <c r="AE200" i="1"/>
  <c r="AE174" i="1" s="1"/>
  <c r="AA200" i="1"/>
  <c r="W200" i="1"/>
  <c r="S200" i="1"/>
  <c r="P200" i="1"/>
  <c r="AH200" i="1"/>
  <c r="AH174" i="1" s="1"/>
  <c r="AD200" i="1"/>
  <c r="AD174" i="1" s="1"/>
  <c r="Z200" i="1"/>
  <c r="V200" i="1"/>
  <c r="O200" i="1"/>
  <c r="AG200" i="1"/>
  <c r="AG174" i="1" s="1"/>
  <c r="AC200" i="1"/>
  <c r="AC174" i="1" s="1"/>
  <c r="Y200" i="1"/>
  <c r="U200" i="1"/>
  <c r="N200" i="1"/>
  <c r="AF200" i="1"/>
  <c r="AF174" i="1" s="1"/>
  <c r="AB200" i="1"/>
  <c r="X200" i="1"/>
  <c r="T200" i="1"/>
  <c r="Q200" i="1"/>
  <c r="M200" i="1"/>
  <c r="AO200" i="1"/>
  <c r="AO174" i="1" s="1"/>
  <c r="AJ200" i="1"/>
  <c r="AJ174" i="1" s="1"/>
  <c r="AN200" i="1"/>
  <c r="AN174" i="1" s="1"/>
  <c r="AI200" i="1"/>
  <c r="AI174" i="1" s="1"/>
  <c r="AW175" i="1"/>
  <c r="AM200" i="1"/>
  <c r="AM174" i="1" s="1"/>
  <c r="AR175" i="1" s="1"/>
  <c r="AK200" i="1"/>
  <c r="AK174" i="1" s="1"/>
  <c r="AQ200" i="1"/>
  <c r="AL200" i="1"/>
  <c r="AL174" i="1" s="1"/>
  <c r="AP200" i="1"/>
  <c r="AP174" i="1" s="1"/>
  <c r="AW201" i="1"/>
  <c r="AW220" i="1"/>
  <c r="AL225" i="1"/>
  <c r="AC225" i="1"/>
  <c r="AC236" i="1" s="1"/>
  <c r="U225" i="1"/>
  <c r="U236" i="1" s="1"/>
  <c r="Q225" i="1"/>
  <c r="Q236" i="1" s="1"/>
  <c r="Q250" i="1" s="1"/>
  <c r="M225" i="1"/>
  <c r="E225" i="1"/>
  <c r="AJ225" i="1"/>
  <c r="AB225" i="1"/>
  <c r="T225" i="1"/>
  <c r="T236" i="1" s="1"/>
  <c r="P225" i="1"/>
  <c r="P236" i="1" s="1"/>
  <c r="P250" i="1" s="1"/>
  <c r="H225" i="1"/>
  <c r="H236" i="1" s="1"/>
  <c r="D416" i="2" s="1"/>
  <c r="AN225" i="1"/>
  <c r="AI225" i="1"/>
  <c r="AE225" i="1"/>
  <c r="AE236" i="1" s="1"/>
  <c r="AA225" i="1"/>
  <c r="AA236" i="1" s="1"/>
  <c r="W225" i="1"/>
  <c r="S225" i="1"/>
  <c r="S236" i="1" s="1"/>
  <c r="O225" i="1"/>
  <c r="O236" i="1" s="1"/>
  <c r="O250" i="1" s="1"/>
  <c r="K225" i="1"/>
  <c r="G225" i="1"/>
  <c r="C225" i="1"/>
  <c r="C236" i="1" s="1"/>
  <c r="C416" i="2" s="1"/>
  <c r="AQ225" i="1"/>
  <c r="AG225" i="1"/>
  <c r="Y225" i="1"/>
  <c r="Y236" i="1" s="1"/>
  <c r="AP225" i="1"/>
  <c r="I225" i="1"/>
  <c r="AO225" i="1"/>
  <c r="AF225" i="1"/>
  <c r="AF236" i="1" s="1"/>
  <c r="X225" i="1"/>
  <c r="X236" i="1" s="1"/>
  <c r="L225" i="1"/>
  <c r="D225" i="1"/>
  <c r="AR225" i="1"/>
  <c r="AU219" i="1"/>
  <c r="AM225" i="1"/>
  <c r="AH225" i="1"/>
  <c r="AD225" i="1"/>
  <c r="AD236" i="1" s="1"/>
  <c r="Z225" i="1"/>
  <c r="Z236" i="1" s="1"/>
  <c r="V225" i="1"/>
  <c r="V236" i="1" s="1"/>
  <c r="AK225" i="1"/>
  <c r="N225" i="1"/>
  <c r="N236" i="1" s="1"/>
  <c r="N5" i="1" s="1"/>
  <c r="J225" i="1"/>
  <c r="F225" i="1"/>
  <c r="W281" i="1"/>
  <c r="R225" i="1"/>
  <c r="AB281" i="1" l="1"/>
  <c r="W283" i="1"/>
  <c r="N413" i="1"/>
  <c r="J56" i="27"/>
  <c r="D207" i="2"/>
  <c r="F39" i="27"/>
  <c r="D29" i="18"/>
  <c r="K426" i="2"/>
  <c r="M40" i="27" s="1"/>
  <c r="M50" i="27" s="1"/>
  <c r="M56" i="27" s="1"/>
  <c r="C207" i="2"/>
  <c r="E39" i="27"/>
  <c r="Q86" i="3"/>
  <c r="H396" i="2"/>
  <c r="V5" i="1"/>
  <c r="V279" i="1"/>
  <c r="Z5" i="1"/>
  <c r="Z279" i="1"/>
  <c r="AD5" i="1"/>
  <c r="AD279" i="1"/>
  <c r="X5" i="1"/>
  <c r="X279" i="1"/>
  <c r="AF5" i="1"/>
  <c r="AF279" i="1"/>
  <c r="Y245" i="1"/>
  <c r="Y279" i="1"/>
  <c r="S5" i="1"/>
  <c r="S279" i="1"/>
  <c r="AA5" i="1"/>
  <c r="AA279" i="1"/>
  <c r="AE245" i="1"/>
  <c r="AE246" i="1" s="1"/>
  <c r="AE279" i="1"/>
  <c r="T5" i="1"/>
  <c r="T279" i="1"/>
  <c r="U245" i="1"/>
  <c r="U279" i="1"/>
  <c r="AC5" i="1"/>
  <c r="AC279" i="1"/>
  <c r="CL7" i="7"/>
  <c r="CL8" i="7" s="1"/>
  <c r="CL31" i="7" s="1"/>
  <c r="CL48" i="7" s="1"/>
  <c r="CM7" i="7"/>
  <c r="V250" i="1"/>
  <c r="P259" i="1"/>
  <c r="X250" i="1"/>
  <c r="Y250" i="1"/>
  <c r="Z250" i="1"/>
  <c r="U5" i="1"/>
  <c r="AE5" i="1"/>
  <c r="Y5" i="1"/>
  <c r="AC250" i="1"/>
  <c r="AD250" i="1"/>
  <c r="AC245" i="1"/>
  <c r="AC246" i="1" s="1"/>
  <c r="X245" i="1"/>
  <c r="Z245" i="1"/>
  <c r="O5" i="1"/>
  <c r="AB236" i="1"/>
  <c r="AF250" i="1"/>
  <c r="S250" i="1"/>
  <c r="V245" i="1"/>
  <c r="AF245" i="1"/>
  <c r="AF246" i="1" s="1"/>
  <c r="S245" i="1"/>
  <c r="P5" i="1"/>
  <c r="AE250" i="1"/>
  <c r="T250" i="1"/>
  <c r="M236" i="1"/>
  <c r="N259" i="1"/>
  <c r="AD245" i="1"/>
  <c r="AD246" i="1" s="1"/>
  <c r="T245" i="1"/>
  <c r="AA245" i="1"/>
  <c r="Q5" i="1"/>
  <c r="AG236" i="1"/>
  <c r="R236" i="1"/>
  <c r="N250" i="1"/>
  <c r="O259" i="1"/>
  <c r="AA250" i="1"/>
  <c r="W236" i="1"/>
  <c r="U250" i="1"/>
  <c r="Q259" i="1"/>
  <c r="AG258" i="1"/>
  <c r="R258" i="1"/>
  <c r="W258" i="1"/>
  <c r="C288" i="2"/>
  <c r="C255" i="2"/>
  <c r="C5" i="1"/>
  <c r="C264" i="2"/>
  <c r="C245" i="2"/>
  <c r="C252" i="2"/>
  <c r="C242" i="2"/>
  <c r="C249" i="2"/>
  <c r="D288" i="2"/>
  <c r="D264" i="2"/>
  <c r="D252" i="2"/>
  <c r="D249" i="2"/>
  <c r="D245" i="2"/>
  <c r="D242" i="2"/>
  <c r="H5" i="1"/>
  <c r="D255" i="2"/>
  <c r="AL258" i="1"/>
  <c r="AP258" i="1"/>
  <c r="AQ258" i="1"/>
  <c r="AM258" i="1"/>
  <c r="AR258" i="1"/>
  <c r="X259" i="1"/>
  <c r="X258" i="1"/>
  <c r="T259" i="1"/>
  <c r="T258" i="1"/>
  <c r="S259" i="1"/>
  <c r="S258" i="1"/>
  <c r="AE259" i="1"/>
  <c r="AE258" i="1"/>
  <c r="AF259" i="1"/>
  <c r="AF258" i="1"/>
  <c r="Y259" i="1"/>
  <c r="Y258" i="1"/>
  <c r="AK258" i="1"/>
  <c r="AA259" i="1"/>
  <c r="AA258" i="1"/>
  <c r="AD259" i="1"/>
  <c r="AD258" i="1"/>
  <c r="U259" i="1"/>
  <c r="U258" i="1"/>
  <c r="Z259" i="1"/>
  <c r="Z258" i="1"/>
  <c r="V259" i="1"/>
  <c r="V258" i="1"/>
  <c r="AN258" i="1"/>
  <c r="AS258" i="1"/>
  <c r="AO258" i="1"/>
  <c r="AT258" i="1"/>
  <c r="AI258" i="1"/>
  <c r="AC259" i="1"/>
  <c r="AC258" i="1"/>
  <c r="AH258" i="1"/>
  <c r="AJ258" i="1"/>
  <c r="AB258" i="1"/>
  <c r="AU223" i="1"/>
  <c r="C419" i="1"/>
  <c r="H419" i="1"/>
  <c r="Z31" i="7"/>
  <c r="Z32" i="7"/>
  <c r="Z30" i="7"/>
  <c r="Y31" i="7"/>
  <c r="Y32" i="7"/>
  <c r="Y30" i="7"/>
  <c r="W31" i="7"/>
  <c r="W32" i="7"/>
  <c r="W30" i="7"/>
  <c r="C196" i="6"/>
  <c r="C197" i="6" s="1"/>
  <c r="AC32" i="7"/>
  <c r="AC30" i="7"/>
  <c r="AC31" i="7"/>
  <c r="H32" i="7"/>
  <c r="H30" i="7"/>
  <c r="H31" i="7"/>
  <c r="AG31" i="7"/>
  <c r="AG32" i="7"/>
  <c r="AG30" i="7"/>
  <c r="AB32" i="7"/>
  <c r="AB30" i="7"/>
  <c r="AB31" i="7"/>
  <c r="AD31" i="7"/>
  <c r="AD32" i="7"/>
  <c r="AD30" i="7"/>
  <c r="AF32" i="7"/>
  <c r="AF30" i="7"/>
  <c r="AF31" i="7"/>
  <c r="N31" i="7"/>
  <c r="N32" i="7"/>
  <c r="N30" i="7"/>
  <c r="AE31" i="7"/>
  <c r="AE32" i="7"/>
  <c r="AE30" i="7"/>
  <c r="AK31" i="7"/>
  <c r="AK32" i="7"/>
  <c r="AK30" i="7"/>
  <c r="J32" i="7"/>
  <c r="J30" i="7"/>
  <c r="J31" i="7"/>
  <c r="AJ31" i="7"/>
  <c r="AJ32" i="7"/>
  <c r="AJ30" i="7"/>
  <c r="R31" i="7"/>
  <c r="R32" i="7"/>
  <c r="R30" i="7"/>
  <c r="V32" i="7"/>
  <c r="V30" i="7"/>
  <c r="V31" i="7"/>
  <c r="I32" i="7"/>
  <c r="I30" i="7"/>
  <c r="I31" i="7"/>
  <c r="AI32" i="7"/>
  <c r="AI30" i="7"/>
  <c r="AI31" i="7"/>
  <c r="K31" i="7"/>
  <c r="K32" i="7"/>
  <c r="K30" i="7"/>
  <c r="M31" i="7"/>
  <c r="M32" i="7"/>
  <c r="M30" i="7"/>
  <c r="H447" i="1"/>
  <c r="U32" i="7"/>
  <c r="U30" i="7"/>
  <c r="U31" i="7"/>
  <c r="L31" i="7"/>
  <c r="L32" i="7"/>
  <c r="L30" i="7"/>
  <c r="AL31" i="7"/>
  <c r="AL32" i="7"/>
  <c r="AL30" i="7"/>
  <c r="P32" i="7"/>
  <c r="P30" i="7"/>
  <c r="P31" i="7"/>
  <c r="Q31" i="7"/>
  <c r="Q32" i="7"/>
  <c r="Q30" i="7"/>
  <c r="AA32" i="7"/>
  <c r="AA30" i="7"/>
  <c r="AA31" i="7"/>
  <c r="O32" i="7"/>
  <c r="O30" i="7"/>
  <c r="O31" i="7"/>
  <c r="AM32" i="7"/>
  <c r="AM30" i="7"/>
  <c r="AM31" i="7"/>
  <c r="X31" i="7"/>
  <c r="X30" i="7"/>
  <c r="X32" i="7"/>
  <c r="S32" i="7"/>
  <c r="S30" i="7"/>
  <c r="S31" i="7"/>
  <c r="T32" i="7"/>
  <c r="T30" i="7"/>
  <c r="T31" i="7"/>
  <c r="B196" i="6"/>
  <c r="B197" i="6" s="1"/>
  <c r="AH32" i="7"/>
  <c r="AH30" i="7"/>
  <c r="AH31" i="7"/>
  <c r="G32" i="7"/>
  <c r="G30" i="7"/>
  <c r="G31" i="7"/>
  <c r="S201" i="1"/>
  <c r="AV201" i="1"/>
  <c r="AQ174" i="1"/>
  <c r="AP175" i="1"/>
  <c r="AN175" i="1"/>
  <c r="AO175" i="1"/>
  <c r="AA201" i="1"/>
  <c r="AF201" i="1"/>
  <c r="T201" i="1"/>
  <c r="AJ201" i="1"/>
  <c r="G345" i="2"/>
  <c r="W201" i="1"/>
  <c r="AB201" i="1"/>
  <c r="AI201" i="1"/>
  <c r="AU220" i="1"/>
  <c r="AG281" i="1"/>
  <c r="AK201" i="1"/>
  <c r="AL201" i="1"/>
  <c r="Y201" i="1"/>
  <c r="AQ201" i="1"/>
  <c r="U201" i="1"/>
  <c r="X201" i="1"/>
  <c r="AE201" i="1"/>
  <c r="AO201" i="1"/>
  <c r="AC201" i="1"/>
  <c r="AG201" i="1"/>
  <c r="Z201" i="1"/>
  <c r="AR201" i="1"/>
  <c r="AN201" i="1"/>
  <c r="V201" i="1"/>
  <c r="AD201" i="1"/>
  <c r="AH201" i="1"/>
  <c r="R201" i="1"/>
  <c r="AM201" i="1"/>
  <c r="AP201" i="1"/>
  <c r="O49" i="7"/>
  <c r="P49" i="7"/>
  <c r="Q49" i="7"/>
  <c r="R49" i="7"/>
  <c r="S49" i="7"/>
  <c r="T49" i="7"/>
  <c r="U49" i="7"/>
  <c r="V49" i="7"/>
  <c r="W49" i="7"/>
  <c r="X49" i="7"/>
  <c r="Y49" i="7"/>
  <c r="Z49" i="7"/>
  <c r="AA49" i="7"/>
  <c r="AB49" i="7"/>
  <c r="AC49" i="7"/>
  <c r="AD49" i="7"/>
  <c r="AE49" i="7"/>
  <c r="AF49" i="7"/>
  <c r="AG49" i="7"/>
  <c r="AH49" i="7"/>
  <c r="AI49" i="7"/>
  <c r="AJ49" i="7"/>
  <c r="AK49" i="7"/>
  <c r="AL49" i="7"/>
  <c r="AM49"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N47" i="7" s="1"/>
  <c r="AO50" i="7"/>
  <c r="AO47" i="7" s="1"/>
  <c r="O51" i="7"/>
  <c r="P51" i="7"/>
  <c r="Q51" i="7"/>
  <c r="R51" i="7"/>
  <c r="S51" i="7"/>
  <c r="T51" i="7"/>
  <c r="U51" i="7"/>
  <c r="V51" i="7"/>
  <c r="W51" i="7"/>
  <c r="X51" i="7"/>
  <c r="Y51" i="7"/>
  <c r="Z51" i="7"/>
  <c r="AA51" i="7"/>
  <c r="AB51" i="7"/>
  <c r="AC51" i="7"/>
  <c r="AD51" i="7"/>
  <c r="AE51" i="7"/>
  <c r="AF51" i="7"/>
  <c r="AG51" i="7"/>
  <c r="AH51" i="7"/>
  <c r="AI51" i="7"/>
  <c r="AJ51" i="7"/>
  <c r="AK51" i="7"/>
  <c r="AL51" i="7"/>
  <c r="AM51" i="7"/>
  <c r="AN51" i="7"/>
  <c r="AN48" i="7" s="1"/>
  <c r="AO51" i="7"/>
  <c r="AO48" i="7" s="1"/>
  <c r="AO45" i="7"/>
  <c r="AN45" i="7"/>
  <c r="AM45" i="7"/>
  <c r="AL45" i="7"/>
  <c r="AK45" i="7"/>
  <c r="AJ45" i="7"/>
  <c r="AI45" i="7"/>
  <c r="AH45" i="7"/>
  <c r="AG45" i="7"/>
  <c r="AF45" i="7"/>
  <c r="AE45" i="7"/>
  <c r="AD45" i="7"/>
  <c r="AC45" i="7"/>
  <c r="AB45" i="7"/>
  <c r="AA45" i="7"/>
  <c r="AO44" i="7"/>
  <c r="AN44" i="7"/>
  <c r="AM44" i="7"/>
  <c r="AL44" i="7"/>
  <c r="AK44" i="7"/>
  <c r="AJ44" i="7"/>
  <c r="AI44" i="7"/>
  <c r="AH44" i="7"/>
  <c r="AG44" i="7"/>
  <c r="AF44" i="7"/>
  <c r="AE44" i="7"/>
  <c r="AD44" i="7"/>
  <c r="AC44" i="7"/>
  <c r="AB44" i="7"/>
  <c r="AA44"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N108" i="1"/>
  <c r="O108" i="1"/>
  <c r="P108" i="1"/>
  <c r="Q108" i="1"/>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D35" i="1"/>
  <c r="G12" i="7" s="1"/>
  <c r="E35" i="1"/>
  <c r="H12" i="7" s="1"/>
  <c r="F35" i="1"/>
  <c r="I12" i="7" s="1"/>
  <c r="G35" i="1"/>
  <c r="J12" i="7" s="1"/>
  <c r="H35" i="1"/>
  <c r="I35" i="1"/>
  <c r="K12" i="7" s="1"/>
  <c r="J35" i="1"/>
  <c r="L12" i="7" s="1"/>
  <c r="K35" i="1"/>
  <c r="M12" i="7" s="1"/>
  <c r="L35" i="1"/>
  <c r="N12" i="7" s="1"/>
  <c r="M35" i="1"/>
  <c r="N35" i="1"/>
  <c r="O12" i="7" s="1"/>
  <c r="O35" i="1"/>
  <c r="P12" i="7" s="1"/>
  <c r="P35" i="1"/>
  <c r="Q12" i="7" s="1"/>
  <c r="Q35" i="1"/>
  <c r="R12" i="7" s="1"/>
  <c r="R35" i="1"/>
  <c r="S35" i="1"/>
  <c r="S12" i="7" s="1"/>
  <c r="T35" i="1"/>
  <c r="T12" i="7" s="1"/>
  <c r="U35" i="1"/>
  <c r="U12" i="7" s="1"/>
  <c r="V35" i="1"/>
  <c r="V12" i="7" s="1"/>
  <c r="W35" i="1"/>
  <c r="X35" i="1"/>
  <c r="W12" i="7" s="1"/>
  <c r="Y35" i="1"/>
  <c r="X12" i="7" s="1"/>
  <c r="Z35" i="1"/>
  <c r="Y12" i="7" s="1"/>
  <c r="AA35" i="1"/>
  <c r="Z12" i="7" s="1"/>
  <c r="AB35" i="1"/>
  <c r="AC35" i="1"/>
  <c r="AA12" i="7" s="1"/>
  <c r="AD35" i="1"/>
  <c r="AB12" i="7" s="1"/>
  <c r="AE35" i="1"/>
  <c r="AC12" i="7" s="1"/>
  <c r="AF35" i="1"/>
  <c r="AD12" i="7" s="1"/>
  <c r="AG35" i="1"/>
  <c r="AH35" i="1"/>
  <c r="AE12" i="7" s="1"/>
  <c r="AI35" i="1"/>
  <c r="AF12" i="7" s="1"/>
  <c r="AJ35" i="1"/>
  <c r="AG12" i="7" s="1"/>
  <c r="AK35" i="1"/>
  <c r="AH12" i="7" s="1"/>
  <c r="AL35" i="1"/>
  <c r="AM35" i="1"/>
  <c r="AI12" i="7" s="1"/>
  <c r="AN35" i="1"/>
  <c r="AJ12" i="7" s="1"/>
  <c r="AO35" i="1"/>
  <c r="AK12" i="7" s="1"/>
  <c r="AL12" i="7"/>
  <c r="AQ35" i="1"/>
  <c r="AR35" i="1"/>
  <c r="AM12" i="7" s="1"/>
  <c r="AS35" i="1"/>
  <c r="AN12" i="7" s="1"/>
  <c r="AT35" i="1"/>
  <c r="AO12" i="7" s="1"/>
  <c r="C35" i="1"/>
  <c r="I345" i="2" l="1"/>
  <c r="AG283" i="1"/>
  <c r="H345" i="2"/>
  <c r="AB283" i="1"/>
  <c r="AA413" i="1"/>
  <c r="V413" i="1"/>
  <c r="Q413" i="1"/>
  <c r="S413" i="1"/>
  <c r="O413" i="1"/>
  <c r="AC413" i="1"/>
  <c r="AF413" i="1"/>
  <c r="X413" i="1"/>
  <c r="Y413" i="1"/>
  <c r="Z413" i="1"/>
  <c r="P413" i="1"/>
  <c r="AE413" i="1"/>
  <c r="T413" i="1"/>
  <c r="AD413" i="1"/>
  <c r="U413" i="1"/>
  <c r="I396" i="2"/>
  <c r="R86" i="3"/>
  <c r="P86" i="3"/>
  <c r="G396" i="2"/>
  <c r="AG279" i="1"/>
  <c r="I416" i="2"/>
  <c r="W279" i="1"/>
  <c r="G416" i="2"/>
  <c r="M259" i="1"/>
  <c r="E416" i="2"/>
  <c r="R279" i="1"/>
  <c r="F416" i="2"/>
  <c r="AB279" i="1"/>
  <c r="H416" i="2"/>
  <c r="CL30" i="7"/>
  <c r="CM30" i="7"/>
  <c r="CM8" i="7"/>
  <c r="CM31" i="7" s="1"/>
  <c r="CM48" i="7" s="1"/>
  <c r="CL47" i="7"/>
  <c r="Z47" i="7"/>
  <c r="CO7" i="7"/>
  <c r="CN7" i="7"/>
  <c r="CR7" i="7"/>
  <c r="CQ7" i="7"/>
  <c r="W259" i="1"/>
  <c r="CP7" i="7"/>
  <c r="AG259" i="1"/>
  <c r="R259" i="1"/>
  <c r="P48" i="7"/>
  <c r="G249" i="2"/>
  <c r="G245" i="2"/>
  <c r="G242" i="2"/>
  <c r="W245" i="1"/>
  <c r="G288" i="2"/>
  <c r="G255" i="2"/>
  <c r="W5" i="1"/>
  <c r="W250" i="1"/>
  <c r="G264" i="2"/>
  <c r="G252" i="2"/>
  <c r="AB245" i="1"/>
  <c r="H288" i="2"/>
  <c r="H255" i="2"/>
  <c r="H264" i="2"/>
  <c r="H252" i="2"/>
  <c r="H249" i="2"/>
  <c r="H245" i="2"/>
  <c r="H242" i="2"/>
  <c r="AB5" i="1"/>
  <c r="AB250" i="1"/>
  <c r="F245" i="2"/>
  <c r="R245" i="1"/>
  <c r="F242" i="2"/>
  <c r="F288" i="2"/>
  <c r="R5" i="1"/>
  <c r="F255" i="2"/>
  <c r="R250" i="1"/>
  <c r="F264" i="2"/>
  <c r="F252" i="2"/>
  <c r="F249" i="2"/>
  <c r="AB259" i="1"/>
  <c r="E242" i="2"/>
  <c r="E288" i="2"/>
  <c r="E255" i="2"/>
  <c r="M5" i="1"/>
  <c r="E264" i="2"/>
  <c r="E252" i="2"/>
  <c r="M245" i="1"/>
  <c r="E249" i="2"/>
  <c r="M250" i="1"/>
  <c r="E245" i="2"/>
  <c r="I242" i="2"/>
  <c r="I288" i="2"/>
  <c r="I255" i="2"/>
  <c r="AG5" i="1"/>
  <c r="I264" i="2"/>
  <c r="I252" i="2"/>
  <c r="AG250" i="1"/>
  <c r="I249" i="2"/>
  <c r="AG245" i="1"/>
  <c r="AG246" i="1" s="1"/>
  <c r="I245" i="2"/>
  <c r="X47" i="7"/>
  <c r="AI48" i="7"/>
  <c r="AD47" i="7"/>
  <c r="AD48" i="7"/>
  <c r="AG47" i="7"/>
  <c r="V47" i="7"/>
  <c r="Z48" i="7"/>
  <c r="V48" i="7"/>
  <c r="U48" i="7"/>
  <c r="AG48" i="7"/>
  <c r="AJ47" i="7"/>
  <c r="AJ48" i="7"/>
  <c r="O48" i="7"/>
  <c r="AH47" i="7"/>
  <c r="T48" i="7"/>
  <c r="AE47" i="7"/>
  <c r="W47" i="7"/>
  <c r="T47" i="7"/>
  <c r="AF48" i="7"/>
  <c r="X48" i="7"/>
  <c r="AI47" i="7"/>
  <c r="AA47" i="7"/>
  <c r="S47" i="7"/>
  <c r="W48" i="7"/>
  <c r="AE48" i="7"/>
  <c r="P47" i="7"/>
  <c r="U47" i="7"/>
  <c r="AA48" i="7"/>
  <c r="AH48" i="7"/>
  <c r="AK47" i="7"/>
  <c r="Y48" i="7"/>
  <c r="Q48" i="7"/>
  <c r="Q47" i="7"/>
  <c r="AK48" i="7"/>
  <c r="O47" i="7"/>
  <c r="R47" i="7"/>
  <c r="AL48" i="7"/>
  <c r="Y47" i="7"/>
  <c r="AC48" i="7"/>
  <c r="AF47" i="7"/>
  <c r="S48" i="7"/>
  <c r="AL47" i="7"/>
  <c r="R48" i="7"/>
  <c r="AC47" i="7"/>
  <c r="AB47" i="7"/>
  <c r="AM48" i="7"/>
  <c r="AB48" i="7"/>
  <c r="AM47" i="7"/>
  <c r="AV175" i="1"/>
  <c r="AQ175" i="1"/>
  <c r="AL281" i="1"/>
  <c r="K345" i="2"/>
  <c r="W131" i="6"/>
  <c r="V131" i="6"/>
  <c r="U131" i="6"/>
  <c r="T131" i="6"/>
  <c r="S131" i="6"/>
  <c r="R131" i="6"/>
  <c r="Q131" i="6"/>
  <c r="P131" i="6"/>
  <c r="O131" i="6"/>
  <c r="N131" i="6"/>
  <c r="M131" i="6"/>
  <c r="L131" i="6"/>
  <c r="K131" i="6"/>
  <c r="J131" i="6"/>
  <c r="I131" i="6"/>
  <c r="W72" i="6"/>
  <c r="V72" i="6"/>
  <c r="U72" i="6"/>
  <c r="T72" i="6"/>
  <c r="S72" i="6"/>
  <c r="R72" i="6"/>
  <c r="Q72" i="6"/>
  <c r="P72" i="6"/>
  <c r="O72" i="6"/>
  <c r="N72" i="6"/>
  <c r="M72" i="6"/>
  <c r="L72" i="6"/>
  <c r="K72" i="6"/>
  <c r="J72" i="6"/>
  <c r="I72" i="6"/>
  <c r="U52" i="6"/>
  <c r="T52" i="6"/>
  <c r="S52" i="6"/>
  <c r="R52" i="6"/>
  <c r="Q52" i="6"/>
  <c r="P52" i="6"/>
  <c r="O52" i="6"/>
  <c r="N52" i="6"/>
  <c r="M52" i="6"/>
  <c r="L52" i="6"/>
  <c r="K52" i="6"/>
  <c r="J52" i="6"/>
  <c r="I52" i="6"/>
  <c r="I51" i="6"/>
  <c r="J51" i="6"/>
  <c r="K51" i="6"/>
  <c r="L51" i="6"/>
  <c r="M51" i="6"/>
  <c r="N51" i="6"/>
  <c r="O51" i="6"/>
  <c r="P51" i="6"/>
  <c r="Q51" i="6"/>
  <c r="R51" i="6"/>
  <c r="S51" i="6"/>
  <c r="T51" i="6"/>
  <c r="U51" i="6"/>
  <c r="U50" i="6"/>
  <c r="T50" i="6"/>
  <c r="S50" i="6"/>
  <c r="R50" i="6"/>
  <c r="Q50" i="6"/>
  <c r="P50" i="6"/>
  <c r="O50" i="6"/>
  <c r="N50" i="6"/>
  <c r="M50" i="6"/>
  <c r="L50" i="6"/>
  <c r="K50" i="6"/>
  <c r="J50" i="6"/>
  <c r="I50" i="6"/>
  <c r="U49" i="6"/>
  <c r="T49" i="6"/>
  <c r="S49" i="6"/>
  <c r="R49" i="6"/>
  <c r="Q49" i="6"/>
  <c r="P49" i="6"/>
  <c r="O49" i="6"/>
  <c r="N49" i="6"/>
  <c r="M49" i="6"/>
  <c r="L49" i="6"/>
  <c r="K49" i="6"/>
  <c r="J49" i="6"/>
  <c r="I49" i="6"/>
  <c r="U48" i="6"/>
  <c r="R48" i="6"/>
  <c r="S48" i="6"/>
  <c r="T48" i="6"/>
  <c r="Q48" i="6"/>
  <c r="N48" i="6"/>
  <c r="O48" i="6"/>
  <c r="P48" i="6"/>
  <c r="M48" i="6"/>
  <c r="J48" i="6"/>
  <c r="K48" i="6"/>
  <c r="L48" i="6"/>
  <c r="I48" i="6"/>
  <c r="AT159" i="1"/>
  <c r="W37" i="6" s="1"/>
  <c r="AT166" i="1"/>
  <c r="W39" i="6" s="1"/>
  <c r="Q39" i="6"/>
  <c r="R39" i="6"/>
  <c r="S39" i="6"/>
  <c r="T39" i="6"/>
  <c r="AR166" i="1"/>
  <c r="U39" i="6" s="1"/>
  <c r="AS166" i="1"/>
  <c r="V39" i="6" s="1"/>
  <c r="M39" i="6"/>
  <c r="N39" i="6"/>
  <c r="O39" i="6"/>
  <c r="P39" i="6"/>
  <c r="I34" i="6"/>
  <c r="V33" i="6"/>
  <c r="W33" i="6"/>
  <c r="U33" i="6"/>
  <c r="R33" i="6"/>
  <c r="S33" i="6"/>
  <c r="T33" i="6"/>
  <c r="Q33" i="6"/>
  <c r="N33" i="6"/>
  <c r="O33" i="6"/>
  <c r="P33" i="6"/>
  <c r="M33" i="6"/>
  <c r="J33" i="6"/>
  <c r="K33" i="6"/>
  <c r="L33" i="6"/>
  <c r="I33" i="6"/>
  <c r="I98" i="1"/>
  <c r="J98" i="1"/>
  <c r="K98" i="1"/>
  <c r="L98" i="1"/>
  <c r="M98" i="1"/>
  <c r="N98" i="1"/>
  <c r="O98" i="1"/>
  <c r="P98" i="1"/>
  <c r="Q98" i="1"/>
  <c r="R98" i="1"/>
  <c r="S98" i="1"/>
  <c r="T98" i="1"/>
  <c r="U98" i="1"/>
  <c r="V98" i="1"/>
  <c r="W98" i="1"/>
  <c r="X98" i="1"/>
  <c r="Y98" i="1"/>
  <c r="Z98" i="1"/>
  <c r="AA98" i="1"/>
  <c r="AB98" i="1"/>
  <c r="AC98" i="1"/>
  <c r="I10" i="6" s="1"/>
  <c r="AD98" i="1"/>
  <c r="J10" i="6" s="1"/>
  <c r="AE98" i="1"/>
  <c r="K10" i="6" s="1"/>
  <c r="AF98" i="1"/>
  <c r="L10" i="6" s="1"/>
  <c r="AG98" i="1"/>
  <c r="AH98" i="1"/>
  <c r="M10" i="6" s="1"/>
  <c r="AI98" i="1"/>
  <c r="N10" i="6" s="1"/>
  <c r="AJ98" i="1"/>
  <c r="O10" i="6" s="1"/>
  <c r="AK98" i="1"/>
  <c r="P10" i="6" s="1"/>
  <c r="AL98" i="1"/>
  <c r="AM98" i="1"/>
  <c r="Q10" i="6" s="1"/>
  <c r="AN98" i="1"/>
  <c r="R10" i="6" s="1"/>
  <c r="AO98" i="1"/>
  <c r="S10" i="6" s="1"/>
  <c r="AP98" i="1"/>
  <c r="T10" i="6" s="1"/>
  <c r="AQ98" i="1"/>
  <c r="AR98" i="1"/>
  <c r="U10" i="6" s="1"/>
  <c r="AS98" i="1"/>
  <c r="AT98" i="1"/>
  <c r="H98" i="1"/>
  <c r="D17" i="6"/>
  <c r="D8" i="6"/>
  <c r="O130" i="6"/>
  <c r="K130" i="6"/>
  <c r="R130" i="6"/>
  <c r="Q130" i="6"/>
  <c r="P130" i="6"/>
  <c r="N130" i="6"/>
  <c r="M130" i="6"/>
  <c r="L130" i="6"/>
  <c r="J130" i="6"/>
  <c r="I130" i="6"/>
  <c r="V130" i="6"/>
  <c r="U61" i="6"/>
  <c r="T61" i="6"/>
  <c r="T102" i="6" s="1"/>
  <c r="T130" i="6" s="1"/>
  <c r="W130" i="6"/>
  <c r="S47" i="6"/>
  <c r="S61" i="6" s="1"/>
  <c r="U32" i="6"/>
  <c r="T32" i="6"/>
  <c r="S32" i="6"/>
  <c r="D22" i="6"/>
  <c r="D65" i="4"/>
  <c r="J345" i="2" l="1"/>
  <c r="AL283" i="1"/>
  <c r="R413" i="1"/>
  <c r="M413" i="1"/>
  <c r="W413" i="1"/>
  <c r="AB413" i="1"/>
  <c r="AG413" i="1"/>
  <c r="F207" i="2"/>
  <c r="H39" i="27"/>
  <c r="E207" i="2"/>
  <c r="G39" i="27"/>
  <c r="G207" i="2"/>
  <c r="I39" i="27"/>
  <c r="I207" i="2"/>
  <c r="K39" i="27"/>
  <c r="H207" i="2"/>
  <c r="J39" i="27"/>
  <c r="K396" i="2"/>
  <c r="T86" i="3"/>
  <c r="J396" i="2"/>
  <c r="S86" i="3"/>
  <c r="CM47" i="7"/>
  <c r="CP30" i="7"/>
  <c r="CP8" i="7"/>
  <c r="CP31" i="7" s="1"/>
  <c r="CP47" i="7" s="1"/>
  <c r="CO30" i="7"/>
  <c r="CO8" i="7"/>
  <c r="CO31" i="7" s="1"/>
  <c r="CO48" i="7" s="1"/>
  <c r="CQ30" i="7"/>
  <c r="CQ8" i="7"/>
  <c r="CQ31" i="7" s="1"/>
  <c r="CQ47" i="7" s="1"/>
  <c r="CN30" i="7"/>
  <c r="CN8" i="7"/>
  <c r="CN31" i="7" s="1"/>
  <c r="CN48" i="7" s="1"/>
  <c r="CR30" i="7"/>
  <c r="CR8" i="7"/>
  <c r="CR31" i="7" s="1"/>
  <c r="CR47" i="7" s="1"/>
  <c r="N57" i="6"/>
  <c r="S57" i="6"/>
  <c r="O57" i="6"/>
  <c r="R57" i="6"/>
  <c r="P57" i="6"/>
  <c r="S102" i="6"/>
  <c r="S130" i="6" s="1"/>
  <c r="U102" i="6"/>
  <c r="U130" i="6" s="1"/>
  <c r="O54" i="6"/>
  <c r="S55" i="6"/>
  <c r="P132" i="6"/>
  <c r="S132" i="6"/>
  <c r="T132" i="6"/>
  <c r="N54" i="6"/>
  <c r="R55" i="6"/>
  <c r="P55" i="6"/>
  <c r="T55" i="6"/>
  <c r="T57" i="6"/>
  <c r="N56" i="6"/>
  <c r="Q54" i="6"/>
  <c r="N55" i="6"/>
  <c r="O55" i="6"/>
  <c r="Q55" i="6"/>
  <c r="U55" i="6"/>
  <c r="O56" i="6"/>
  <c r="S54" i="6"/>
  <c r="R54" i="6"/>
  <c r="P54" i="6"/>
  <c r="T54" i="6"/>
  <c r="R132" i="6"/>
  <c r="U132" i="6"/>
  <c r="V132" i="6"/>
  <c r="Q132" i="6"/>
  <c r="S56" i="6"/>
  <c r="M56" i="6"/>
  <c r="Q56" i="6"/>
  <c r="U56" i="6"/>
  <c r="R56" i="6"/>
  <c r="O44" i="6"/>
  <c r="M55" i="6"/>
  <c r="K44" i="6"/>
  <c r="M54" i="6"/>
  <c r="W132" i="6"/>
  <c r="J44" i="6"/>
  <c r="I44" i="6"/>
  <c r="S44" i="6"/>
  <c r="U44" i="6"/>
  <c r="U54" i="6"/>
  <c r="Q44" i="6"/>
  <c r="M44" i="6"/>
  <c r="L44" i="6"/>
  <c r="P44" i="6"/>
  <c r="T44" i="6"/>
  <c r="N44" i="6"/>
  <c r="R44" i="6"/>
  <c r="P56" i="6"/>
  <c r="T56" i="6"/>
  <c r="M57" i="6"/>
  <c r="Q57" i="6"/>
  <c r="U57" i="6"/>
  <c r="CO47" i="7" l="1"/>
  <c r="CP48" i="7"/>
  <c r="CR48" i="7"/>
  <c r="CN47" i="7"/>
  <c r="CQ48" i="7"/>
  <c r="S251" i="3"/>
  <c r="R251" i="3"/>
  <c r="Q251" i="3"/>
  <c r="P251" i="3"/>
  <c r="O251" i="3"/>
  <c r="N251" i="3"/>
  <c r="M251" i="3"/>
  <c r="L251" i="3"/>
  <c r="S250" i="3"/>
  <c r="R250" i="3"/>
  <c r="Q250" i="3"/>
  <c r="P250" i="3"/>
  <c r="O250" i="3"/>
  <c r="N250" i="3"/>
  <c r="M250" i="3"/>
  <c r="L250" i="3"/>
  <c r="J242" i="3"/>
  <c r="K242" i="3"/>
  <c r="I242" i="3"/>
  <c r="C192" i="3"/>
  <c r="C193" i="3"/>
  <c r="C194" i="3"/>
  <c r="C199" i="3"/>
  <c r="C191" i="3"/>
  <c r="M133" i="3"/>
  <c r="N133" i="3"/>
  <c r="O133" i="3"/>
  <c r="P133" i="3"/>
  <c r="Q133" i="3"/>
  <c r="R133" i="3"/>
  <c r="S133" i="3"/>
  <c r="T133" i="3"/>
  <c r="U133" i="3"/>
  <c r="V133" i="3"/>
  <c r="W133" i="3"/>
  <c r="X133" i="3"/>
  <c r="Y133" i="3"/>
  <c r="Z133" i="3"/>
  <c r="AA133" i="3"/>
  <c r="L133" i="3"/>
  <c r="S51" i="3"/>
  <c r="S243" i="3" s="1"/>
  <c r="R51" i="3"/>
  <c r="R243" i="3" s="1"/>
  <c r="Q51" i="3"/>
  <c r="Q243" i="3" s="1"/>
  <c r="P51" i="3"/>
  <c r="P243" i="3" s="1"/>
  <c r="O51" i="3"/>
  <c r="O243" i="3" s="1"/>
  <c r="N51" i="3"/>
  <c r="N243" i="3" s="1"/>
  <c r="M51" i="3"/>
  <c r="M243" i="3" s="1"/>
  <c r="L51" i="3"/>
  <c r="L243" i="3" s="1"/>
  <c r="M33" i="3"/>
  <c r="N33" i="3"/>
  <c r="O33" i="3"/>
  <c r="P33" i="3"/>
  <c r="Q33" i="3"/>
  <c r="R33" i="3"/>
  <c r="S33" i="3"/>
  <c r="L33" i="3"/>
  <c r="N28" i="3"/>
  <c r="N128" i="3" s="1"/>
  <c r="L28" i="3"/>
  <c r="L128" i="3" s="1"/>
  <c r="M28" i="3"/>
  <c r="M128" i="3" s="1"/>
  <c r="F193" i="2"/>
  <c r="O28" i="3" s="1"/>
  <c r="O128" i="3" s="1"/>
  <c r="S22" i="3"/>
  <c r="G51" i="11" s="1"/>
  <c r="R22" i="3"/>
  <c r="F51" i="11" s="1"/>
  <c r="Q22" i="3"/>
  <c r="E51" i="11" s="1"/>
  <c r="P22" i="3"/>
  <c r="D51" i="11" s="1"/>
  <c r="O22" i="3"/>
  <c r="C51" i="11" s="1"/>
  <c r="N22" i="3"/>
  <c r="M22" i="3"/>
  <c r="L22" i="3"/>
  <c r="O21" i="3"/>
  <c r="P21" i="3"/>
  <c r="Q21" i="3"/>
  <c r="R21" i="3"/>
  <c r="S21" i="3"/>
  <c r="T21" i="3"/>
  <c r="U21" i="3"/>
  <c r="T13" i="3"/>
  <c r="S13" i="3"/>
  <c r="R13" i="3"/>
  <c r="Q13" i="3"/>
  <c r="P13" i="3"/>
  <c r="O13" i="3"/>
  <c r="N13" i="3"/>
  <c r="M13" i="3"/>
  <c r="L13" i="3"/>
  <c r="E79" i="4"/>
  <c r="F79" i="4" s="1"/>
  <c r="G79" i="4" s="1"/>
  <c r="H79" i="4" s="1"/>
  <c r="I79" i="4" s="1"/>
  <c r="J79" i="4" s="1"/>
  <c r="K62" i="4" l="1"/>
  <c r="AB4" i="3"/>
  <c r="AB3" i="3" s="1"/>
  <c r="H57" i="11"/>
  <c r="K79" i="4"/>
  <c r="B44" i="4"/>
  <c r="B43" i="4"/>
  <c r="C195" i="3" s="1"/>
  <c r="N16" i="4"/>
  <c r="O16" i="4" s="1"/>
  <c r="P16" i="4" s="1"/>
  <c r="Q16" i="4" s="1"/>
  <c r="R16" i="4" s="1"/>
  <c r="E82" i="4"/>
  <c r="F82" i="4" s="1"/>
  <c r="G82" i="4" s="1"/>
  <c r="M3" i="3"/>
  <c r="N3" i="3"/>
  <c r="O3" i="3"/>
  <c r="P3" i="3"/>
  <c r="Q3" i="3"/>
  <c r="R3" i="3"/>
  <c r="S3" i="3"/>
  <c r="T3" i="3"/>
  <c r="U3" i="3"/>
  <c r="B199" i="3"/>
  <c r="B198" i="3"/>
  <c r="B197" i="3"/>
  <c r="B196" i="3"/>
  <c r="B195" i="3"/>
  <c r="B194" i="3"/>
  <c r="B193" i="3"/>
  <c r="B192" i="3"/>
  <c r="B191" i="3"/>
  <c r="AR401" i="1"/>
  <c r="AS401" i="1"/>
  <c r="AT401" i="1"/>
  <c r="AR392" i="1"/>
  <c r="AS392" i="1"/>
  <c r="AT392" i="1"/>
  <c r="H39" i="2"/>
  <c r="I39" i="2"/>
  <c r="J39" i="2"/>
  <c r="G39" i="2"/>
  <c r="M158" i="2"/>
  <c r="N158" i="2"/>
  <c r="Q158" i="2"/>
  <c r="L158" i="2"/>
  <c r="L159" i="2" s="1"/>
  <c r="K409" i="2"/>
  <c r="J409" i="2"/>
  <c r="I409" i="2"/>
  <c r="H409" i="2"/>
  <c r="G409" i="2"/>
  <c r="F409" i="2"/>
  <c r="E409" i="2"/>
  <c r="D409" i="2"/>
  <c r="M409" i="2"/>
  <c r="N409" i="2"/>
  <c r="O409" i="2"/>
  <c r="P409" i="2"/>
  <c r="Q409" i="2"/>
  <c r="R409" i="2"/>
  <c r="S410" i="2" s="1"/>
  <c r="C409" i="2"/>
  <c r="K399" i="2"/>
  <c r="J399" i="2"/>
  <c r="I399" i="2"/>
  <c r="H399" i="2"/>
  <c r="G399" i="2"/>
  <c r="F399" i="2"/>
  <c r="E399" i="2"/>
  <c r="D399" i="2"/>
  <c r="C399" i="2"/>
  <c r="C408" i="2" s="1"/>
  <c r="J435" i="2"/>
  <c r="J102" i="2" s="1"/>
  <c r="R14" i="2"/>
  <c r="R371" i="2"/>
  <c r="AR397" i="1"/>
  <c r="AS397" i="1"/>
  <c r="AT397" i="1"/>
  <c r="CT35" i="7"/>
  <c r="K61" i="2"/>
  <c r="K380" i="2" s="1"/>
  <c r="T74" i="3" s="1"/>
  <c r="J61" i="2"/>
  <c r="J380" i="2" s="1"/>
  <c r="S74" i="3" s="1"/>
  <c r="I61" i="2"/>
  <c r="I380" i="2" s="1"/>
  <c r="R74" i="3" s="1"/>
  <c r="H61" i="2"/>
  <c r="H380" i="2" s="1"/>
  <c r="Q74" i="3" s="1"/>
  <c r="G61" i="2"/>
  <c r="G380" i="2" s="1"/>
  <c r="P74" i="3" s="1"/>
  <c r="F61" i="2"/>
  <c r="F380" i="2" s="1"/>
  <c r="O74" i="3" s="1"/>
  <c r="X281" i="1"/>
  <c r="J73" i="2"/>
  <c r="J100" i="2" s="1"/>
  <c r="I73" i="2"/>
  <c r="I100" i="2" s="1"/>
  <c r="H73" i="2"/>
  <c r="H100" i="2" s="1"/>
  <c r="G73" i="2"/>
  <c r="G100" i="2" s="1"/>
  <c r="F73" i="2"/>
  <c r="F100" i="2" s="1"/>
  <c r="E73" i="2"/>
  <c r="E100" i="2" s="1"/>
  <c r="D73" i="2"/>
  <c r="D100" i="2" s="1"/>
  <c r="C73" i="2"/>
  <c r="D464" i="1"/>
  <c r="E464" i="1"/>
  <c r="F464" i="1"/>
  <c r="G464" i="1"/>
  <c r="G266" i="1" s="1"/>
  <c r="H464" i="1"/>
  <c r="I464" i="1"/>
  <c r="I445" i="1" s="1"/>
  <c r="J464" i="1"/>
  <c r="J445" i="1" s="1"/>
  <c r="K464" i="1"/>
  <c r="L464" i="1"/>
  <c r="L445" i="1" s="1"/>
  <c r="M464" i="1"/>
  <c r="N464" i="1"/>
  <c r="N445" i="1" s="1"/>
  <c r="O464" i="1"/>
  <c r="P464" i="1"/>
  <c r="P445" i="1" s="1"/>
  <c r="Q464" i="1"/>
  <c r="Q445" i="1" s="1"/>
  <c r="R464" i="1"/>
  <c r="S464" i="1"/>
  <c r="T464" i="1"/>
  <c r="T445" i="1" s="1"/>
  <c r="U464" i="1"/>
  <c r="U445" i="1" s="1"/>
  <c r="V464" i="1"/>
  <c r="V445" i="1" s="1"/>
  <c r="W464" i="1"/>
  <c r="X464" i="1"/>
  <c r="X445" i="1" s="1"/>
  <c r="Y464" i="1"/>
  <c r="Y445" i="1" s="1"/>
  <c r="Z464" i="1"/>
  <c r="Z445" i="1" s="1"/>
  <c r="AA464" i="1"/>
  <c r="AB464" i="1"/>
  <c r="AC464" i="1"/>
  <c r="AD464" i="1"/>
  <c r="AE464" i="1"/>
  <c r="AF464" i="1"/>
  <c r="AG464" i="1"/>
  <c r="AH464" i="1"/>
  <c r="AI464" i="1"/>
  <c r="AJ464" i="1"/>
  <c r="AK464" i="1"/>
  <c r="AL464" i="1"/>
  <c r="AM464" i="1"/>
  <c r="AN464" i="1"/>
  <c r="AO464" i="1"/>
  <c r="AP464" i="1"/>
  <c r="AQ464" i="1"/>
  <c r="AR464" i="1"/>
  <c r="AS464" i="1"/>
  <c r="AT464" i="1"/>
  <c r="D315" i="2"/>
  <c r="C315" i="2"/>
  <c r="K290" i="2"/>
  <c r="T130" i="3" s="1"/>
  <c r="J290" i="2"/>
  <c r="S130" i="3" s="1"/>
  <c r="I290" i="2"/>
  <c r="R130" i="3" s="1"/>
  <c r="H290" i="2"/>
  <c r="Q130" i="3" s="1"/>
  <c r="G290" i="2"/>
  <c r="P130" i="3" s="1"/>
  <c r="F290" i="2"/>
  <c r="O130" i="3" s="1"/>
  <c r="E290" i="2"/>
  <c r="N130" i="3" s="1"/>
  <c r="D290" i="2"/>
  <c r="M130" i="3" s="1"/>
  <c r="C290" i="2"/>
  <c r="L130" i="3" s="1"/>
  <c r="E150" i="2"/>
  <c r="N21" i="3" s="1"/>
  <c r="D150" i="2"/>
  <c r="M21" i="3" s="1"/>
  <c r="C150" i="2"/>
  <c r="L21" i="3" s="1"/>
  <c r="C398" i="2"/>
  <c r="C355" i="2"/>
  <c r="C340" i="2"/>
  <c r="C321" i="2"/>
  <c r="C330" i="2" s="1"/>
  <c r="C306" i="2"/>
  <c r="C300" i="2"/>
  <c r="C289" i="2"/>
  <c r="C286" i="2"/>
  <c r="C283" i="2"/>
  <c r="C279" i="2"/>
  <c r="C275" i="2"/>
  <c r="C272" i="2"/>
  <c r="C268" i="2"/>
  <c r="C262" i="2"/>
  <c r="C240" i="2"/>
  <c r="C231" i="2"/>
  <c r="C166" i="2"/>
  <c r="C149" i="2"/>
  <c r="C96" i="2"/>
  <c r="C89" i="2"/>
  <c r="C57" i="2"/>
  <c r="C71" i="2" s="1"/>
  <c r="AR429" i="1"/>
  <c r="AS429" i="1"/>
  <c r="AT429" i="1"/>
  <c r="C451" i="1"/>
  <c r="D451" i="1"/>
  <c r="E451" i="1"/>
  <c r="F451" i="1"/>
  <c r="G451" i="1"/>
  <c r="H451" i="1"/>
  <c r="I451" i="1"/>
  <c r="J451" i="1"/>
  <c r="K451" i="1"/>
  <c r="L451" i="1"/>
  <c r="M451" i="1"/>
  <c r="N451" i="1"/>
  <c r="O451" i="1"/>
  <c r="P451" i="1"/>
  <c r="Q451" i="1"/>
  <c r="R451" i="1"/>
  <c r="S451" i="1"/>
  <c r="T451" i="1"/>
  <c r="U451" i="1"/>
  <c r="V451" i="1"/>
  <c r="W451" i="1"/>
  <c r="X451" i="1"/>
  <c r="Y451" i="1"/>
  <c r="Z451" i="1"/>
  <c r="AA451" i="1"/>
  <c r="AB451" i="1"/>
  <c r="AC451" i="1"/>
  <c r="AD451" i="1"/>
  <c r="AE451" i="1"/>
  <c r="AF451" i="1"/>
  <c r="AG451" i="1"/>
  <c r="AH451" i="1"/>
  <c r="AI451" i="1"/>
  <c r="AJ451" i="1"/>
  <c r="AK451" i="1"/>
  <c r="AL451" i="1"/>
  <c r="AM451" i="1"/>
  <c r="AN451" i="1"/>
  <c r="AO451" i="1"/>
  <c r="AP451" i="1"/>
  <c r="AR451" i="1"/>
  <c r="AS451" i="1"/>
  <c r="AX452" i="1" s="1"/>
  <c r="AT451" i="1"/>
  <c r="L246" i="1"/>
  <c r="M419" i="1"/>
  <c r="N419" i="1"/>
  <c r="P419" i="1"/>
  <c r="Q419" i="1"/>
  <c r="AM168" i="1"/>
  <c r="AN168" i="1"/>
  <c r="AO168" i="1"/>
  <c r="AP168" i="1"/>
  <c r="AQ168" i="1"/>
  <c r="T252" i="3" s="1"/>
  <c r="AR168" i="1"/>
  <c r="AS168" i="1"/>
  <c r="AT168" i="1"/>
  <c r="AF168" i="1"/>
  <c r="AE168" i="1"/>
  <c r="AD168" i="1"/>
  <c r="AB46" i="7"/>
  <c r="AC46" i="7"/>
  <c r="AD46" i="7"/>
  <c r="AA46" i="7"/>
  <c r="CS57" i="7"/>
  <c r="AS162" i="1"/>
  <c r="AT162" i="1"/>
  <c r="CR57" i="7"/>
  <c r="AJ159" i="1"/>
  <c r="O37" i="6" s="1"/>
  <c r="AK159" i="1"/>
  <c r="P37" i="6" s="1"/>
  <c r="AM159" i="1"/>
  <c r="Q37" i="6" s="1"/>
  <c r="AN159" i="1"/>
  <c r="R37" i="6" s="1"/>
  <c r="AO159" i="1"/>
  <c r="S37" i="6" s="1"/>
  <c r="AP159" i="1"/>
  <c r="T37" i="6" s="1"/>
  <c r="AQ159" i="1"/>
  <c r="AR159" i="1"/>
  <c r="U37" i="6" s="1"/>
  <c r="AS159" i="1"/>
  <c r="V37" i="6" s="1"/>
  <c r="AI159" i="1"/>
  <c r="N37" i="6" s="1"/>
  <c r="C97" i="1"/>
  <c r="C138" i="1" s="1"/>
  <c r="G94" i="1"/>
  <c r="G97" i="1" s="1"/>
  <c r="G138" i="1" s="1"/>
  <c r="F94" i="1"/>
  <c r="F95" i="1" s="1"/>
  <c r="E94" i="1"/>
  <c r="E95" i="1" s="1"/>
  <c r="D94" i="1"/>
  <c r="D95" i="1" s="1"/>
  <c r="L94" i="1"/>
  <c r="K94" i="1"/>
  <c r="K95" i="1" s="1"/>
  <c r="J94" i="1"/>
  <c r="J95" i="1" s="1"/>
  <c r="I94" i="1"/>
  <c r="I97" i="1" s="1"/>
  <c r="I138" i="1" s="1"/>
  <c r="H94" i="1"/>
  <c r="H125" i="1" s="1"/>
  <c r="Q94" i="1"/>
  <c r="P94" i="1"/>
  <c r="P95" i="1" s="1"/>
  <c r="O94" i="1"/>
  <c r="O97" i="1" s="1"/>
  <c r="O138" i="1" s="1"/>
  <c r="N94" i="1"/>
  <c r="N97" i="1" s="1"/>
  <c r="N138" i="1" s="1"/>
  <c r="M94" i="1"/>
  <c r="M125" i="1" s="1"/>
  <c r="V94" i="1"/>
  <c r="V97" i="1" s="1"/>
  <c r="V138" i="1" s="1"/>
  <c r="U94" i="1"/>
  <c r="U95" i="1" s="1"/>
  <c r="T94" i="1"/>
  <c r="T97" i="1" s="1"/>
  <c r="T138" i="1" s="1"/>
  <c r="S94" i="1"/>
  <c r="S97" i="1" s="1"/>
  <c r="S138" i="1" s="1"/>
  <c r="R94" i="1"/>
  <c r="R125" i="1" s="1"/>
  <c r="AA94" i="1"/>
  <c r="AA97" i="1" s="1"/>
  <c r="AA138" i="1" s="1"/>
  <c r="Z94" i="1"/>
  <c r="Z95" i="1" s="1"/>
  <c r="Y94" i="1"/>
  <c r="X94" i="1"/>
  <c r="X95" i="1" s="1"/>
  <c r="W94" i="1"/>
  <c r="W95" i="1" s="1"/>
  <c r="W126" i="1" s="1"/>
  <c r="AF94" i="1"/>
  <c r="AF97" i="1" s="1"/>
  <c r="AF138" i="1" s="1"/>
  <c r="E182" i="6" s="1"/>
  <c r="AE94" i="1"/>
  <c r="AE95" i="1" s="1"/>
  <c r="AD94" i="1"/>
  <c r="AD95" i="1" s="1"/>
  <c r="AC94" i="1"/>
  <c r="AC97" i="1" s="1"/>
  <c r="AC138" i="1" s="1"/>
  <c r="B182" i="6" s="1"/>
  <c r="AB94" i="1"/>
  <c r="AK94" i="1"/>
  <c r="AJ94" i="1"/>
  <c r="AJ95" i="1" s="1"/>
  <c r="AI94" i="1"/>
  <c r="AI97" i="1" s="1"/>
  <c r="AI138" i="1" s="1"/>
  <c r="G182" i="6" s="1"/>
  <c r="AH94" i="1"/>
  <c r="AH97" i="1" s="1"/>
  <c r="AH138" i="1" s="1"/>
  <c r="F182" i="6" s="1"/>
  <c r="AG94" i="1"/>
  <c r="AL94" i="1"/>
  <c r="AL95" i="1" s="1"/>
  <c r="AL126" i="1" s="1"/>
  <c r="AM94" i="1"/>
  <c r="AM95" i="1" s="1"/>
  <c r="AN94" i="1"/>
  <c r="AN95" i="1" s="1"/>
  <c r="AO94" i="1"/>
  <c r="AO95" i="1" s="1"/>
  <c r="AP94" i="1"/>
  <c r="AP95" i="1" s="1"/>
  <c r="AR94" i="1"/>
  <c r="AR97" i="1" s="1"/>
  <c r="AR142" i="1" s="1"/>
  <c r="AS94" i="1"/>
  <c r="AS97" i="1" s="1"/>
  <c r="AS138" i="1" s="1"/>
  <c r="O182" i="6" s="1"/>
  <c r="AT94" i="1"/>
  <c r="AT97" i="1" s="1"/>
  <c r="AT138" i="1" s="1"/>
  <c r="P182" i="6" s="1"/>
  <c r="AQ94" i="1"/>
  <c r="AQ95" i="1" s="1"/>
  <c r="AQ126" i="1" s="1"/>
  <c r="AU94" i="1"/>
  <c r="AV94" i="1"/>
  <c r="C95" i="1"/>
  <c r="C105" i="1"/>
  <c r="D105" i="1"/>
  <c r="E105" i="1"/>
  <c r="F105" i="1"/>
  <c r="G105" i="1"/>
  <c r="H105" i="1"/>
  <c r="I105" i="1"/>
  <c r="J105" i="1"/>
  <c r="K105" i="1"/>
  <c r="L105" i="1"/>
  <c r="M105" i="1"/>
  <c r="N105" i="1"/>
  <c r="O105" i="1"/>
  <c r="P105" i="1"/>
  <c r="Q105" i="1"/>
  <c r="R105" i="1"/>
  <c r="S105" i="1"/>
  <c r="T105" i="1"/>
  <c r="U105" i="1"/>
  <c r="V105" i="1"/>
  <c r="W105" i="1"/>
  <c r="X105" i="1"/>
  <c r="Y105" i="1"/>
  <c r="Z105" i="1"/>
  <c r="AA105" i="1"/>
  <c r="AB105" i="1"/>
  <c r="AC105" i="1"/>
  <c r="AD105" i="1"/>
  <c r="AE105" i="1"/>
  <c r="AF105" i="1"/>
  <c r="AG105" i="1"/>
  <c r="AH105" i="1"/>
  <c r="AI105" i="1"/>
  <c r="AJ105" i="1"/>
  <c r="AK105" i="1"/>
  <c r="AL105" i="1"/>
  <c r="AM105" i="1"/>
  <c r="AN105" i="1"/>
  <c r="AO105" i="1"/>
  <c r="AP105" i="1"/>
  <c r="AQ105" i="1"/>
  <c r="AR105" i="1"/>
  <c r="AR103" i="1"/>
  <c r="U9" i="6" s="1"/>
  <c r="M103" i="1"/>
  <c r="N103" i="1"/>
  <c r="O103" i="1"/>
  <c r="P103" i="1"/>
  <c r="Q103" i="1"/>
  <c r="R103" i="1"/>
  <c r="S103" i="1"/>
  <c r="T103" i="1"/>
  <c r="U103" i="1"/>
  <c r="V103" i="1"/>
  <c r="W103" i="1"/>
  <c r="X103" i="1"/>
  <c r="Y103" i="1"/>
  <c r="Z103" i="1"/>
  <c r="AA103" i="1"/>
  <c r="AB103" i="1"/>
  <c r="AC103" i="1"/>
  <c r="I9" i="6" s="1"/>
  <c r="AD103" i="1"/>
  <c r="J9" i="6" s="1"/>
  <c r="AE103" i="1"/>
  <c r="K9" i="6" s="1"/>
  <c r="AF103" i="1"/>
  <c r="L9" i="6" s="1"/>
  <c r="AG103" i="1"/>
  <c r="AH103" i="1"/>
  <c r="M9" i="6" s="1"/>
  <c r="AI103" i="1"/>
  <c r="N9" i="6" s="1"/>
  <c r="AJ103" i="1"/>
  <c r="O9" i="6" s="1"/>
  <c r="AK103" i="1"/>
  <c r="P9" i="6" s="1"/>
  <c r="AL103" i="1"/>
  <c r="AM103" i="1"/>
  <c r="Q9" i="6" s="1"/>
  <c r="AN103" i="1"/>
  <c r="R9" i="6" s="1"/>
  <c r="AO103" i="1"/>
  <c r="S9" i="6" s="1"/>
  <c r="AP103" i="1"/>
  <c r="T9" i="6" s="1"/>
  <c r="AR137" i="1"/>
  <c r="AS137" i="1"/>
  <c r="AT137" i="1"/>
  <c r="M137" i="1"/>
  <c r="N137" i="1"/>
  <c r="O137" i="1"/>
  <c r="P137" i="1"/>
  <c r="Q137" i="1"/>
  <c r="R137" i="1"/>
  <c r="S137" i="1"/>
  <c r="T137" i="1"/>
  <c r="U137" i="1"/>
  <c r="V137" i="1"/>
  <c r="W137" i="1"/>
  <c r="X137" i="1"/>
  <c r="Y137" i="1"/>
  <c r="Z137" i="1"/>
  <c r="AA137" i="1"/>
  <c r="AB137" i="1"/>
  <c r="AC137" i="1"/>
  <c r="AD137" i="1"/>
  <c r="AE137" i="1"/>
  <c r="AF137" i="1"/>
  <c r="AG137" i="1"/>
  <c r="AH137" i="1"/>
  <c r="AI137" i="1"/>
  <c r="AJ137" i="1"/>
  <c r="AK137" i="1"/>
  <c r="AL137" i="1"/>
  <c r="AM137" i="1"/>
  <c r="AN137" i="1"/>
  <c r="AO137" i="1"/>
  <c r="AP137" i="1"/>
  <c r="D447" i="1"/>
  <c r="E447" i="1"/>
  <c r="F447" i="1"/>
  <c r="G447" i="1"/>
  <c r="I447" i="1"/>
  <c r="J447" i="1"/>
  <c r="K447" i="1"/>
  <c r="L447" i="1"/>
  <c r="M447" i="1"/>
  <c r="R447" i="1"/>
  <c r="U447" i="1"/>
  <c r="V447" i="1"/>
  <c r="C447" i="1"/>
  <c r="S447" i="1"/>
  <c r="Y447" i="1"/>
  <c r="Z447" i="1"/>
  <c r="AA447" i="1"/>
  <c r="AB447" i="1"/>
  <c r="J71" i="6"/>
  <c r="J73" i="6" s="1"/>
  <c r="K71" i="6"/>
  <c r="K73" i="6" s="1"/>
  <c r="AG447" i="1"/>
  <c r="M71" i="6"/>
  <c r="N71" i="6"/>
  <c r="O71" i="6"/>
  <c r="O73" i="6" s="1"/>
  <c r="Q71" i="6"/>
  <c r="Q73" i="6" s="1"/>
  <c r="T71" i="6"/>
  <c r="T73" i="6" s="1"/>
  <c r="AQ447" i="1"/>
  <c r="AR209" i="1"/>
  <c r="U36" i="6" s="1"/>
  <c r="AQ209" i="1"/>
  <c r="AP209" i="1"/>
  <c r="T36" i="6" s="1"/>
  <c r="AO209" i="1"/>
  <c r="S36" i="6" s="1"/>
  <c r="AN209" i="1"/>
  <c r="R36" i="6" s="1"/>
  <c r="AM209" i="1"/>
  <c r="Q36" i="6" s="1"/>
  <c r="AL209" i="1"/>
  <c r="AK209" i="1"/>
  <c r="P36" i="6" s="1"/>
  <c r="AJ209" i="1"/>
  <c r="O36" i="6" s="1"/>
  <c r="AI209" i="1"/>
  <c r="N36" i="6" s="1"/>
  <c r="AH209" i="1"/>
  <c r="M36" i="6" s="1"/>
  <c r="AG209" i="1"/>
  <c r="AF209" i="1"/>
  <c r="L36" i="6" s="1"/>
  <c r="AE209" i="1"/>
  <c r="K36" i="6" s="1"/>
  <c r="AD209" i="1"/>
  <c r="J36" i="6" s="1"/>
  <c r="AC209" i="1"/>
  <c r="I36" i="6" s="1"/>
  <c r="AB209" i="1"/>
  <c r="AA209" i="1"/>
  <c r="Z209" i="1"/>
  <c r="Y209" i="1"/>
  <c r="X209" i="1"/>
  <c r="W209" i="1"/>
  <c r="V209" i="1"/>
  <c r="U209" i="1"/>
  <c r="T209" i="1"/>
  <c r="S209" i="1"/>
  <c r="R209" i="1"/>
  <c r="AQ211" i="1"/>
  <c r="S211" i="1"/>
  <c r="T211" i="1"/>
  <c r="U211" i="1"/>
  <c r="V211" i="1"/>
  <c r="W211" i="1"/>
  <c r="X211" i="1"/>
  <c r="Y211" i="1"/>
  <c r="Z211" i="1"/>
  <c r="AA211" i="1"/>
  <c r="AB211" i="1"/>
  <c r="AC211" i="1"/>
  <c r="I7" i="6" s="1"/>
  <c r="AD211" i="1"/>
  <c r="J7" i="6" s="1"/>
  <c r="AE211" i="1"/>
  <c r="K7" i="6" s="1"/>
  <c r="AF211" i="1"/>
  <c r="L7" i="6" s="1"/>
  <c r="AG211" i="1"/>
  <c r="AH211" i="1"/>
  <c r="M7" i="6" s="1"/>
  <c r="AI211" i="1"/>
  <c r="N7" i="6" s="1"/>
  <c r="AJ211" i="1"/>
  <c r="O7" i="6" s="1"/>
  <c r="AK211" i="1"/>
  <c r="P7" i="6" s="1"/>
  <c r="AL211" i="1"/>
  <c r="AM211" i="1"/>
  <c r="Q7" i="6" s="1"/>
  <c r="AN211" i="1"/>
  <c r="R7" i="6" s="1"/>
  <c r="AO211" i="1"/>
  <c r="S7" i="6" s="1"/>
  <c r="AP211" i="1"/>
  <c r="T7" i="6" s="1"/>
  <c r="AR211" i="1"/>
  <c r="U7" i="6" s="1"/>
  <c r="R211" i="1"/>
  <c r="Y281" i="1" l="1"/>
  <c r="X283" i="1"/>
  <c r="J107" i="2"/>
  <c r="J104" i="2"/>
  <c r="B46" i="4"/>
  <c r="J109" i="2"/>
  <c r="C196" i="3"/>
  <c r="D146" i="2"/>
  <c r="D74" i="2"/>
  <c r="D341" i="2"/>
  <c r="E146" i="2"/>
  <c r="E74" i="2"/>
  <c r="E341" i="2"/>
  <c r="F146" i="2"/>
  <c r="F74" i="2"/>
  <c r="F341" i="2"/>
  <c r="G74" i="2"/>
  <c r="G341" i="2"/>
  <c r="G146" i="2"/>
  <c r="H74" i="2"/>
  <c r="H341" i="2"/>
  <c r="H146" i="2"/>
  <c r="I74" i="2"/>
  <c r="I341" i="2"/>
  <c r="I146" i="2"/>
  <c r="J341" i="2"/>
  <c r="C341" i="2"/>
  <c r="C146" i="2"/>
  <c r="C74" i="2"/>
  <c r="AH419" i="1"/>
  <c r="D419" i="1"/>
  <c r="D246" i="1"/>
  <c r="AJ419" i="1"/>
  <c r="AQ419" i="1"/>
  <c r="AO419" i="1"/>
  <c r="F419" i="1"/>
  <c r="F246" i="1"/>
  <c r="AN419" i="1"/>
  <c r="AA419" i="1"/>
  <c r="S419" i="1"/>
  <c r="K419" i="1"/>
  <c r="K246" i="1"/>
  <c r="AR419" i="1"/>
  <c r="V419" i="1"/>
  <c r="AM419" i="1"/>
  <c r="Z419" i="1"/>
  <c r="R419" i="1"/>
  <c r="J419" i="1"/>
  <c r="J246" i="1"/>
  <c r="E419" i="1"/>
  <c r="E246" i="1"/>
  <c r="AL419" i="1"/>
  <c r="Y419" i="1"/>
  <c r="I419" i="1"/>
  <c r="I246" i="1"/>
  <c r="AI419" i="1"/>
  <c r="AS419" i="1"/>
  <c r="AK419" i="1"/>
  <c r="X419" i="1"/>
  <c r="G419" i="1"/>
  <c r="G246" i="1"/>
  <c r="CO35" i="7"/>
  <c r="CQ35" i="7"/>
  <c r="CS35" i="7"/>
  <c r="CR35" i="7"/>
  <c r="CP35" i="7"/>
  <c r="CN35" i="7"/>
  <c r="CM35" i="7"/>
  <c r="T315" i="2"/>
  <c r="L62" i="4"/>
  <c r="AC4" i="3"/>
  <c r="AC3" i="3" s="1"/>
  <c r="P345" i="2"/>
  <c r="M62" i="4"/>
  <c r="AD4" i="3"/>
  <c r="AD3" i="3" s="1"/>
  <c r="AV162" i="1"/>
  <c r="CT57" i="7"/>
  <c r="W412" i="1"/>
  <c r="W419" i="1"/>
  <c r="O419" i="1"/>
  <c r="AP412" i="1"/>
  <c r="AP419" i="1"/>
  <c r="U412" i="1"/>
  <c r="U419" i="1"/>
  <c r="AB412" i="1"/>
  <c r="AB419" i="1"/>
  <c r="T412" i="1"/>
  <c r="T419" i="1"/>
  <c r="L419" i="1"/>
  <c r="M412" i="1"/>
  <c r="AQ412" i="1"/>
  <c r="V412" i="1"/>
  <c r="Y412" i="1"/>
  <c r="AM412" i="1"/>
  <c r="Z412" i="1"/>
  <c r="R412" i="1"/>
  <c r="AO412" i="1"/>
  <c r="AT412" i="1"/>
  <c r="AN412" i="1"/>
  <c r="AA412" i="1"/>
  <c r="S412" i="1"/>
  <c r="AS412" i="1"/>
  <c r="X412" i="1"/>
  <c r="AR412" i="1"/>
  <c r="AW412" i="1"/>
  <c r="AP266" i="1"/>
  <c r="AP269" i="1" s="1"/>
  <c r="AP445" i="1"/>
  <c r="AH266" i="1"/>
  <c r="AH269" i="1" s="1"/>
  <c r="AH445" i="1"/>
  <c r="AO266" i="1"/>
  <c r="AO271" i="1" s="1"/>
  <c r="AO20" i="1" s="1"/>
  <c r="AO445" i="1"/>
  <c r="AG266" i="1"/>
  <c r="AN266" i="1"/>
  <c r="AN269" i="1" s="1"/>
  <c r="AN445" i="1"/>
  <c r="AF266" i="1"/>
  <c r="AF271" i="1" s="1"/>
  <c r="AF20" i="1" s="1"/>
  <c r="AF22" i="1" s="1"/>
  <c r="AF445" i="1"/>
  <c r="AM266" i="1"/>
  <c r="AM271" i="1" s="1"/>
  <c r="AM20" i="1" s="1"/>
  <c r="AM445" i="1"/>
  <c r="AE266" i="1"/>
  <c r="AE271" i="1" s="1"/>
  <c r="AE20" i="1" s="1"/>
  <c r="AE22" i="1" s="1"/>
  <c r="AE445" i="1"/>
  <c r="W266" i="1"/>
  <c r="O266" i="1"/>
  <c r="O271" i="1" s="1"/>
  <c r="O20" i="1" s="1"/>
  <c r="O22" i="1" s="1"/>
  <c r="O445" i="1"/>
  <c r="AT266" i="1"/>
  <c r="AT269" i="1" s="1"/>
  <c r="AT445" i="1"/>
  <c r="AL266" i="1"/>
  <c r="AD266" i="1"/>
  <c r="AD269" i="1" s="1"/>
  <c r="AD445" i="1"/>
  <c r="AS266" i="1"/>
  <c r="AS271" i="1" s="1"/>
  <c r="AS20" i="1" s="1"/>
  <c r="AS445" i="1"/>
  <c r="AK266" i="1"/>
  <c r="AK271" i="1" s="1"/>
  <c r="AK20" i="1" s="1"/>
  <c r="AK445" i="1"/>
  <c r="AC266" i="1"/>
  <c r="AC271" i="1" s="1"/>
  <c r="AC20" i="1" s="1"/>
  <c r="AC22" i="1" s="1"/>
  <c r="AC445" i="1"/>
  <c r="AR266" i="1"/>
  <c r="AR271" i="1" s="1"/>
  <c r="AR20" i="1" s="1"/>
  <c r="AR445" i="1"/>
  <c r="AJ266" i="1"/>
  <c r="AJ271" i="1" s="1"/>
  <c r="AJ20" i="1" s="1"/>
  <c r="AJ445" i="1"/>
  <c r="AQ266" i="1"/>
  <c r="AI266" i="1"/>
  <c r="AI269" i="1" s="1"/>
  <c r="AI445" i="1"/>
  <c r="AA266" i="1"/>
  <c r="AA271" i="1" s="1"/>
  <c r="AA20" i="1" s="1"/>
  <c r="AA22" i="1" s="1"/>
  <c r="AA445" i="1"/>
  <c r="S266" i="1"/>
  <c r="S269" i="1" s="1"/>
  <c r="S445" i="1"/>
  <c r="K266" i="1"/>
  <c r="K271" i="1" s="1"/>
  <c r="K445" i="1"/>
  <c r="V315" i="2"/>
  <c r="J75" i="2"/>
  <c r="J381" i="2" s="1"/>
  <c r="S75" i="3" s="1"/>
  <c r="S35" i="7"/>
  <c r="AE35" i="7"/>
  <c r="AN35" i="7"/>
  <c r="AH35" i="7"/>
  <c r="AA35" i="7"/>
  <c r="U35" i="7"/>
  <c r="H35" i="7"/>
  <c r="V95" i="1"/>
  <c r="AM35" i="7"/>
  <c r="AG35" i="7"/>
  <c r="T35" i="7"/>
  <c r="N35" i="7"/>
  <c r="G35" i="7"/>
  <c r="Z35" i="7"/>
  <c r="M35" i="7"/>
  <c r="Y35" i="7"/>
  <c r="L35" i="7"/>
  <c r="R35" i="7"/>
  <c r="AJ35" i="7"/>
  <c r="W35" i="7"/>
  <c r="AI35" i="7"/>
  <c r="AC35" i="7"/>
  <c r="P35" i="7"/>
  <c r="J35" i="7"/>
  <c r="AF35" i="7"/>
  <c r="AL35" i="7"/>
  <c r="AK35" i="7"/>
  <c r="X35" i="7"/>
  <c r="K35" i="7"/>
  <c r="AD35" i="7"/>
  <c r="Q35" i="7"/>
  <c r="AO35" i="7"/>
  <c r="AB35" i="7"/>
  <c r="V35" i="7"/>
  <c r="O35" i="7"/>
  <c r="I35" i="7"/>
  <c r="J191" i="2"/>
  <c r="K191" i="2"/>
  <c r="I191" i="2"/>
  <c r="C331" i="1"/>
  <c r="L79" i="4"/>
  <c r="AT452" i="1"/>
  <c r="AY452" i="1"/>
  <c r="AR452" i="1"/>
  <c r="AW452" i="1"/>
  <c r="AS163" i="1"/>
  <c r="AW162" i="1"/>
  <c r="R266" i="1"/>
  <c r="F266" i="1"/>
  <c r="F269" i="1" s="1"/>
  <c r="AR108" i="1"/>
  <c r="AR138" i="1"/>
  <c r="N182" i="6" s="1"/>
  <c r="Y266" i="1"/>
  <c r="Y271" i="1" s="1"/>
  <c r="Y20" i="1" s="1"/>
  <c r="Y22" i="1" s="1"/>
  <c r="U266" i="1"/>
  <c r="U271" i="1" s="1"/>
  <c r="U20" i="1" s="1"/>
  <c r="U22" i="1" s="1"/>
  <c r="Q266" i="1"/>
  <c r="Q271" i="1" s="1"/>
  <c r="Q20" i="1" s="1"/>
  <c r="Q22" i="1" s="1"/>
  <c r="M266" i="1"/>
  <c r="I266" i="1"/>
  <c r="I271" i="1" s="1"/>
  <c r="E266" i="1"/>
  <c r="E271" i="1" s="1"/>
  <c r="Z266" i="1"/>
  <c r="Z269" i="1" s="1"/>
  <c r="N266" i="1"/>
  <c r="N269" i="1" s="1"/>
  <c r="AB266" i="1"/>
  <c r="X266" i="1"/>
  <c r="X271" i="1" s="1"/>
  <c r="X20" i="1" s="1"/>
  <c r="X22" i="1" s="1"/>
  <c r="T266" i="1"/>
  <c r="T271" i="1" s="1"/>
  <c r="T20" i="1" s="1"/>
  <c r="T22" i="1" s="1"/>
  <c r="P266" i="1"/>
  <c r="P269" i="1" s="1"/>
  <c r="L266" i="1"/>
  <c r="L271" i="1" s="1"/>
  <c r="H266" i="1"/>
  <c r="D266" i="1"/>
  <c r="D271" i="1" s="1"/>
  <c r="V266" i="1"/>
  <c r="V269" i="1" s="1"/>
  <c r="J266" i="1"/>
  <c r="J269" i="1" s="1"/>
  <c r="AO106" i="1"/>
  <c r="AK106" i="1"/>
  <c r="AG106" i="1"/>
  <c r="AC106" i="1"/>
  <c r="Y106" i="1"/>
  <c r="AR169" i="1"/>
  <c r="AT169" i="1"/>
  <c r="U106" i="1"/>
  <c r="Q106" i="1"/>
  <c r="M106" i="1"/>
  <c r="I106" i="1"/>
  <c r="V142" i="1"/>
  <c r="V143" i="1"/>
  <c r="V144" i="1"/>
  <c r="V145" i="1"/>
  <c r="AC142" i="1"/>
  <c r="AC143" i="1"/>
  <c r="AC144" i="1"/>
  <c r="AC145" i="1"/>
  <c r="AA142" i="1"/>
  <c r="AA143" i="1"/>
  <c r="AA144" i="1"/>
  <c r="AA145" i="1"/>
  <c r="S142" i="1"/>
  <c r="S143" i="1"/>
  <c r="S144" i="1"/>
  <c r="S145" i="1"/>
  <c r="AF143" i="1"/>
  <c r="AF145" i="1"/>
  <c r="L106" i="6" s="1"/>
  <c r="AF142" i="1"/>
  <c r="AF144" i="1"/>
  <c r="L105" i="6" s="1"/>
  <c r="T143" i="1"/>
  <c r="T144" i="1"/>
  <c r="T145" i="1"/>
  <c r="T142" i="1"/>
  <c r="AS169" i="1"/>
  <c r="AI46" i="7"/>
  <c r="AE46" i="7"/>
  <c r="AO46" i="7"/>
  <c r="AN46" i="7"/>
  <c r="AK46" i="7"/>
  <c r="AG46" i="7"/>
  <c r="AL46" i="7"/>
  <c r="AH46" i="7"/>
  <c r="AM46" i="7"/>
  <c r="AJ46" i="7"/>
  <c r="AF46" i="7"/>
  <c r="AN57" i="7"/>
  <c r="V34" i="6"/>
  <c r="AK57" i="7"/>
  <c r="S34" i="6"/>
  <c r="AO57" i="7"/>
  <c r="W34" i="6"/>
  <c r="AL57" i="7"/>
  <c r="T34" i="6"/>
  <c r="AE57" i="7"/>
  <c r="M34" i="6"/>
  <c r="AD57" i="7"/>
  <c r="L34" i="6"/>
  <c r="AM57" i="7"/>
  <c r="U34" i="6"/>
  <c r="AJ57" i="7"/>
  <c r="R34" i="6"/>
  <c r="AG57" i="7"/>
  <c r="O34" i="6"/>
  <c r="AC57" i="7"/>
  <c r="K34" i="6"/>
  <c r="AK162" i="1"/>
  <c r="P38" i="6" s="1"/>
  <c r="AH57" i="7"/>
  <c r="P34" i="6"/>
  <c r="AB57" i="7"/>
  <c r="J34" i="6"/>
  <c r="AM162" i="1"/>
  <c r="Q38" i="6" s="1"/>
  <c r="AI57" i="7"/>
  <c r="Q34" i="6"/>
  <c r="AI163" i="1"/>
  <c r="AF57" i="7"/>
  <c r="N34" i="6"/>
  <c r="X447" i="1"/>
  <c r="AL447" i="1"/>
  <c r="T447" i="1"/>
  <c r="O447" i="1"/>
  <c r="W447" i="1"/>
  <c r="Q447" i="1"/>
  <c r="AM447" i="1"/>
  <c r="AI447" i="1"/>
  <c r="AE447" i="1"/>
  <c r="N447" i="1"/>
  <c r="AJ447" i="1"/>
  <c r="P447" i="1"/>
  <c r="AP447" i="1"/>
  <c r="AH447" i="1"/>
  <c r="AD447" i="1"/>
  <c r="G455" i="1"/>
  <c r="Z455" i="1"/>
  <c r="V455" i="1"/>
  <c r="J455" i="1"/>
  <c r="F455" i="1"/>
  <c r="F430" i="1" s="1"/>
  <c r="L455" i="1"/>
  <c r="L459" i="1" s="1"/>
  <c r="D455" i="1"/>
  <c r="AF95" i="1"/>
  <c r="Y455" i="1"/>
  <c r="U455" i="1"/>
  <c r="I455" i="1"/>
  <c r="E455" i="1"/>
  <c r="E465" i="1" s="1"/>
  <c r="AO162" i="1"/>
  <c r="S38" i="6" s="1"/>
  <c r="AA448" i="1"/>
  <c r="AA455" i="1"/>
  <c r="AA465" i="1" s="1"/>
  <c r="S455" i="1"/>
  <c r="K448" i="1"/>
  <c r="K455" i="1"/>
  <c r="R220" i="1"/>
  <c r="AC95" i="1"/>
  <c r="AP162" i="1"/>
  <c r="T38" i="6" s="1"/>
  <c r="AL163" i="1"/>
  <c r="L448" i="1"/>
  <c r="AP106" i="1"/>
  <c r="AL106" i="1"/>
  <c r="AH106" i="1"/>
  <c r="AD106" i="1"/>
  <c r="Z106" i="1"/>
  <c r="V106" i="1"/>
  <c r="R106" i="1"/>
  <c r="N106" i="1"/>
  <c r="J106" i="1"/>
  <c r="I95" i="1"/>
  <c r="AC281" i="1"/>
  <c r="L125" i="1"/>
  <c r="L95" i="1"/>
  <c r="AS452" i="1"/>
  <c r="AI95" i="1"/>
  <c r="N95" i="1"/>
  <c r="D97" i="1"/>
  <c r="D138" i="1" s="1"/>
  <c r="H448" i="1"/>
  <c r="AB125" i="1"/>
  <c r="AB97" i="1"/>
  <c r="AB138" i="1" s="1"/>
  <c r="AS95" i="1"/>
  <c r="T95" i="1"/>
  <c r="G95" i="1"/>
  <c r="W97" i="1"/>
  <c r="W138" i="1" s="1"/>
  <c r="W125" i="1"/>
  <c r="AQ163" i="1"/>
  <c r="Z448" i="1"/>
  <c r="R448" i="1"/>
  <c r="J448" i="1"/>
  <c r="AR106" i="1"/>
  <c r="AN106" i="1"/>
  <c r="AJ106" i="1"/>
  <c r="AF106" i="1"/>
  <c r="AB106" i="1"/>
  <c r="X106" i="1"/>
  <c r="T106" i="1"/>
  <c r="P106" i="1"/>
  <c r="L106" i="1"/>
  <c r="AR95" i="1"/>
  <c r="AA95" i="1"/>
  <c r="O95" i="1"/>
  <c r="U97" i="1"/>
  <c r="U138" i="1" s="1"/>
  <c r="AR162" i="1"/>
  <c r="U38" i="6" s="1"/>
  <c r="AN162" i="1"/>
  <c r="R38" i="6" s="1"/>
  <c r="AJ163" i="1"/>
  <c r="AE163" i="1"/>
  <c r="AH163" i="1"/>
  <c r="H82" i="4"/>
  <c r="J127" i="3"/>
  <c r="K127" i="3"/>
  <c r="R410" i="2"/>
  <c r="K75" i="2"/>
  <c r="K381" i="2" s="1"/>
  <c r="T75" i="3" s="1"/>
  <c r="AG125" i="1"/>
  <c r="AG97" i="1"/>
  <c r="AG138" i="1" s="1"/>
  <c r="AG448" i="1"/>
  <c r="M448" i="1"/>
  <c r="I448" i="1"/>
  <c r="AQ106" i="1"/>
  <c r="AM106" i="1"/>
  <c r="AI106" i="1"/>
  <c r="AE106" i="1"/>
  <c r="AA106" i="1"/>
  <c r="W106" i="1"/>
  <c r="S106" i="1"/>
  <c r="O106" i="1"/>
  <c r="K106" i="1"/>
  <c r="AI143" i="1"/>
  <c r="AI142" i="1"/>
  <c r="AI145" i="1"/>
  <c r="AF163" i="1"/>
  <c r="AI162" i="1"/>
  <c r="N38" i="6" s="1"/>
  <c r="Y97" i="1"/>
  <c r="Y138" i="1" s="1"/>
  <c r="Y95" i="1"/>
  <c r="Q97" i="1"/>
  <c r="Q138" i="1" s="1"/>
  <c r="Q95" i="1"/>
  <c r="AR163" i="1"/>
  <c r="AQ162" i="1"/>
  <c r="AK95" i="1"/>
  <c r="AK97" i="1"/>
  <c r="M97" i="1"/>
  <c r="M138" i="1" s="1"/>
  <c r="AM163" i="1"/>
  <c r="H97" i="1"/>
  <c r="H138" i="1" s="1"/>
  <c r="I125" i="1"/>
  <c r="AN163" i="1"/>
  <c r="AJ162" i="1"/>
  <c r="O38" i="6" s="1"/>
  <c r="L97" i="1"/>
  <c r="L138" i="1" s="1"/>
  <c r="AL159" i="1"/>
  <c r="AP163" i="1"/>
  <c r="AK163" i="1"/>
  <c r="AL162" i="1"/>
  <c r="AO163" i="1"/>
  <c r="G271" i="1"/>
  <c r="G269" i="1"/>
  <c r="AR143" i="1"/>
  <c r="AR145" i="1"/>
  <c r="U106" i="6" s="1"/>
  <c r="AR144" i="1"/>
  <c r="U105" i="6" s="1"/>
  <c r="AH142" i="1"/>
  <c r="AH145" i="1"/>
  <c r="AH144" i="1"/>
  <c r="AH143" i="1"/>
  <c r="J125" i="1"/>
  <c r="AG95" i="1"/>
  <c r="AG126" i="1" s="1"/>
  <c r="AB95" i="1"/>
  <c r="AB126" i="1" s="1"/>
  <c r="R95" i="1"/>
  <c r="R126" i="1" s="1"/>
  <c r="M95" i="1"/>
  <c r="M126" i="1" s="1"/>
  <c r="H95" i="1"/>
  <c r="H126" i="1" s="1"/>
  <c r="AT95" i="1"/>
  <c r="AH95" i="1"/>
  <c r="AP97" i="1"/>
  <c r="AP138" i="1" s="1"/>
  <c r="M182" i="6" s="1"/>
  <c r="AL97" i="1"/>
  <c r="AL138" i="1" s="1"/>
  <c r="AD97" i="1"/>
  <c r="AD138" i="1" s="1"/>
  <c r="C182" i="6" s="1"/>
  <c r="Z97" i="1"/>
  <c r="Z138" i="1" s="1"/>
  <c r="R97" i="1"/>
  <c r="R138" i="1" s="1"/>
  <c r="J97" i="1"/>
  <c r="J138" i="1" s="1"/>
  <c r="F97" i="1"/>
  <c r="F138" i="1" s="1"/>
  <c r="AI144" i="1"/>
  <c r="K125" i="1"/>
  <c r="AL125" i="1"/>
  <c r="AO97" i="1"/>
  <c r="AO138" i="1" s="1"/>
  <c r="L182" i="6" s="1"/>
  <c r="E97" i="1"/>
  <c r="E138" i="1" s="1"/>
  <c r="AN97" i="1"/>
  <c r="AN138" i="1" s="1"/>
  <c r="K182" i="6" s="1"/>
  <c r="AJ97" i="1"/>
  <c r="AJ138" i="1" s="1"/>
  <c r="H182" i="6" s="1"/>
  <c r="X97" i="1"/>
  <c r="X138" i="1" s="1"/>
  <c r="P97" i="1"/>
  <c r="P138" i="1" s="1"/>
  <c r="S95" i="1"/>
  <c r="AM97" i="1"/>
  <c r="AM138" i="1" s="1"/>
  <c r="J182" i="6" s="1"/>
  <c r="AE97" i="1"/>
  <c r="AE138" i="1" s="1"/>
  <c r="D182" i="6" s="1"/>
  <c r="K97" i="1"/>
  <c r="K138" i="1" s="1"/>
  <c r="AQ97" i="1"/>
  <c r="AQ138" i="1" s="1"/>
  <c r="AQ125" i="1"/>
  <c r="AQ220" i="1"/>
  <c r="AM220" i="1"/>
  <c r="AI220" i="1"/>
  <c r="AE220" i="1"/>
  <c r="AA220" i="1"/>
  <c r="W220" i="1"/>
  <c r="S220" i="1"/>
  <c r="AT220" i="1"/>
  <c r="AP220" i="1"/>
  <c r="AL220" i="1"/>
  <c r="AH220" i="1"/>
  <c r="AD220" i="1"/>
  <c r="Z220" i="1"/>
  <c r="V220" i="1"/>
  <c r="AR220" i="1"/>
  <c r="AJ220" i="1"/>
  <c r="X220" i="1"/>
  <c r="AS220" i="1"/>
  <c r="AO220" i="1"/>
  <c r="AK220" i="1"/>
  <c r="AC220" i="1"/>
  <c r="Y220" i="1"/>
  <c r="U220" i="1"/>
  <c r="T220" i="1"/>
  <c r="AN220" i="1"/>
  <c r="U71" i="6"/>
  <c r="U73" i="6" s="1"/>
  <c r="AF220" i="1"/>
  <c r="W71" i="6"/>
  <c r="W73" i="6" s="1"/>
  <c r="V71" i="6"/>
  <c r="V73" i="6" s="1"/>
  <c r="AB220" i="1"/>
  <c r="AG220" i="1"/>
  <c r="BA124" i="1"/>
  <c r="K275" i="1" l="1"/>
  <c r="K20" i="1"/>
  <c r="K22" i="1" s="1"/>
  <c r="G275" i="1"/>
  <c r="G20" i="1"/>
  <c r="G22" i="1" s="1"/>
  <c r="E275" i="1"/>
  <c r="E20" i="1"/>
  <c r="E22" i="1" s="1"/>
  <c r="I275" i="1"/>
  <c r="I20" i="1"/>
  <c r="I22" i="1" s="1"/>
  <c r="L275" i="1"/>
  <c r="L20" i="1"/>
  <c r="L22" i="1" s="1"/>
  <c r="D275" i="1"/>
  <c r="D20" i="1"/>
  <c r="D22" i="1" s="1"/>
  <c r="AD281" i="1"/>
  <c r="AC283" i="1"/>
  <c r="Z281" i="1"/>
  <c r="Y283" i="1"/>
  <c r="C16" i="21"/>
  <c r="C147" i="21" s="1"/>
  <c r="C201" i="21" s="1"/>
  <c r="T198" i="21" s="1"/>
  <c r="Q62" i="27"/>
  <c r="U62" i="27"/>
  <c r="R62" i="27"/>
  <c r="T62" i="27"/>
  <c r="V62" i="27"/>
  <c r="N62" i="27"/>
  <c r="S62" i="27"/>
  <c r="M62" i="27"/>
  <c r="W62" i="27"/>
  <c r="X62" i="27"/>
  <c r="J62" i="27"/>
  <c r="Y62" i="27"/>
  <c r="Z62" i="27"/>
  <c r="AB62" i="27"/>
  <c r="K62" i="27"/>
  <c r="L62" i="27"/>
  <c r="AA62" i="27"/>
  <c r="I62" i="27"/>
  <c r="P62" i="27"/>
  <c r="O62" i="27"/>
  <c r="P325" i="2"/>
  <c r="AQ271" i="1"/>
  <c r="AQ20" i="1" s="1"/>
  <c r="K85" i="2"/>
  <c r="H269" i="1"/>
  <c r="D85" i="2"/>
  <c r="AL269" i="1"/>
  <c r="J85" i="2"/>
  <c r="AB271" i="1"/>
  <c r="AB20" i="1" s="1"/>
  <c r="H85" i="2"/>
  <c r="W271" i="1"/>
  <c r="W20" i="1" s="1"/>
  <c r="G85" i="2"/>
  <c r="R269" i="1"/>
  <c r="F85" i="2"/>
  <c r="AG271" i="1"/>
  <c r="AG20" i="1" s="1"/>
  <c r="I85" i="2"/>
  <c r="M271" i="1"/>
  <c r="M20" i="1" s="1"/>
  <c r="E85" i="2"/>
  <c r="AE275" i="1"/>
  <c r="AE273" i="1"/>
  <c r="AA275" i="1"/>
  <c r="AA273" i="1"/>
  <c r="AO275" i="1"/>
  <c r="AC275" i="1"/>
  <c r="AC273" i="1"/>
  <c r="AM275" i="1"/>
  <c r="T275" i="1"/>
  <c r="T273" i="1"/>
  <c r="Q275" i="1"/>
  <c r="Q273" i="1"/>
  <c r="AK275" i="1"/>
  <c r="AF275" i="1"/>
  <c r="AF273" i="1"/>
  <c r="X275" i="1"/>
  <c r="X273" i="1"/>
  <c r="U275" i="1"/>
  <c r="U273" i="1"/>
  <c r="O275" i="1"/>
  <c r="O273" i="1"/>
  <c r="Y275" i="1"/>
  <c r="Y273" i="1"/>
  <c r="AJ275" i="1"/>
  <c r="S421" i="1"/>
  <c r="V421" i="1"/>
  <c r="N17" i="4"/>
  <c r="O17" i="4" s="1"/>
  <c r="P17" i="4" s="1"/>
  <c r="Q17" i="4" s="1"/>
  <c r="R17" i="4" s="1"/>
  <c r="AK272" i="1"/>
  <c r="S271" i="1"/>
  <c r="S20" i="1" s="1"/>
  <c r="S22" i="1" s="1"/>
  <c r="AQ269" i="1"/>
  <c r="C146" i="11"/>
  <c r="D266" i="11" s="1"/>
  <c r="C145" i="11"/>
  <c r="D156" i="11" s="1"/>
  <c r="AC269" i="1"/>
  <c r="AI271" i="1"/>
  <c r="AI20" i="1" s="1"/>
  <c r="AM269" i="1"/>
  <c r="T272" i="1"/>
  <c r="AJ272" i="1"/>
  <c r="AC272" i="1"/>
  <c r="AR272" i="1"/>
  <c r="AO272" i="1"/>
  <c r="Y272" i="1"/>
  <c r="AF272" i="1"/>
  <c r="O269" i="1"/>
  <c r="AA269" i="1"/>
  <c r="K269" i="1"/>
  <c r="AE269" i="1"/>
  <c r="W269" i="1"/>
  <c r="K425" i="1"/>
  <c r="K426" i="1" s="1"/>
  <c r="K421" i="1"/>
  <c r="J421" i="1"/>
  <c r="G425" i="1"/>
  <c r="G426" i="1" s="1"/>
  <c r="G421" i="1"/>
  <c r="I269" i="1"/>
  <c r="Y269" i="1"/>
  <c r="M79" i="4"/>
  <c r="X269" i="1"/>
  <c r="AG269" i="1"/>
  <c r="D269" i="1"/>
  <c r="M269" i="1"/>
  <c r="Z271" i="1"/>
  <c r="Z20" i="1" s="1"/>
  <c r="Z22" i="1" s="1"/>
  <c r="E269" i="1"/>
  <c r="AR269" i="1"/>
  <c r="AO269" i="1"/>
  <c r="R271" i="1"/>
  <c r="R20" i="1" s="1"/>
  <c r="AT271" i="1"/>
  <c r="AT20" i="1" s="1"/>
  <c r="AB269" i="1"/>
  <c r="U269" i="1"/>
  <c r="P271" i="1"/>
  <c r="AF269" i="1"/>
  <c r="T269" i="1"/>
  <c r="AJ269" i="1"/>
  <c r="AP271" i="1"/>
  <c r="AP20" i="1" s="1"/>
  <c r="N271" i="1"/>
  <c r="N20" i="1" s="1"/>
  <c r="N22" i="1" s="1"/>
  <c r="V271" i="1"/>
  <c r="V20" i="1" s="1"/>
  <c r="V22" i="1" s="1"/>
  <c r="F271" i="1"/>
  <c r="F20" i="1" s="1"/>
  <c r="F22" i="1" s="1"/>
  <c r="Q269" i="1"/>
  <c r="AD271" i="1"/>
  <c r="AD20" i="1" s="1"/>
  <c r="AD22" i="1" s="1"/>
  <c r="AS269" i="1"/>
  <c r="AL271" i="1"/>
  <c r="G430" i="1"/>
  <c r="L269" i="1"/>
  <c r="G465" i="1"/>
  <c r="J271" i="1"/>
  <c r="J20" i="1" s="1"/>
  <c r="J22" i="1" s="1"/>
  <c r="H271" i="1"/>
  <c r="AN271" i="1"/>
  <c r="AN20" i="1" s="1"/>
  <c r="AK269" i="1"/>
  <c r="AH271" i="1"/>
  <c r="AH20" i="1" s="1"/>
  <c r="AK10" i="7"/>
  <c r="AK34" i="7" s="1"/>
  <c r="H10" i="7"/>
  <c r="H34" i="7" s="1"/>
  <c r="AH10" i="7"/>
  <c r="AH34" i="7" s="1"/>
  <c r="T10" i="7"/>
  <c r="T34" i="7" s="1"/>
  <c r="AA10" i="7"/>
  <c r="AA34" i="7" s="1"/>
  <c r="N10" i="7"/>
  <c r="N34" i="7" s="1"/>
  <c r="U10" i="7"/>
  <c r="U34" i="7" s="1"/>
  <c r="AG10" i="7"/>
  <c r="AG34" i="7" s="1"/>
  <c r="P448" i="1"/>
  <c r="G459" i="1"/>
  <c r="AD10" i="7"/>
  <c r="AD34" i="7" s="1"/>
  <c r="R10" i="7"/>
  <c r="R34" i="7" s="1"/>
  <c r="X10" i="7"/>
  <c r="X34" i="7" s="1"/>
  <c r="G10" i="7"/>
  <c r="G34" i="7" s="1"/>
  <c r="W10" i="7"/>
  <c r="W34" i="7" s="1"/>
  <c r="AM10" i="7"/>
  <c r="AM34" i="7" s="1"/>
  <c r="AN10" i="7"/>
  <c r="AN34" i="7" s="1"/>
  <c r="K10" i="7"/>
  <c r="K34" i="7" s="1"/>
  <c r="AK145" i="1"/>
  <c r="P106" i="6" s="1"/>
  <c r="AK138" i="1"/>
  <c r="I182" i="6" s="1"/>
  <c r="AU158" i="1"/>
  <c r="AV159" i="1"/>
  <c r="C198" i="3"/>
  <c r="J430" i="1"/>
  <c r="Z10" i="7"/>
  <c r="Z34" i="7" s="1"/>
  <c r="P10" i="7"/>
  <c r="P34" i="7" s="1"/>
  <c r="AC10" i="7"/>
  <c r="AC34" i="7" s="1"/>
  <c r="AI10" i="7"/>
  <c r="AI34" i="7" s="1"/>
  <c r="F465" i="1"/>
  <c r="U448" i="1"/>
  <c r="AD448" i="1"/>
  <c r="X448" i="1"/>
  <c r="W448" i="1"/>
  <c r="AM448" i="1"/>
  <c r="AD455" i="1"/>
  <c r="AD430" i="1" s="1"/>
  <c r="J62" i="6" s="1"/>
  <c r="X455" i="1"/>
  <c r="X421" i="1" s="1"/>
  <c r="Y448" i="1"/>
  <c r="Q448" i="1"/>
  <c r="AB448" i="1"/>
  <c r="P455" i="1"/>
  <c r="T448" i="1"/>
  <c r="O448" i="1"/>
  <c r="AH455" i="1"/>
  <c r="AH459" i="1" s="1"/>
  <c r="O455" i="1"/>
  <c r="O431" i="1" s="1"/>
  <c r="J10" i="7"/>
  <c r="J34" i="7" s="1"/>
  <c r="M10" i="7"/>
  <c r="M34" i="7" s="1"/>
  <c r="Z142" i="1"/>
  <c r="Z143" i="1"/>
  <c r="Z145" i="1"/>
  <c r="Z144" i="1"/>
  <c r="T52" i="7"/>
  <c r="T108" i="1"/>
  <c r="T55" i="7" s="1"/>
  <c r="AF151" i="1"/>
  <c r="AA151" i="1"/>
  <c r="I106" i="6"/>
  <c r="AE142" i="1"/>
  <c r="AE143" i="1"/>
  <c r="AE144" i="1"/>
  <c r="AE145" i="1"/>
  <c r="AK144" i="1"/>
  <c r="AK150" i="1" s="1"/>
  <c r="AD142" i="1"/>
  <c r="AI148" i="1" s="1"/>
  <c r="AD143" i="1"/>
  <c r="AI149" i="1" s="1"/>
  <c r="AD144" i="1"/>
  <c r="AI150" i="1" s="1"/>
  <c r="AD145" i="1"/>
  <c r="AI151" i="1" s="1"/>
  <c r="Y142" i="1"/>
  <c r="Y143" i="1"/>
  <c r="Y144" i="1"/>
  <c r="Y150" i="1" s="1"/>
  <c r="Y145" i="1"/>
  <c r="Y151" i="1" s="1"/>
  <c r="AD52" i="7"/>
  <c r="L103" i="6"/>
  <c r="AF148" i="1"/>
  <c r="AF108" i="1"/>
  <c r="AF150" i="1"/>
  <c r="AA150" i="1"/>
  <c r="I105" i="6"/>
  <c r="AG142" i="1"/>
  <c r="CR52" i="7" s="1"/>
  <c r="AG143" i="1"/>
  <c r="AG144" i="1"/>
  <c r="AG145" i="1"/>
  <c r="U142" i="1"/>
  <c r="U143" i="1"/>
  <c r="U144" i="1"/>
  <c r="U145" i="1"/>
  <c r="W142" i="1"/>
  <c r="CP52" i="7" s="1"/>
  <c r="W143" i="1"/>
  <c r="W144" i="1"/>
  <c r="W145" i="1"/>
  <c r="S54" i="7"/>
  <c r="S53" i="7"/>
  <c r="Z54" i="7"/>
  <c r="Z53" i="7"/>
  <c r="AA149" i="1"/>
  <c r="AA53" i="7"/>
  <c r="I104" i="6"/>
  <c r="AA54" i="7"/>
  <c r="V53" i="7"/>
  <c r="V54" i="7"/>
  <c r="X142" i="1"/>
  <c r="X145" i="1"/>
  <c r="X151" i="1" s="1"/>
  <c r="X143" i="1"/>
  <c r="X144" i="1"/>
  <c r="X150" i="1" s="1"/>
  <c r="AK142" i="1"/>
  <c r="AK148" i="1" s="1"/>
  <c r="R142" i="1"/>
  <c r="CO52" i="7" s="1"/>
  <c r="R143" i="1"/>
  <c r="R144" i="1"/>
  <c r="R145" i="1"/>
  <c r="AB144" i="1"/>
  <c r="AB142" i="1"/>
  <c r="CQ52" i="7" s="1"/>
  <c r="AB143" i="1"/>
  <c r="AB145" i="1"/>
  <c r="T53" i="7"/>
  <c r="T54" i="7"/>
  <c r="AD54" i="7"/>
  <c r="L104" i="6"/>
  <c r="AF149" i="1"/>
  <c r="AD53" i="7"/>
  <c r="S52" i="7"/>
  <c r="S108" i="1"/>
  <c r="Z52" i="7"/>
  <c r="AA108" i="1"/>
  <c r="AA148" i="1"/>
  <c r="AA52" i="7"/>
  <c r="AC108" i="1"/>
  <c r="I103" i="6"/>
  <c r="V52" i="7"/>
  <c r="V108" i="1"/>
  <c r="V55" i="7" s="1"/>
  <c r="V448" i="1"/>
  <c r="Q455" i="1"/>
  <c r="R7" i="7" s="1"/>
  <c r="R8" i="7" s="1"/>
  <c r="N105" i="6"/>
  <c r="N106" i="6"/>
  <c r="AL448" i="1"/>
  <c r="AI448" i="1"/>
  <c r="AJ455" i="1"/>
  <c r="AH151" i="1"/>
  <c r="M106" i="6"/>
  <c r="M105" i="6"/>
  <c r="AH150" i="1"/>
  <c r="AM53" i="7"/>
  <c r="AM54" i="7"/>
  <c r="U104" i="6"/>
  <c r="AE53" i="7"/>
  <c r="AE54" i="7"/>
  <c r="M104" i="6"/>
  <c r="AH149" i="1"/>
  <c r="AM455" i="1"/>
  <c r="AM430" i="1" s="1"/>
  <c r="Q62" i="6" s="1"/>
  <c r="AF54" i="7"/>
  <c r="AF53" i="7"/>
  <c r="N104" i="6"/>
  <c r="AF52" i="7"/>
  <c r="N103" i="6"/>
  <c r="AI108" i="1"/>
  <c r="AJ448" i="1"/>
  <c r="AI455" i="1"/>
  <c r="AI465" i="1" s="1"/>
  <c r="N455" i="1"/>
  <c r="N430" i="1" s="1"/>
  <c r="I71" i="6"/>
  <c r="I73" i="6" s="1"/>
  <c r="AC447" i="1"/>
  <c r="S71" i="6"/>
  <c r="S73" i="6" s="1"/>
  <c r="AO447" i="1"/>
  <c r="AM52" i="7"/>
  <c r="U103" i="6"/>
  <c r="N448" i="1"/>
  <c r="S448" i="1"/>
  <c r="AE455" i="1"/>
  <c r="P71" i="6"/>
  <c r="P73" i="6" s="1"/>
  <c r="AK447" i="1"/>
  <c r="R71" i="6"/>
  <c r="R73" i="6" s="1"/>
  <c r="AN447" i="1"/>
  <c r="AE52" i="7"/>
  <c r="M103" i="6"/>
  <c r="AH108" i="1"/>
  <c r="AH148" i="1"/>
  <c r="AE448" i="1"/>
  <c r="T455" i="1"/>
  <c r="T7" i="7" s="1"/>
  <c r="T8" i="7" s="1"/>
  <c r="AP455" i="1"/>
  <c r="AP431" i="1" s="1"/>
  <c r="T63" i="6" s="1"/>
  <c r="L71" i="6"/>
  <c r="L73" i="6" s="1"/>
  <c r="AF447" i="1"/>
  <c r="K465" i="1"/>
  <c r="S465" i="1"/>
  <c r="V465" i="1"/>
  <c r="V430" i="1"/>
  <c r="J465" i="1"/>
  <c r="G422" i="1"/>
  <c r="J425" i="1"/>
  <c r="J426" i="1" s="1"/>
  <c r="Z430" i="1"/>
  <c r="Y7" i="7"/>
  <c r="Y8" i="7" s="1"/>
  <c r="Z431" i="1"/>
  <c r="L430" i="1"/>
  <c r="Z456" i="1"/>
  <c r="J456" i="1"/>
  <c r="Y421" i="1"/>
  <c r="X7" i="7"/>
  <c r="X8" i="7" s="1"/>
  <c r="Y431" i="1"/>
  <c r="D459" i="1"/>
  <c r="J459" i="1"/>
  <c r="L7" i="7"/>
  <c r="L8" i="7" s="1"/>
  <c r="J431" i="1"/>
  <c r="Z459" i="1"/>
  <c r="Z7" i="7"/>
  <c r="Z8" i="7" s="1"/>
  <c r="AA431" i="1"/>
  <c r="V459" i="1"/>
  <c r="V7" i="7"/>
  <c r="V8" i="7" s="1"/>
  <c r="V431" i="1"/>
  <c r="K7" i="7"/>
  <c r="K8" i="7" s="1"/>
  <c r="I431" i="1"/>
  <c r="L456" i="1"/>
  <c r="N7" i="7"/>
  <c r="N8" i="7" s="1"/>
  <c r="L431" i="1"/>
  <c r="Z465" i="1"/>
  <c r="M7" i="7"/>
  <c r="M8" i="7" s="1"/>
  <c r="K431" i="1"/>
  <c r="S7" i="7"/>
  <c r="S8" i="7" s="1"/>
  <c r="S431" i="1"/>
  <c r="Z421" i="1"/>
  <c r="U465" i="1"/>
  <c r="U7" i="7"/>
  <c r="U8" i="7" s="1"/>
  <c r="U431" i="1"/>
  <c r="F459" i="1"/>
  <c r="Y465" i="1"/>
  <c r="L465" i="1"/>
  <c r="D430" i="1"/>
  <c r="U421" i="1"/>
  <c r="D465" i="1"/>
  <c r="L421" i="1"/>
  <c r="E459" i="1"/>
  <c r="E430" i="1"/>
  <c r="U459" i="1"/>
  <c r="U430" i="1"/>
  <c r="S425" i="1"/>
  <c r="S426" i="1" s="1"/>
  <c r="S422" i="1"/>
  <c r="K456" i="1"/>
  <c r="K459" i="1"/>
  <c r="K430" i="1"/>
  <c r="S459" i="1"/>
  <c r="S430" i="1"/>
  <c r="AA456" i="1"/>
  <c r="AA430" i="1"/>
  <c r="AA459" i="1"/>
  <c r="V425" i="1"/>
  <c r="V426" i="1" s="1"/>
  <c r="V422" i="1"/>
  <c r="I456" i="1"/>
  <c r="I430" i="1"/>
  <c r="I459" i="1"/>
  <c r="Y430" i="1"/>
  <c r="Y459" i="1"/>
  <c r="I421" i="1"/>
  <c r="I465" i="1"/>
  <c r="U55" i="3"/>
  <c r="U242" i="3" s="1"/>
  <c r="L405" i="2"/>
  <c r="L406" i="2" s="1"/>
  <c r="BF124" i="1"/>
  <c r="BK124" i="1" s="1"/>
  <c r="BP124" i="1" s="1"/>
  <c r="AH281" i="1"/>
  <c r="I82" i="4"/>
  <c r="AK143" i="1"/>
  <c r="AM55" i="7"/>
  <c r="AM143" i="1"/>
  <c r="AM142" i="1"/>
  <c r="AM145" i="1"/>
  <c r="AM144" i="1"/>
  <c r="AV125" i="1"/>
  <c r="AO145" i="1"/>
  <c r="S106" i="6" s="1"/>
  <c r="AO144" i="1"/>
  <c r="S105" i="6" s="1"/>
  <c r="AO143" i="1"/>
  <c r="AO142" i="1"/>
  <c r="AJ144" i="1"/>
  <c r="AJ143" i="1"/>
  <c r="AJ142" i="1"/>
  <c r="AJ145" i="1"/>
  <c r="AL142" i="1"/>
  <c r="CS52" i="7" s="1"/>
  <c r="AL145" i="1"/>
  <c r="AL144" i="1"/>
  <c r="AL143" i="1"/>
  <c r="AN144" i="1"/>
  <c r="AN143" i="1"/>
  <c r="AN142" i="1"/>
  <c r="AN145" i="1"/>
  <c r="AP142" i="1"/>
  <c r="AP145" i="1"/>
  <c r="AP144" i="1"/>
  <c r="AP143" i="1"/>
  <c r="AQ142" i="1"/>
  <c r="AQ143" i="1"/>
  <c r="AQ145" i="1"/>
  <c r="AV145" i="1" s="1"/>
  <c r="BA145" i="1" s="1"/>
  <c r="AQ144" i="1"/>
  <c r="AV144" i="1" s="1"/>
  <c r="BA144" i="1" s="1"/>
  <c r="AR447" i="1"/>
  <c r="AS447" i="1"/>
  <c r="AT447" i="1"/>
  <c r="S198" i="21" l="1"/>
  <c r="Q198" i="21"/>
  <c r="D428" i="2"/>
  <c r="F42" i="27" s="1"/>
  <c r="F8" i="27" s="1"/>
  <c r="H20" i="1"/>
  <c r="H22" i="1" s="1"/>
  <c r="M22" i="1"/>
  <c r="P273" i="1"/>
  <c r="P20" i="1"/>
  <c r="P22" i="1" s="1"/>
  <c r="AG21" i="1"/>
  <c r="AG22" i="1"/>
  <c r="J428" i="2"/>
  <c r="L42" i="27" s="1"/>
  <c r="L8" i="27" s="1"/>
  <c r="AL20" i="1"/>
  <c r="AL21" i="1" s="1"/>
  <c r="R21" i="1"/>
  <c r="R22" i="1"/>
  <c r="W21" i="1"/>
  <c r="W22" i="1"/>
  <c r="AB21" i="1"/>
  <c r="AB22" i="1"/>
  <c r="R198" i="21"/>
  <c r="T144" i="21"/>
  <c r="T145" i="21" s="1"/>
  <c r="S144" i="21"/>
  <c r="S145" i="21" s="1"/>
  <c r="Q144" i="21"/>
  <c r="Q145" i="21" s="1"/>
  <c r="R144" i="21"/>
  <c r="R145" i="21" s="1"/>
  <c r="P144" i="21"/>
  <c r="P145" i="21" s="1"/>
  <c r="P198" i="21"/>
  <c r="AI281" i="1"/>
  <c r="AH283" i="1"/>
  <c r="AA281" i="1"/>
  <c r="AA283" i="1" s="1"/>
  <c r="Z283" i="1"/>
  <c r="AE281" i="1"/>
  <c r="AD283" i="1"/>
  <c r="R273" i="1"/>
  <c r="F428" i="2"/>
  <c r="H42" i="27" s="1"/>
  <c r="H8" i="27" s="1"/>
  <c r="M273" i="1"/>
  <c r="E428" i="2"/>
  <c r="G42" i="27" s="1"/>
  <c r="G8" i="27" s="1"/>
  <c r="D11" i="18"/>
  <c r="K428" i="2"/>
  <c r="M42" i="27" s="1"/>
  <c r="M8" i="27" s="1"/>
  <c r="CR10" i="7"/>
  <c r="CR34" i="7" s="1"/>
  <c r="I428" i="2"/>
  <c r="K42" i="27" s="1"/>
  <c r="K8" i="27" s="1"/>
  <c r="W275" i="1"/>
  <c r="G428" i="2"/>
  <c r="I42" i="27" s="1"/>
  <c r="I8" i="27" s="1"/>
  <c r="AB275" i="1"/>
  <c r="H428" i="2"/>
  <c r="J42" i="27" s="1"/>
  <c r="J8" i="27" s="1"/>
  <c r="P29" i="3"/>
  <c r="T29" i="3"/>
  <c r="CT10" i="7"/>
  <c r="CT34" i="7" s="1"/>
  <c r="AQ275" i="1"/>
  <c r="CP10" i="7"/>
  <c r="CP34" i="7" s="1"/>
  <c r="W273" i="1"/>
  <c r="N29" i="3"/>
  <c r="AB272" i="1"/>
  <c r="R29" i="3"/>
  <c r="Q29" i="3"/>
  <c r="CQ10" i="7"/>
  <c r="CQ34" i="7" s="1"/>
  <c r="CN10" i="7"/>
  <c r="CN34" i="7" s="1"/>
  <c r="M275" i="1"/>
  <c r="AG275" i="1"/>
  <c r="AG273" i="1"/>
  <c r="AG272" i="1"/>
  <c r="Y86" i="3"/>
  <c r="P396" i="2"/>
  <c r="AB273" i="1"/>
  <c r="AP40" i="7"/>
  <c r="AU161" i="1"/>
  <c r="V275" i="1"/>
  <c r="V273" i="1"/>
  <c r="S275" i="1"/>
  <c r="S273" i="1"/>
  <c r="N275" i="1"/>
  <c r="N273" i="1"/>
  <c r="Z275" i="1"/>
  <c r="Z273" i="1"/>
  <c r="AP275" i="1"/>
  <c r="AH275" i="1"/>
  <c r="AI275" i="1"/>
  <c r="AN275" i="1"/>
  <c r="AD275" i="1"/>
  <c r="AD273" i="1"/>
  <c r="H275" i="1"/>
  <c r="CM10" i="7"/>
  <c r="CM34" i="7" s="1"/>
  <c r="R275" i="1"/>
  <c r="CO10" i="7"/>
  <c r="CO34" i="7" s="1"/>
  <c r="AL275" i="1"/>
  <c r="CS10" i="7"/>
  <c r="CS34" i="7" s="1"/>
  <c r="Q10" i="7"/>
  <c r="Q34" i="7" s="1"/>
  <c r="P275" i="1"/>
  <c r="L10" i="7"/>
  <c r="L34" i="7" s="1"/>
  <c r="J275" i="1"/>
  <c r="I10" i="7"/>
  <c r="I34" i="7" s="1"/>
  <c r="F275" i="1"/>
  <c r="G28" i="1"/>
  <c r="G14" i="1"/>
  <c r="L28" i="1"/>
  <c r="L6" i="1"/>
  <c r="L14" i="1"/>
  <c r="E28" i="1"/>
  <c r="E14" i="1"/>
  <c r="F28" i="1"/>
  <c r="F14" i="1"/>
  <c r="D28" i="1"/>
  <c r="D14" i="1"/>
  <c r="AQ272" i="1"/>
  <c r="CS54" i="7"/>
  <c r="CS53" i="7"/>
  <c r="AH272" i="1"/>
  <c r="CR54" i="7"/>
  <c r="CR53" i="7"/>
  <c r="CQ54" i="7"/>
  <c r="CQ53" i="7"/>
  <c r="AC149" i="1"/>
  <c r="AC148" i="1"/>
  <c r="CP54" i="7"/>
  <c r="CP53" i="7"/>
  <c r="X272" i="1"/>
  <c r="S55" i="7"/>
  <c r="W272" i="1"/>
  <c r="CO54" i="7"/>
  <c r="CO53" i="7"/>
  <c r="O10" i="7"/>
  <c r="O34" i="7" s="1"/>
  <c r="M29" i="3"/>
  <c r="AF10" i="7"/>
  <c r="AF34" i="7" s="1"/>
  <c r="S10" i="7"/>
  <c r="S34" i="7" s="1"/>
  <c r="W315" i="2"/>
  <c r="AE4" i="3"/>
  <c r="AE3" i="3" s="1"/>
  <c r="N62" i="4"/>
  <c r="CT53" i="7"/>
  <c r="CT54" i="7"/>
  <c r="CT52" i="7"/>
  <c r="BU124" i="1"/>
  <c r="BZ124" i="1" s="1"/>
  <c r="CE124" i="1" s="1"/>
  <c r="AJ10" i="7"/>
  <c r="AJ34" i="7" s="1"/>
  <c r="AN272" i="1"/>
  <c r="AB10" i="7"/>
  <c r="AB34" i="7" s="1"/>
  <c r="AD272" i="1"/>
  <c r="AS272" i="1"/>
  <c r="Y10" i="7"/>
  <c r="Y34" i="7" s="1"/>
  <c r="Z272" i="1"/>
  <c r="S272" i="1"/>
  <c r="AE272" i="1"/>
  <c r="V10" i="7"/>
  <c r="V34" i="7" s="1"/>
  <c r="V272" i="1"/>
  <c r="AL10" i="7"/>
  <c r="AL34" i="7" s="1"/>
  <c r="AP272" i="1"/>
  <c r="O29" i="3"/>
  <c r="R272" i="1"/>
  <c r="AA272" i="1"/>
  <c r="AL272" i="1"/>
  <c r="AI272" i="1"/>
  <c r="U272" i="1"/>
  <c r="AM272" i="1"/>
  <c r="AO10" i="7"/>
  <c r="AO34" i="7" s="1"/>
  <c r="AT272" i="1"/>
  <c r="E422" i="1"/>
  <c r="E421" i="1"/>
  <c r="AA420" i="1"/>
  <c r="AA421" i="1"/>
  <c r="F425" i="1"/>
  <c r="F426" i="1" s="1"/>
  <c r="F421" i="1"/>
  <c r="D422" i="1"/>
  <c r="D421" i="1"/>
  <c r="P425" i="1"/>
  <c r="P426" i="1" s="1"/>
  <c r="P421" i="1"/>
  <c r="X420" i="1"/>
  <c r="U420" i="1"/>
  <c r="Z422" i="1"/>
  <c r="Z420" i="1"/>
  <c r="Y422" i="1"/>
  <c r="F86" i="6"/>
  <c r="AK108" i="1"/>
  <c r="AH55" i="7" s="1"/>
  <c r="AW94" i="1"/>
  <c r="AW95" i="1" s="1"/>
  <c r="N79" i="4"/>
  <c r="AW448" i="1"/>
  <c r="L460" i="1"/>
  <c r="S29" i="3"/>
  <c r="E425" i="1"/>
  <c r="E426" i="1" s="1"/>
  <c r="AB150" i="1"/>
  <c r="AK151" i="1"/>
  <c r="AE465" i="1"/>
  <c r="AL151" i="1"/>
  <c r="AL150" i="1"/>
  <c r="AU159" i="1"/>
  <c r="AE10" i="7"/>
  <c r="AE34" i="7" s="1"/>
  <c r="P103" i="6"/>
  <c r="BF145" i="1"/>
  <c r="AH52" i="7"/>
  <c r="AV209" i="1"/>
  <c r="X425" i="1"/>
  <c r="X426" i="1" s="1"/>
  <c r="AE430" i="1"/>
  <c r="K62" i="6" s="1"/>
  <c r="X430" i="1"/>
  <c r="X456" i="1"/>
  <c r="X465" i="1"/>
  <c r="X459" i="1"/>
  <c r="X431" i="1"/>
  <c r="T431" i="1"/>
  <c r="AH430" i="1"/>
  <c r="M62" i="6" s="1"/>
  <c r="AH421" i="1"/>
  <c r="AH465" i="1"/>
  <c r="AD459" i="1"/>
  <c r="AD460" i="1" s="1"/>
  <c r="AJ465" i="1"/>
  <c r="AD456" i="1"/>
  <c r="AD465" i="1"/>
  <c r="T456" i="1"/>
  <c r="N431" i="1"/>
  <c r="AE459" i="1"/>
  <c r="AE460" i="1" s="1"/>
  <c r="T465" i="1"/>
  <c r="T459" i="1"/>
  <c r="Y456" i="1"/>
  <c r="AE456" i="1"/>
  <c r="T430" i="1"/>
  <c r="AJ456" i="1"/>
  <c r="U456" i="1"/>
  <c r="P430" i="1"/>
  <c r="X422" i="1"/>
  <c r="O459" i="1"/>
  <c r="W7" i="7"/>
  <c r="W8" i="7" s="1"/>
  <c r="AJ430" i="1"/>
  <c r="O62" i="6" s="1"/>
  <c r="Q465" i="1"/>
  <c r="P422" i="1"/>
  <c r="P456" i="1"/>
  <c r="Q7" i="7"/>
  <c r="Q8" i="7" s="1"/>
  <c r="P459" i="1"/>
  <c r="O456" i="1"/>
  <c r="P465" i="1"/>
  <c r="P431" i="1"/>
  <c r="Q421" i="1"/>
  <c r="Q459" i="1"/>
  <c r="V460" i="1" s="1"/>
  <c r="Q431" i="1"/>
  <c r="O465" i="1"/>
  <c r="AM456" i="1"/>
  <c r="Q456" i="1"/>
  <c r="O430" i="1"/>
  <c r="AJ431" i="1"/>
  <c r="O63" i="6" s="1"/>
  <c r="P7" i="7"/>
  <c r="P8" i="7" s="1"/>
  <c r="V456" i="1"/>
  <c r="Q430" i="1"/>
  <c r="P105" i="6"/>
  <c r="Z150" i="1"/>
  <c r="AA55" i="7"/>
  <c r="R108" i="1"/>
  <c r="CO55" i="7" s="1"/>
  <c r="W108" i="1"/>
  <c r="CP55" i="7" s="1"/>
  <c r="W148" i="1"/>
  <c r="U52" i="7"/>
  <c r="U108" i="1"/>
  <c r="U55" i="7" s="1"/>
  <c r="AG108" i="1"/>
  <c r="CR55" i="7" s="1"/>
  <c r="AG148" i="1"/>
  <c r="X52" i="7"/>
  <c r="Y108" i="1"/>
  <c r="Y148" i="1"/>
  <c r="AB52" i="7"/>
  <c r="AD148" i="1"/>
  <c r="AD108" i="1"/>
  <c r="AI109" i="1" s="1"/>
  <c r="N8" i="6" s="1"/>
  <c r="J103" i="6"/>
  <c r="AC53" i="7"/>
  <c r="AE149" i="1"/>
  <c r="K104" i="6"/>
  <c r="AC54" i="7"/>
  <c r="W52" i="7"/>
  <c r="X108" i="1"/>
  <c r="X148" i="1"/>
  <c r="AD55" i="7"/>
  <c r="AF109" i="1"/>
  <c r="L8" i="6" s="1"/>
  <c r="J106" i="6"/>
  <c r="AD151" i="1"/>
  <c r="AC52" i="7"/>
  <c r="K103" i="6"/>
  <c r="AE148" i="1"/>
  <c r="AE108" i="1"/>
  <c r="Z151" i="1"/>
  <c r="AG149" i="1"/>
  <c r="AB149" i="1"/>
  <c r="W150" i="1"/>
  <c r="AG150" i="1"/>
  <c r="AC150" i="1"/>
  <c r="J105" i="6"/>
  <c r="AD150" i="1"/>
  <c r="K106" i="6"/>
  <c r="AE151" i="1"/>
  <c r="Y54" i="7"/>
  <c r="Y53" i="7"/>
  <c r="Z149" i="1"/>
  <c r="Z55" i="7"/>
  <c r="AA109" i="1"/>
  <c r="AB148" i="1"/>
  <c r="AB108" i="1"/>
  <c r="CQ55" i="7" s="1"/>
  <c r="X149" i="1"/>
  <c r="W53" i="7"/>
  <c r="W54" i="7"/>
  <c r="W149" i="1"/>
  <c r="U53" i="7"/>
  <c r="U54" i="7"/>
  <c r="X53" i="7"/>
  <c r="X54" i="7"/>
  <c r="Y149" i="1"/>
  <c r="AB53" i="7"/>
  <c r="J104" i="6"/>
  <c r="AD149" i="1"/>
  <c r="AB54" i="7"/>
  <c r="K105" i="6"/>
  <c r="AE150" i="1"/>
  <c r="AC151" i="1"/>
  <c r="Y52" i="7"/>
  <c r="Z108" i="1"/>
  <c r="Z148" i="1"/>
  <c r="F422" i="1"/>
  <c r="O105" i="6"/>
  <c r="AJ150" i="1"/>
  <c r="AN151" i="1"/>
  <c r="R106" i="6"/>
  <c r="AP150" i="1"/>
  <c r="T105" i="6"/>
  <c r="AM150" i="1"/>
  <c r="Q105" i="6"/>
  <c r="AP151" i="1"/>
  <c r="T106" i="6"/>
  <c r="AM151" i="1"/>
  <c r="Q106" i="6"/>
  <c r="AM431" i="1"/>
  <c r="Q63" i="6" s="1"/>
  <c r="AJ151" i="1"/>
  <c r="O106" i="6"/>
  <c r="AI456" i="1"/>
  <c r="AJ421" i="1"/>
  <c r="AJ459" i="1"/>
  <c r="AN150" i="1"/>
  <c r="R105" i="6"/>
  <c r="AL54" i="7"/>
  <c r="AL53" i="7"/>
  <c r="T104" i="6"/>
  <c r="AH53" i="7"/>
  <c r="AH54" i="7"/>
  <c r="P104" i="6"/>
  <c r="AK149" i="1"/>
  <c r="AK54" i="7"/>
  <c r="AK53" i="7"/>
  <c r="S104" i="6"/>
  <c r="N456" i="1"/>
  <c r="AI430" i="1"/>
  <c r="N62" i="6" s="1"/>
  <c r="AM421" i="1"/>
  <c r="AM459" i="1"/>
  <c r="AM460" i="1" s="1"/>
  <c r="AM465" i="1"/>
  <c r="AL149" i="1"/>
  <c r="AM149" i="1"/>
  <c r="AI54" i="7"/>
  <c r="AI53" i="7"/>
  <c r="Q104" i="6"/>
  <c r="O7" i="7"/>
  <c r="O8" i="7" s="1"/>
  <c r="AN149" i="1"/>
  <c r="AJ53" i="7"/>
  <c r="AJ54" i="7"/>
  <c r="R104" i="6"/>
  <c r="AG53" i="7"/>
  <c r="AG54" i="7"/>
  <c r="AJ149" i="1"/>
  <c r="O104" i="6"/>
  <c r="AI459" i="1"/>
  <c r="S456" i="1"/>
  <c r="AI421" i="1"/>
  <c r="AJ52" i="7"/>
  <c r="R103" i="6"/>
  <c r="AL52" i="7"/>
  <c r="T103" i="6"/>
  <c r="AL108" i="1"/>
  <c r="CS55" i="7" s="1"/>
  <c r="AL148" i="1"/>
  <c r="AK52" i="7"/>
  <c r="S103" i="6"/>
  <c r="AG52" i="7"/>
  <c r="O103" i="6"/>
  <c r="AJ108" i="1"/>
  <c r="AJ148" i="1"/>
  <c r="AP465" i="1"/>
  <c r="AP430" i="1"/>
  <c r="T62" i="6" s="1"/>
  <c r="AP421" i="1"/>
  <c r="AN455" i="1"/>
  <c r="AN448" i="1"/>
  <c r="AF448" i="1"/>
  <c r="AF455" i="1"/>
  <c r="AE55" i="7"/>
  <c r="AH109" i="1"/>
  <c r="M8" i="6" s="1"/>
  <c r="AH448" i="1"/>
  <c r="AC455" i="1"/>
  <c r="AC448" i="1"/>
  <c r="AR148" i="1"/>
  <c r="AI52" i="7"/>
  <c r="Q103" i="6"/>
  <c r="AP459" i="1"/>
  <c r="AK455" i="1"/>
  <c r="AK448" i="1"/>
  <c r="AO448" i="1"/>
  <c r="AO455" i="1"/>
  <c r="N459" i="1"/>
  <c r="N465" i="1"/>
  <c r="AF55" i="7"/>
  <c r="AP448" i="1"/>
  <c r="Y425" i="1"/>
  <c r="Y426" i="1" s="1"/>
  <c r="I460" i="1"/>
  <c r="K460" i="1"/>
  <c r="AA460" i="1"/>
  <c r="Z425" i="1"/>
  <c r="Z426" i="1" s="1"/>
  <c r="J460" i="1"/>
  <c r="Z460" i="1"/>
  <c r="AV98" i="1"/>
  <c r="U422" i="1"/>
  <c r="U425" i="1"/>
  <c r="U426" i="1" s="1"/>
  <c r="L425" i="1"/>
  <c r="L426" i="1" s="1"/>
  <c r="D425" i="1"/>
  <c r="D426" i="1" s="1"/>
  <c r="AA425" i="1"/>
  <c r="AA426" i="1" s="1"/>
  <c r="AA422" i="1"/>
  <c r="I425" i="1"/>
  <c r="I426" i="1" s="1"/>
  <c r="AQ150" i="1"/>
  <c r="AP149" i="1"/>
  <c r="AM281" i="1"/>
  <c r="AM283" i="1" s="1"/>
  <c r="AQ151" i="1"/>
  <c r="U51" i="3"/>
  <c r="U243" i="3" s="1"/>
  <c r="T243" i="3"/>
  <c r="BA94" i="1"/>
  <c r="BA125" i="1" s="1"/>
  <c r="L399" i="2"/>
  <c r="J82" i="4"/>
  <c r="K82" i="4" s="1"/>
  <c r="L82" i="4" s="1"/>
  <c r="M82" i="4" s="1"/>
  <c r="N82" i="4" s="1"/>
  <c r="O82" i="4" s="1"/>
  <c r="P82" i="4" s="1"/>
  <c r="Q82" i="4" s="1"/>
  <c r="R82" i="4" s="1"/>
  <c r="AO150" i="1"/>
  <c r="AS455" i="1"/>
  <c r="AS448" i="1"/>
  <c r="AO151" i="1"/>
  <c r="AN108" i="1"/>
  <c r="AN148" i="1"/>
  <c r="AO108" i="1"/>
  <c r="AO148" i="1"/>
  <c r="AR149" i="1"/>
  <c r="AT448" i="1"/>
  <c r="AT455" i="1"/>
  <c r="AQ149" i="1"/>
  <c r="AO149" i="1"/>
  <c r="AR151" i="1"/>
  <c r="AR150" i="1"/>
  <c r="AR455" i="1"/>
  <c r="AW456" i="1" s="1"/>
  <c r="AR448" i="1"/>
  <c r="AP108" i="1"/>
  <c r="AP148" i="1"/>
  <c r="AQ148" i="1"/>
  <c r="AM148" i="1"/>
  <c r="AM108" i="1"/>
  <c r="AI55" i="7" s="1"/>
  <c r="E18" i="2"/>
  <c r="C158" i="21" l="1"/>
  <c r="D158" i="21" s="1"/>
  <c r="C151" i="21"/>
  <c r="C152" i="21"/>
  <c r="C153" i="21"/>
  <c r="M21" i="1"/>
  <c r="C157" i="21"/>
  <c r="C159" i="21" s="1"/>
  <c r="C172" i="21" s="1"/>
  <c r="Z170" i="21" s="1"/>
  <c r="Z171" i="21" s="1"/>
  <c r="AQ21" i="1"/>
  <c r="AF281" i="1"/>
  <c r="AF283" i="1" s="1"/>
  <c r="AE283" i="1"/>
  <c r="AJ281" i="1"/>
  <c r="AI283" i="1"/>
  <c r="AA28" i="1"/>
  <c r="AA14" i="1"/>
  <c r="Z28" i="1"/>
  <c r="Z14" i="1"/>
  <c r="Y28" i="1"/>
  <c r="Y14" i="1"/>
  <c r="V28" i="1"/>
  <c r="V14" i="1"/>
  <c r="N28" i="1"/>
  <c r="N6" i="1"/>
  <c r="N14" i="1"/>
  <c r="K28" i="1"/>
  <c r="K6" i="1"/>
  <c r="K14" i="1"/>
  <c r="J28" i="1"/>
  <c r="J6" i="1"/>
  <c r="J14" i="1"/>
  <c r="P28" i="1"/>
  <c r="P14" i="1"/>
  <c r="P6" i="1"/>
  <c r="X28" i="1"/>
  <c r="X14" i="1"/>
  <c r="U28" i="1"/>
  <c r="U6" i="1"/>
  <c r="U14" i="1"/>
  <c r="I28" i="1"/>
  <c r="I6" i="1"/>
  <c r="I14" i="1"/>
  <c r="O28" i="1"/>
  <c r="O14" i="1"/>
  <c r="O6" i="1"/>
  <c r="T28" i="1"/>
  <c r="T6" i="1"/>
  <c r="T14" i="1"/>
  <c r="S28" i="1"/>
  <c r="S6" i="1"/>
  <c r="S14" i="1"/>
  <c r="AC109" i="1"/>
  <c r="I8" i="6" s="1"/>
  <c r="X315" i="2"/>
  <c r="AF4" i="3"/>
  <c r="AF3" i="3" s="1"/>
  <c r="O62" i="4"/>
  <c r="P62" i="4"/>
  <c r="AG4" i="3"/>
  <c r="AG3" i="3" s="1"/>
  <c r="Y315" i="2"/>
  <c r="CJ124" i="1"/>
  <c r="CO124" i="1" s="1"/>
  <c r="CP124" i="1" s="1"/>
  <c r="CQ124" i="1" s="1"/>
  <c r="CR124" i="1" s="1"/>
  <c r="CS124" i="1" s="1"/>
  <c r="O425" i="1"/>
  <c r="O426" i="1" s="1"/>
  <c r="O421" i="1"/>
  <c r="Y420" i="1"/>
  <c r="T421" i="1"/>
  <c r="S420" i="1"/>
  <c r="N421" i="1"/>
  <c r="T425" i="1"/>
  <c r="T426" i="1" s="1"/>
  <c r="T420" i="1"/>
  <c r="AM420" i="1"/>
  <c r="Q425" i="1"/>
  <c r="Q426" i="1" s="1"/>
  <c r="V420" i="1"/>
  <c r="BK145" i="1"/>
  <c r="AK109" i="1"/>
  <c r="P8" i="6" s="1"/>
  <c r="H86" i="6"/>
  <c r="G86" i="6"/>
  <c r="AW97" i="1"/>
  <c r="AW138" i="1" s="1"/>
  <c r="BF144" i="1"/>
  <c r="O79" i="4"/>
  <c r="AU171" i="1"/>
  <c r="AP45" i="7" s="1"/>
  <c r="AU165" i="1"/>
  <c r="AZ166" i="1" s="1"/>
  <c r="AP41" i="7"/>
  <c r="AP57" i="7"/>
  <c r="AU162" i="1"/>
  <c r="AU163" i="1"/>
  <c r="AV163" i="1"/>
  <c r="AN281" i="1"/>
  <c r="AN283" i="1" s="1"/>
  <c r="AR281" i="1"/>
  <c r="AR283" i="1" s="1"/>
  <c r="X460" i="1"/>
  <c r="Y460" i="1"/>
  <c r="AH425" i="1"/>
  <c r="AH426" i="1" s="1"/>
  <c r="AH422" i="1"/>
  <c r="O460" i="1"/>
  <c r="V6" i="1"/>
  <c r="Q460" i="1"/>
  <c r="U460" i="1"/>
  <c r="T460" i="1"/>
  <c r="T422" i="1"/>
  <c r="Q422" i="1"/>
  <c r="AI460" i="1"/>
  <c r="P460" i="1"/>
  <c r="O422" i="1"/>
  <c r="S460" i="1"/>
  <c r="D19" i="6"/>
  <c r="AI425" i="1"/>
  <c r="AI426" i="1" s="1"/>
  <c r="AI422" i="1"/>
  <c r="AG109" i="1"/>
  <c r="AB55" i="7"/>
  <c r="AD109" i="1"/>
  <c r="J8" i="6" s="1"/>
  <c r="X55" i="7"/>
  <c r="Y109" i="1"/>
  <c r="W109" i="1"/>
  <c r="AO109" i="1"/>
  <c r="S8" i="6" s="1"/>
  <c r="Y55" i="7"/>
  <c r="Z109" i="1"/>
  <c r="AB109" i="1"/>
  <c r="AC55" i="7"/>
  <c r="AE109" i="1"/>
  <c r="K8" i="6" s="1"/>
  <c r="W55" i="7"/>
  <c r="X109" i="1"/>
  <c r="AM425" i="1"/>
  <c r="AM426" i="1" s="1"/>
  <c r="AJ460" i="1"/>
  <c r="AJ422" i="1"/>
  <c r="AJ425" i="1"/>
  <c r="AJ426" i="1" s="1"/>
  <c r="AF459" i="1"/>
  <c r="AF430" i="1"/>
  <c r="L62" i="6" s="1"/>
  <c r="AF465" i="1"/>
  <c r="AF456" i="1"/>
  <c r="AG55" i="7"/>
  <c r="AJ109" i="1"/>
  <c r="O8" i="6" s="1"/>
  <c r="AK55" i="7"/>
  <c r="N460" i="1"/>
  <c r="N422" i="1"/>
  <c r="N425" i="1"/>
  <c r="N426" i="1" s="1"/>
  <c r="AH456" i="1"/>
  <c r="AC459" i="1"/>
  <c r="AC430" i="1"/>
  <c r="I62" i="6" s="1"/>
  <c r="AC465" i="1"/>
  <c r="AC456" i="1"/>
  <c r="AN430" i="1"/>
  <c r="R62" i="6" s="1"/>
  <c r="AN459" i="1"/>
  <c r="AN431" i="1"/>
  <c r="R63" i="6" s="1"/>
  <c r="AN465" i="1"/>
  <c r="AN456" i="1"/>
  <c r="AL109" i="1"/>
  <c r="AO465" i="1"/>
  <c r="AO431" i="1"/>
  <c r="S63" i="6" s="1"/>
  <c r="AO430" i="1"/>
  <c r="S62" i="6" s="1"/>
  <c r="AO456" i="1"/>
  <c r="AO459" i="1"/>
  <c r="AK421" i="1"/>
  <c r="AK465" i="1"/>
  <c r="AK431" i="1"/>
  <c r="P63" i="6" s="1"/>
  <c r="AK456" i="1"/>
  <c r="AK459" i="1"/>
  <c r="AK430" i="1"/>
  <c r="P62" i="6" s="1"/>
  <c r="AP109" i="1"/>
  <c r="T8" i="6" s="1"/>
  <c r="AL55" i="7"/>
  <c r="AN109" i="1"/>
  <c r="R8" i="6" s="1"/>
  <c r="AJ55" i="7"/>
  <c r="AP456" i="1"/>
  <c r="AP425" i="1"/>
  <c r="AP426" i="1" s="1"/>
  <c r="AS459" i="1"/>
  <c r="AT459" i="1"/>
  <c r="AT431" i="1"/>
  <c r="AR459" i="1"/>
  <c r="AW460" i="1" s="1"/>
  <c r="AU98" i="1"/>
  <c r="AQ108" i="1"/>
  <c r="CT55" i="7" s="1"/>
  <c r="AU95" i="1"/>
  <c r="AU97" i="1"/>
  <c r="AU138" i="1" s="1"/>
  <c r="Q182" i="6" s="1"/>
  <c r="AT456" i="1"/>
  <c r="AT430" i="1"/>
  <c r="AT465" i="1"/>
  <c r="AR465" i="1"/>
  <c r="AR431" i="1"/>
  <c r="U63" i="6" s="1"/>
  <c r="AR430" i="1"/>
  <c r="U62" i="6" s="1"/>
  <c r="AR421" i="1"/>
  <c r="AR456" i="1"/>
  <c r="AS465" i="1"/>
  <c r="AS431" i="1"/>
  <c r="AS430" i="1"/>
  <c r="AS456" i="1"/>
  <c r="AM109" i="1"/>
  <c r="Q8" i="6" s="1"/>
  <c r="AR109" i="1"/>
  <c r="U8" i="6" s="1"/>
  <c r="AV61" i="1"/>
  <c r="J430" i="2"/>
  <c r="L43" i="27" s="1"/>
  <c r="I435" i="2"/>
  <c r="H435" i="2"/>
  <c r="G435" i="2"/>
  <c r="F435" i="2"/>
  <c r="E435" i="2"/>
  <c r="D435" i="2"/>
  <c r="C435" i="2"/>
  <c r="K430" i="2"/>
  <c r="M43" i="27" s="1"/>
  <c r="K411" i="2"/>
  <c r="J411" i="2"/>
  <c r="I411" i="2"/>
  <c r="H411" i="2"/>
  <c r="G411" i="2"/>
  <c r="F411" i="2"/>
  <c r="E411" i="2"/>
  <c r="D411" i="2"/>
  <c r="C411" i="2"/>
  <c r="K406" i="2"/>
  <c r="J406" i="2"/>
  <c r="I406" i="2"/>
  <c r="H406" i="2"/>
  <c r="G406" i="2"/>
  <c r="F406" i="2"/>
  <c r="E406" i="2"/>
  <c r="D406" i="2"/>
  <c r="D398" i="2"/>
  <c r="E398" i="2" s="1"/>
  <c r="F398" i="2" s="1"/>
  <c r="G398" i="2" s="1"/>
  <c r="H398" i="2" s="1"/>
  <c r="I398" i="2" s="1"/>
  <c r="J398" i="2" s="1"/>
  <c r="K398" i="2" s="1"/>
  <c r="L398" i="2" s="1"/>
  <c r="M398" i="2" s="1"/>
  <c r="N398" i="2" s="1"/>
  <c r="O398" i="2" s="1"/>
  <c r="P398" i="2" s="1"/>
  <c r="Q398" i="2" s="1"/>
  <c r="R398" i="2" s="1"/>
  <c r="Q371" i="2"/>
  <c r="P371" i="2"/>
  <c r="O371" i="2"/>
  <c r="N371" i="2"/>
  <c r="M371" i="2"/>
  <c r="L371" i="2"/>
  <c r="K371" i="2"/>
  <c r="J371" i="2"/>
  <c r="I371" i="2"/>
  <c r="H371" i="2"/>
  <c r="G371" i="2"/>
  <c r="F371" i="2"/>
  <c r="E371" i="2"/>
  <c r="D371" i="2"/>
  <c r="C371" i="2"/>
  <c r="K370" i="2"/>
  <c r="J370" i="2"/>
  <c r="K368" i="2"/>
  <c r="J368" i="2"/>
  <c r="I368" i="2"/>
  <c r="H368" i="2"/>
  <c r="G368" i="2"/>
  <c r="F368" i="2"/>
  <c r="E368" i="2"/>
  <c r="D368" i="2"/>
  <c r="C368" i="2"/>
  <c r="D357" i="2"/>
  <c r="C357" i="2"/>
  <c r="D355" i="2"/>
  <c r="E355" i="2" s="1"/>
  <c r="F355" i="2" s="1"/>
  <c r="G355" i="2" s="1"/>
  <c r="H355" i="2" s="1"/>
  <c r="I355" i="2" s="1"/>
  <c r="J355" i="2" s="1"/>
  <c r="K355" i="2" s="1"/>
  <c r="L355" i="2" s="1"/>
  <c r="M355" i="2" s="1"/>
  <c r="N355" i="2" s="1"/>
  <c r="O355" i="2" s="1"/>
  <c r="P355" i="2" s="1"/>
  <c r="Q355" i="2" s="1"/>
  <c r="R355" i="2" s="1"/>
  <c r="J344" i="2"/>
  <c r="I344" i="2"/>
  <c r="H344" i="2"/>
  <c r="G344" i="2"/>
  <c r="F344" i="2"/>
  <c r="E344" i="2"/>
  <c r="D344" i="2"/>
  <c r="C344" i="2"/>
  <c r="C342" i="2"/>
  <c r="D340" i="2"/>
  <c r="E340" i="2" s="1"/>
  <c r="F340" i="2" s="1"/>
  <c r="G340" i="2" s="1"/>
  <c r="H340" i="2" s="1"/>
  <c r="I340" i="2" s="1"/>
  <c r="J340" i="2" s="1"/>
  <c r="K340" i="2" s="1"/>
  <c r="L340" i="2" s="1"/>
  <c r="M340" i="2" s="1"/>
  <c r="N340" i="2" s="1"/>
  <c r="O340" i="2" s="1"/>
  <c r="M336" i="2"/>
  <c r="L336" i="2"/>
  <c r="K336" i="2"/>
  <c r="J336" i="2"/>
  <c r="I336" i="2"/>
  <c r="H336" i="2"/>
  <c r="D330" i="2"/>
  <c r="E330" i="2" s="1"/>
  <c r="F330" i="2" s="1"/>
  <c r="G330" i="2" s="1"/>
  <c r="H330" i="2" s="1"/>
  <c r="I330" i="2" s="1"/>
  <c r="J330" i="2" s="1"/>
  <c r="K330" i="2" s="1"/>
  <c r="L330" i="2" s="1"/>
  <c r="M330" i="2" s="1"/>
  <c r="N330" i="2" s="1"/>
  <c r="O330" i="2" s="1"/>
  <c r="D321" i="2"/>
  <c r="E321" i="2" s="1"/>
  <c r="F321" i="2" s="1"/>
  <c r="G321" i="2" s="1"/>
  <c r="H321" i="2" s="1"/>
  <c r="I321" i="2" s="1"/>
  <c r="J321" i="2" s="1"/>
  <c r="K321" i="2" s="1"/>
  <c r="L321" i="2" s="1"/>
  <c r="M321" i="2" s="1"/>
  <c r="N321" i="2" s="1"/>
  <c r="O321" i="2" s="1"/>
  <c r="P321" i="2" s="1"/>
  <c r="Q321" i="2" s="1"/>
  <c r="R321" i="2" s="1"/>
  <c r="E317" i="2"/>
  <c r="E316" i="2"/>
  <c r="F316" i="2" s="1"/>
  <c r="G316" i="2" s="1"/>
  <c r="H316" i="2" s="1"/>
  <c r="I316" i="2" s="1"/>
  <c r="J316" i="2" s="1"/>
  <c r="K316" i="2" s="1"/>
  <c r="L316" i="2" s="1"/>
  <c r="M316" i="2" s="1"/>
  <c r="N316" i="2" s="1"/>
  <c r="O316" i="2" s="1"/>
  <c r="P316" i="2" s="1"/>
  <c r="Q316" i="2" s="1"/>
  <c r="R316" i="2" s="1"/>
  <c r="F315" i="2"/>
  <c r="E315" i="2"/>
  <c r="D306" i="2"/>
  <c r="E306" i="2" s="1"/>
  <c r="F306" i="2" s="1"/>
  <c r="G306" i="2" s="1"/>
  <c r="H306" i="2" s="1"/>
  <c r="I306" i="2" s="1"/>
  <c r="J306" i="2" s="1"/>
  <c r="K306" i="2" s="1"/>
  <c r="L306" i="2" s="1"/>
  <c r="M306" i="2" s="1"/>
  <c r="N306" i="2" s="1"/>
  <c r="O306" i="2" s="1"/>
  <c r="P306" i="2" s="1"/>
  <c r="Q306" i="2" s="1"/>
  <c r="R306" i="2" s="1"/>
  <c r="D300" i="2"/>
  <c r="E300" i="2" s="1"/>
  <c r="F300" i="2" s="1"/>
  <c r="G300" i="2" s="1"/>
  <c r="H300" i="2" s="1"/>
  <c r="I300" i="2" s="1"/>
  <c r="J300" i="2" s="1"/>
  <c r="K300" i="2" s="1"/>
  <c r="L300" i="2" s="1"/>
  <c r="M300" i="2" s="1"/>
  <c r="N300" i="2" s="1"/>
  <c r="O300" i="2" s="1"/>
  <c r="P300" i="2" s="1"/>
  <c r="Q300" i="2" s="1"/>
  <c r="R300" i="2" s="1"/>
  <c r="D289" i="2"/>
  <c r="E289" i="2" s="1"/>
  <c r="F289" i="2" s="1"/>
  <c r="G289" i="2" s="1"/>
  <c r="H289" i="2" s="1"/>
  <c r="I289" i="2" s="1"/>
  <c r="J289" i="2" s="1"/>
  <c r="K289" i="2" s="1"/>
  <c r="L289" i="2" s="1"/>
  <c r="M289" i="2" s="1"/>
  <c r="N289" i="2" s="1"/>
  <c r="O289" i="2" s="1"/>
  <c r="D286" i="2"/>
  <c r="E286" i="2" s="1"/>
  <c r="F286" i="2" s="1"/>
  <c r="G286" i="2" s="1"/>
  <c r="H286" i="2" s="1"/>
  <c r="I286" i="2" s="1"/>
  <c r="J286" i="2" s="1"/>
  <c r="K286" i="2" s="1"/>
  <c r="L286" i="2" s="1"/>
  <c r="M286" i="2" s="1"/>
  <c r="N286" i="2" s="1"/>
  <c r="O286" i="2" s="1"/>
  <c r="D283" i="2"/>
  <c r="E283" i="2" s="1"/>
  <c r="F283" i="2" s="1"/>
  <c r="G283" i="2" s="1"/>
  <c r="H283" i="2" s="1"/>
  <c r="I283" i="2" s="1"/>
  <c r="J283" i="2" s="1"/>
  <c r="K283" i="2" s="1"/>
  <c r="L283" i="2" s="1"/>
  <c r="M283" i="2" s="1"/>
  <c r="N283" i="2" s="1"/>
  <c r="O283" i="2" s="1"/>
  <c r="D280" i="2"/>
  <c r="E280" i="2" s="1"/>
  <c r="F280" i="2" s="1"/>
  <c r="G280" i="2" s="1"/>
  <c r="H280" i="2" s="1"/>
  <c r="I280" i="2" s="1"/>
  <c r="J280" i="2" s="1"/>
  <c r="K280" i="2" s="1"/>
  <c r="L280" i="2" s="1"/>
  <c r="M280" i="2" s="1"/>
  <c r="N280" i="2" s="1"/>
  <c r="O280" i="2" s="1"/>
  <c r="D279" i="2"/>
  <c r="E279" i="2" s="1"/>
  <c r="F279" i="2" s="1"/>
  <c r="G279" i="2" s="1"/>
  <c r="H279" i="2" s="1"/>
  <c r="I279" i="2" s="1"/>
  <c r="J279" i="2" s="1"/>
  <c r="K279" i="2" s="1"/>
  <c r="L279" i="2" s="1"/>
  <c r="M279" i="2" s="1"/>
  <c r="N279" i="2" s="1"/>
  <c r="O279" i="2" s="1"/>
  <c r="D275" i="2"/>
  <c r="E275" i="2" s="1"/>
  <c r="F275" i="2" s="1"/>
  <c r="G275" i="2" s="1"/>
  <c r="H275" i="2" s="1"/>
  <c r="I275" i="2" s="1"/>
  <c r="J275" i="2" s="1"/>
  <c r="K275" i="2" s="1"/>
  <c r="L275" i="2" s="1"/>
  <c r="M275" i="2" s="1"/>
  <c r="N275" i="2" s="1"/>
  <c r="O275" i="2" s="1"/>
  <c r="D272" i="2"/>
  <c r="E272" i="2" s="1"/>
  <c r="F272" i="2" s="1"/>
  <c r="G272" i="2" s="1"/>
  <c r="H272" i="2" s="1"/>
  <c r="I272" i="2" s="1"/>
  <c r="J272" i="2" s="1"/>
  <c r="K272" i="2" s="1"/>
  <c r="L272" i="2" s="1"/>
  <c r="M272" i="2" s="1"/>
  <c r="N272" i="2" s="1"/>
  <c r="O272" i="2" s="1"/>
  <c r="D268" i="2"/>
  <c r="E268" i="2" s="1"/>
  <c r="F268" i="2" s="1"/>
  <c r="G268" i="2" s="1"/>
  <c r="H268" i="2" s="1"/>
  <c r="I268" i="2" s="1"/>
  <c r="J268" i="2" s="1"/>
  <c r="K268" i="2" s="1"/>
  <c r="L268" i="2" s="1"/>
  <c r="M268" i="2" s="1"/>
  <c r="N268" i="2" s="1"/>
  <c r="O268" i="2" s="1"/>
  <c r="D262" i="2"/>
  <c r="E262" i="2" s="1"/>
  <c r="F262" i="2" s="1"/>
  <c r="G262" i="2" s="1"/>
  <c r="H262" i="2" s="1"/>
  <c r="I262" i="2" s="1"/>
  <c r="J262" i="2" s="1"/>
  <c r="K262" i="2" s="1"/>
  <c r="L262" i="2" s="1"/>
  <c r="M262" i="2" s="1"/>
  <c r="N262" i="2" s="1"/>
  <c r="O262" i="2" s="1"/>
  <c r="P262" i="2" s="1"/>
  <c r="Q262" i="2" s="1"/>
  <c r="R262" i="2" s="1"/>
  <c r="K256" i="2"/>
  <c r="J256" i="2"/>
  <c r="I256" i="2"/>
  <c r="H256" i="2"/>
  <c r="G256" i="2"/>
  <c r="F256" i="2"/>
  <c r="E256" i="2"/>
  <c r="D256" i="2"/>
  <c r="L25" i="2"/>
  <c r="K253" i="2"/>
  <c r="J253" i="2"/>
  <c r="I253" i="2"/>
  <c r="H253" i="2"/>
  <c r="D253" i="2"/>
  <c r="M28" i="2"/>
  <c r="G253" i="2"/>
  <c r="F253" i="2"/>
  <c r="K250" i="2"/>
  <c r="J250" i="2"/>
  <c r="I250" i="2"/>
  <c r="H250" i="2"/>
  <c r="G250" i="2"/>
  <c r="F250" i="2"/>
  <c r="K246" i="2"/>
  <c r="J246" i="2"/>
  <c r="I246" i="2"/>
  <c r="H246" i="2"/>
  <c r="G246" i="2"/>
  <c r="F246" i="2"/>
  <c r="E246" i="2"/>
  <c r="K243" i="2"/>
  <c r="J243" i="2"/>
  <c r="I243" i="2"/>
  <c r="H243" i="2"/>
  <c r="G243" i="2"/>
  <c r="F243" i="2"/>
  <c r="E243" i="2"/>
  <c r="D243" i="2"/>
  <c r="D240" i="2"/>
  <c r="E240" i="2" s="1"/>
  <c r="F240" i="2" s="1"/>
  <c r="G240" i="2" s="1"/>
  <c r="H240" i="2" s="1"/>
  <c r="I240" i="2" s="1"/>
  <c r="J240" i="2" s="1"/>
  <c r="K240" i="2" s="1"/>
  <c r="L240" i="2" s="1"/>
  <c r="M240" i="2" s="1"/>
  <c r="N240" i="2" s="1"/>
  <c r="O240" i="2" s="1"/>
  <c r="L26" i="2"/>
  <c r="L173" i="2" s="1"/>
  <c r="K193" i="2"/>
  <c r="J193" i="2"/>
  <c r="S28" i="3" s="1"/>
  <c r="S128" i="3" s="1"/>
  <c r="I193" i="2"/>
  <c r="I60" i="2" s="1"/>
  <c r="I386" i="2" s="1"/>
  <c r="R80" i="3" s="1"/>
  <c r="H193" i="2"/>
  <c r="Q28" i="3" s="1"/>
  <c r="Q128" i="3" s="1"/>
  <c r="G193" i="2"/>
  <c r="E342" i="2"/>
  <c r="D342" i="2"/>
  <c r="D166" i="2"/>
  <c r="E166" i="2" s="1"/>
  <c r="F166" i="2" s="1"/>
  <c r="G166" i="2" s="1"/>
  <c r="H166" i="2" s="1"/>
  <c r="I166" i="2" s="1"/>
  <c r="J166" i="2" s="1"/>
  <c r="K166" i="2" s="1"/>
  <c r="L166" i="2" s="1"/>
  <c r="M166" i="2" s="1"/>
  <c r="N166" i="2" s="1"/>
  <c r="O166" i="2" s="1"/>
  <c r="P166" i="2" s="1"/>
  <c r="Q166" i="2" s="1"/>
  <c r="R166" i="2" s="1"/>
  <c r="D161" i="2"/>
  <c r="D159" i="2"/>
  <c r="D15" i="2" s="1"/>
  <c r="C159" i="2"/>
  <c r="C15" i="2" s="1"/>
  <c r="D149" i="2"/>
  <c r="E149" i="2" s="1"/>
  <c r="F149" i="2" s="1"/>
  <c r="G149" i="2" s="1"/>
  <c r="H149" i="2" s="1"/>
  <c r="I149" i="2" s="1"/>
  <c r="J149" i="2" s="1"/>
  <c r="K149" i="2" s="1"/>
  <c r="L149" i="2" s="1"/>
  <c r="M149" i="2" s="1"/>
  <c r="N149" i="2" s="1"/>
  <c r="O149" i="2" s="1"/>
  <c r="P149" i="2" s="1"/>
  <c r="Q149" i="2" s="1"/>
  <c r="R149" i="2" s="1"/>
  <c r="J143" i="2"/>
  <c r="I143" i="2"/>
  <c r="H143" i="2"/>
  <c r="G143" i="2"/>
  <c r="E143" i="2"/>
  <c r="D143" i="2"/>
  <c r="D96" i="2"/>
  <c r="E96" i="2" s="1"/>
  <c r="F96" i="2" s="1"/>
  <c r="G96" i="2" s="1"/>
  <c r="H96" i="2" s="1"/>
  <c r="I96" i="2" s="1"/>
  <c r="J96" i="2" s="1"/>
  <c r="K96" i="2" s="1"/>
  <c r="L96" i="2" s="1"/>
  <c r="M96" i="2" s="1"/>
  <c r="N96" i="2" s="1"/>
  <c r="O96" i="2" s="1"/>
  <c r="P96" i="2" s="1"/>
  <c r="Q96" i="2" s="1"/>
  <c r="R96" i="2" s="1"/>
  <c r="D89" i="2"/>
  <c r="E89" i="2" s="1"/>
  <c r="F89" i="2" s="1"/>
  <c r="G89" i="2" s="1"/>
  <c r="H89" i="2" s="1"/>
  <c r="I89" i="2" s="1"/>
  <c r="J89" i="2" s="1"/>
  <c r="K89" i="2" s="1"/>
  <c r="L89" i="2" s="1"/>
  <c r="M89" i="2" s="1"/>
  <c r="N89" i="2" s="1"/>
  <c r="O89" i="2" s="1"/>
  <c r="P89" i="2" s="1"/>
  <c r="Q89" i="2" s="1"/>
  <c r="R89" i="2" s="1"/>
  <c r="E60" i="2"/>
  <c r="E386" i="2" s="1"/>
  <c r="N80" i="3" s="1"/>
  <c r="D57" i="2"/>
  <c r="E57" i="2" s="1"/>
  <c r="F57" i="2" s="1"/>
  <c r="G57" i="2" s="1"/>
  <c r="H57" i="2" s="1"/>
  <c r="I57" i="2" s="1"/>
  <c r="J57" i="2" s="1"/>
  <c r="K57" i="2" s="1"/>
  <c r="L57" i="2" s="1"/>
  <c r="M57" i="2" s="1"/>
  <c r="N57" i="2" s="1"/>
  <c r="O57" i="2" s="1"/>
  <c r="P57" i="2" s="1"/>
  <c r="Q57" i="2" s="1"/>
  <c r="R57" i="2" s="1"/>
  <c r="D38" i="2"/>
  <c r="C38" i="2"/>
  <c r="L33" i="2"/>
  <c r="E53" i="18" s="1"/>
  <c r="K33" i="2"/>
  <c r="D53" i="18" s="1"/>
  <c r="J33" i="2"/>
  <c r="I33" i="2"/>
  <c r="H33" i="2"/>
  <c r="G33" i="2"/>
  <c r="F33" i="2"/>
  <c r="E33" i="2"/>
  <c r="D33" i="2"/>
  <c r="C33" i="2"/>
  <c r="K31" i="2"/>
  <c r="J31" i="2"/>
  <c r="J174" i="2" s="1"/>
  <c r="I31" i="2"/>
  <c r="I174" i="2" s="1"/>
  <c r="H31" i="2"/>
  <c r="H174" i="2" s="1"/>
  <c r="G31" i="2"/>
  <c r="G174" i="2" s="1"/>
  <c r="F31" i="2"/>
  <c r="F174" i="2" s="1"/>
  <c r="E31" i="2"/>
  <c r="E174" i="2" s="1"/>
  <c r="D31" i="2"/>
  <c r="D174" i="2" s="1"/>
  <c r="C31" i="2"/>
  <c r="C174" i="2" s="1"/>
  <c r="K26" i="2"/>
  <c r="K173" i="2" s="1"/>
  <c r="J26" i="2"/>
  <c r="J173" i="2" s="1"/>
  <c r="I26" i="2"/>
  <c r="I173" i="2" s="1"/>
  <c r="H26" i="2"/>
  <c r="H173" i="2" s="1"/>
  <c r="G26" i="2"/>
  <c r="G173" i="2" s="1"/>
  <c r="F26" i="2"/>
  <c r="F173" i="2" s="1"/>
  <c r="E26" i="2"/>
  <c r="E173" i="2" s="1"/>
  <c r="D26" i="2"/>
  <c r="D173" i="2" s="1"/>
  <c r="C26" i="2"/>
  <c r="C173" i="2" s="1"/>
  <c r="K25" i="2"/>
  <c r="J25" i="2"/>
  <c r="I25" i="2"/>
  <c r="H25" i="2"/>
  <c r="G25" i="2"/>
  <c r="F25" i="2"/>
  <c r="E25" i="2"/>
  <c r="D25" i="2"/>
  <c r="C25" i="2"/>
  <c r="K23" i="2"/>
  <c r="J23" i="2"/>
  <c r="I23" i="2"/>
  <c r="H23" i="2"/>
  <c r="G23" i="2"/>
  <c r="F23" i="2"/>
  <c r="E23" i="2"/>
  <c r="C23" i="2"/>
  <c r="J18" i="2"/>
  <c r="I18" i="2"/>
  <c r="H18" i="2"/>
  <c r="G18" i="2"/>
  <c r="F18" i="2"/>
  <c r="D18" i="2"/>
  <c r="C18" i="2"/>
  <c r="E16" i="2"/>
  <c r="D16" i="2"/>
  <c r="C16" i="2"/>
  <c r="C14" i="2"/>
  <c r="Q10" i="2"/>
  <c r="K9" i="2"/>
  <c r="J9" i="2"/>
  <c r="I9" i="2"/>
  <c r="H9" i="2"/>
  <c r="G9" i="2"/>
  <c r="F9" i="2"/>
  <c r="E9" i="2"/>
  <c r="D9" i="2"/>
  <c r="C9" i="2"/>
  <c r="E8" i="2"/>
  <c r="D8" i="2"/>
  <c r="C8" i="2"/>
  <c r="K7" i="2"/>
  <c r="J7" i="2"/>
  <c r="I7" i="2"/>
  <c r="H7" i="2"/>
  <c r="G7" i="2"/>
  <c r="F7" i="2"/>
  <c r="E7" i="2"/>
  <c r="D7" i="2"/>
  <c r="C7" i="2"/>
  <c r="K6" i="2"/>
  <c r="J6" i="2"/>
  <c r="I6" i="2"/>
  <c r="H6" i="2"/>
  <c r="G6" i="2"/>
  <c r="F6" i="2"/>
  <c r="E6" i="2"/>
  <c r="D6" i="2"/>
  <c r="C6" i="2"/>
  <c r="D2" i="2"/>
  <c r="K84" i="2"/>
  <c r="J84" i="2"/>
  <c r="I84" i="2"/>
  <c r="H84" i="2"/>
  <c r="G84" i="2"/>
  <c r="F84" i="2"/>
  <c r="E84" i="2"/>
  <c r="D84" i="2"/>
  <c r="C84" i="2"/>
  <c r="J82" i="2"/>
  <c r="I82" i="2"/>
  <c r="H82" i="2"/>
  <c r="G82" i="2"/>
  <c r="F82" i="2"/>
  <c r="E82" i="2"/>
  <c r="D82" i="2"/>
  <c r="C82" i="2"/>
  <c r="J80" i="2"/>
  <c r="I80" i="2"/>
  <c r="H80" i="2"/>
  <c r="G80" i="2"/>
  <c r="F80" i="2"/>
  <c r="E80" i="2"/>
  <c r="D80" i="2"/>
  <c r="C80" i="2"/>
  <c r="D75" i="2"/>
  <c r="D381" i="2" s="1"/>
  <c r="C75" i="2"/>
  <c r="C381" i="2" s="1"/>
  <c r="D71" i="2"/>
  <c r="E71" i="2" s="1"/>
  <c r="F71" i="2" s="1"/>
  <c r="G71" i="2" s="1"/>
  <c r="H71" i="2" s="1"/>
  <c r="I71" i="2" s="1"/>
  <c r="J71" i="2" s="1"/>
  <c r="K71" i="2" s="1"/>
  <c r="L71" i="2" s="1"/>
  <c r="M71" i="2" s="1"/>
  <c r="N71" i="2" s="1"/>
  <c r="O71" i="2" s="1"/>
  <c r="P71" i="2" s="1"/>
  <c r="Q71" i="2" s="1"/>
  <c r="R71" i="2" s="1"/>
  <c r="H466" i="1"/>
  <c r="C466" i="1"/>
  <c r="AV438" i="1"/>
  <c r="K369" i="2"/>
  <c r="J369" i="2"/>
  <c r="I369" i="2"/>
  <c r="H369" i="2"/>
  <c r="G369" i="2"/>
  <c r="F369" i="2"/>
  <c r="E369" i="2"/>
  <c r="D369" i="2"/>
  <c r="C369" i="2"/>
  <c r="DL429" i="1"/>
  <c r="DK429" i="1"/>
  <c r="DJ429" i="1"/>
  <c r="DJ431" i="1" s="1"/>
  <c r="DK428" i="1"/>
  <c r="DJ428" i="1"/>
  <c r="DL455" i="1"/>
  <c r="DK455" i="1"/>
  <c r="DJ455" i="1"/>
  <c r="DJ456" i="1" s="1"/>
  <c r="DL453" i="1"/>
  <c r="DK453" i="1"/>
  <c r="DJ453" i="1"/>
  <c r="AQ453" i="1"/>
  <c r="AQ371" i="1" s="1"/>
  <c r="AL453" i="1"/>
  <c r="AG453" i="1"/>
  <c r="AB453" i="1"/>
  <c r="AB455" i="1" s="1"/>
  <c r="W453" i="1"/>
  <c r="W455" i="1" s="1"/>
  <c r="R453" i="1"/>
  <c r="M453" i="1"/>
  <c r="M455" i="1" s="1"/>
  <c r="H453" i="1"/>
  <c r="C453" i="1"/>
  <c r="C371" i="1" s="1"/>
  <c r="DD452" i="1"/>
  <c r="DE452" i="1" s="1"/>
  <c r="DF452" i="1" s="1"/>
  <c r="DG452" i="1" s="1"/>
  <c r="DH452" i="1" s="1"/>
  <c r="DI452" i="1" s="1"/>
  <c r="DJ452" i="1" s="1"/>
  <c r="DK452" i="1" s="1"/>
  <c r="DL452" i="1" s="1"/>
  <c r="AQ451" i="1"/>
  <c r="AQ448" i="1"/>
  <c r="W462" i="1"/>
  <c r="AB462" i="1" s="1"/>
  <c r="AQ409" i="1"/>
  <c r="AL409" i="1"/>
  <c r="AG409" i="1"/>
  <c r="AB409" i="1"/>
  <c r="W409" i="1"/>
  <c r="R409" i="1"/>
  <c r="M409" i="1"/>
  <c r="H409" i="1"/>
  <c r="AQ405" i="1"/>
  <c r="AL405" i="1"/>
  <c r="AG405" i="1"/>
  <c r="AB405" i="1"/>
  <c r="W405" i="1"/>
  <c r="R405" i="1"/>
  <c r="M405" i="1"/>
  <c r="H405" i="1"/>
  <c r="AQ401" i="1"/>
  <c r="AL401" i="1"/>
  <c r="AG401" i="1"/>
  <c r="AB401" i="1"/>
  <c r="W401" i="1"/>
  <c r="R401" i="1"/>
  <c r="M401" i="1"/>
  <c r="H401" i="1"/>
  <c r="AQ392" i="1"/>
  <c r="AL392" i="1"/>
  <c r="AG392" i="1"/>
  <c r="AB392" i="1"/>
  <c r="W392" i="1"/>
  <c r="R392" i="1"/>
  <c r="M392" i="1"/>
  <c r="H392" i="1"/>
  <c r="AQ397" i="1"/>
  <c r="H397" i="1"/>
  <c r="M397" i="1" s="1"/>
  <c r="R397" i="1" s="1"/>
  <c r="W397" i="1" s="1"/>
  <c r="AB397" i="1" s="1"/>
  <c r="AG397" i="1" s="1"/>
  <c r="AL397" i="1" s="1"/>
  <c r="AQ368" i="1"/>
  <c r="AL368" i="1"/>
  <c r="AG368" i="1"/>
  <c r="AB368" i="1"/>
  <c r="W368" i="1"/>
  <c r="R368" i="1"/>
  <c r="M368" i="1"/>
  <c r="H368" i="1"/>
  <c r="C368" i="1"/>
  <c r="C369" i="1" s="1"/>
  <c r="AQ362" i="1"/>
  <c r="AL362" i="1"/>
  <c r="AG362" i="1"/>
  <c r="AB362" i="1"/>
  <c r="W362" i="1"/>
  <c r="R362" i="1"/>
  <c r="M362" i="1"/>
  <c r="H362" i="1"/>
  <c r="AQ358" i="1"/>
  <c r="AV358" i="1" s="1"/>
  <c r="BA358" i="1" s="1"/>
  <c r="AL358" i="1"/>
  <c r="AG358" i="1"/>
  <c r="AB358" i="1"/>
  <c r="W358" i="1"/>
  <c r="R358" i="1"/>
  <c r="M358" i="1"/>
  <c r="H358" i="1"/>
  <c r="R356" i="1"/>
  <c r="M356" i="1"/>
  <c r="H356" i="1"/>
  <c r="C356" i="1"/>
  <c r="AQ355" i="1"/>
  <c r="AL355" i="1"/>
  <c r="AG355" i="1"/>
  <c r="AB355" i="1"/>
  <c r="W355" i="1"/>
  <c r="R355" i="1"/>
  <c r="M355" i="1"/>
  <c r="H355" i="1"/>
  <c r="R351" i="1"/>
  <c r="H351" i="1"/>
  <c r="M352" i="1" s="1"/>
  <c r="C351" i="1"/>
  <c r="R349" i="1"/>
  <c r="H349" i="1"/>
  <c r="W348" i="1"/>
  <c r="W351" i="1" s="1"/>
  <c r="H346" i="1"/>
  <c r="C346" i="1"/>
  <c r="BU345" i="1"/>
  <c r="BP345" i="1"/>
  <c r="BK345" i="1"/>
  <c r="BF345" i="1"/>
  <c r="BA345" i="1"/>
  <c r="AV345" i="1"/>
  <c r="AQ345" i="1"/>
  <c r="AL345" i="1"/>
  <c r="AG345" i="1"/>
  <c r="AB345" i="1"/>
  <c r="W345" i="1"/>
  <c r="R345" i="1"/>
  <c r="H345" i="1"/>
  <c r="H343" i="1"/>
  <c r="BU346" i="1"/>
  <c r="BK346" i="1"/>
  <c r="BA346" i="1"/>
  <c r="AQ348" i="1"/>
  <c r="AG346" i="1"/>
  <c r="W346" i="1"/>
  <c r="B106" i="1"/>
  <c r="B109" i="1" s="1"/>
  <c r="AQ103" i="1"/>
  <c r="H103" i="1"/>
  <c r="AB89" i="1"/>
  <c r="W89" i="1"/>
  <c r="R89" i="1"/>
  <c r="M89" i="1"/>
  <c r="H89" i="1"/>
  <c r="AG87" i="1"/>
  <c r="AB87" i="1"/>
  <c r="W87" i="1"/>
  <c r="R87" i="1"/>
  <c r="M87" i="1"/>
  <c r="H87" i="1"/>
  <c r="AB82" i="1"/>
  <c r="W82" i="1"/>
  <c r="R82" i="1"/>
  <c r="M82" i="1"/>
  <c r="H82" i="1"/>
  <c r="AB80" i="1"/>
  <c r="W80" i="1"/>
  <c r="R80" i="1"/>
  <c r="M80" i="1"/>
  <c r="H80" i="1"/>
  <c r="AG76" i="1"/>
  <c r="AG77" i="1" s="1"/>
  <c r="AB76" i="1"/>
  <c r="AB77" i="1" s="1"/>
  <c r="W76" i="1"/>
  <c r="W77" i="1" s="1"/>
  <c r="R76" i="1"/>
  <c r="R77" i="1" s="1"/>
  <c r="M76" i="1"/>
  <c r="M77" i="1" s="1"/>
  <c r="H76" i="1"/>
  <c r="H77" i="1" s="1"/>
  <c r="C76" i="1"/>
  <c r="C77" i="1" s="1"/>
  <c r="C154" i="21" l="1"/>
  <c r="D151" i="21" s="1"/>
  <c r="D157" i="21"/>
  <c r="AK281" i="1"/>
  <c r="AK283" i="1" s="1"/>
  <c r="AJ283" i="1"/>
  <c r="C167" i="21"/>
  <c r="D153" i="21"/>
  <c r="D152" i="21"/>
  <c r="D385" i="2"/>
  <c r="M75" i="3"/>
  <c r="C385" i="2"/>
  <c r="L75" i="3"/>
  <c r="C230" i="21"/>
  <c r="C231" i="21"/>
  <c r="D159" i="21"/>
  <c r="K58" i="2"/>
  <c r="J58" i="2"/>
  <c r="D231" i="2"/>
  <c r="D209" i="2"/>
  <c r="D215" i="2"/>
  <c r="E175" i="2"/>
  <c r="I175" i="2"/>
  <c r="F175" i="2"/>
  <c r="C175" i="2"/>
  <c r="H175" i="2"/>
  <c r="J175" i="2"/>
  <c r="D175" i="2"/>
  <c r="D50" i="18"/>
  <c r="K174" i="2"/>
  <c r="K175" i="2" s="1"/>
  <c r="G175" i="2"/>
  <c r="E130" i="2"/>
  <c r="E133" i="2" s="1"/>
  <c r="E102" i="2"/>
  <c r="E104" i="2" s="1"/>
  <c r="D130" i="2"/>
  <c r="D132" i="2" s="1"/>
  <c r="D102" i="2"/>
  <c r="D104" i="2" s="1"/>
  <c r="F130" i="2"/>
  <c r="F132" i="2" s="1"/>
  <c r="F102" i="2"/>
  <c r="F104" i="2" s="1"/>
  <c r="G130" i="2"/>
  <c r="P20" i="3" s="1"/>
  <c r="D30" i="11" s="1"/>
  <c r="G102" i="2"/>
  <c r="G104" i="2" s="1"/>
  <c r="H130" i="2"/>
  <c r="H132" i="2" s="1"/>
  <c r="H102" i="2"/>
  <c r="H104" i="2" s="1"/>
  <c r="I130" i="2"/>
  <c r="I133" i="2" s="1"/>
  <c r="I102" i="2"/>
  <c r="I104" i="2" s="1"/>
  <c r="E35" i="18"/>
  <c r="E44" i="18"/>
  <c r="E49" i="18"/>
  <c r="D49" i="18"/>
  <c r="D35" i="18"/>
  <c r="D44" i="18"/>
  <c r="S306" i="2"/>
  <c r="T306" i="2" s="1"/>
  <c r="V306" i="2" s="1"/>
  <c r="W306" i="2" s="1"/>
  <c r="X306" i="2" s="1"/>
  <c r="Y306" i="2" s="1"/>
  <c r="Z306" i="2" s="1"/>
  <c r="AA306" i="2" s="1"/>
  <c r="S149" i="2"/>
  <c r="T149" i="2" s="1"/>
  <c r="V149" i="2" s="1"/>
  <c r="W149" i="2" s="1"/>
  <c r="X149" i="2" s="1"/>
  <c r="Y149" i="2" s="1"/>
  <c r="Z149" i="2" s="1"/>
  <c r="AA149" i="2" s="1"/>
  <c r="S96" i="2"/>
  <c r="T96" i="2" s="1"/>
  <c r="V96" i="2" s="1"/>
  <c r="W96" i="2" s="1"/>
  <c r="X96" i="2" s="1"/>
  <c r="Y96" i="2" s="1"/>
  <c r="Z96" i="2" s="1"/>
  <c r="AA96" i="2" s="1"/>
  <c r="S316" i="2"/>
  <c r="T316" i="2" s="1"/>
  <c r="V316" i="2" s="1"/>
  <c r="W316" i="2" s="1"/>
  <c r="X316" i="2" s="1"/>
  <c r="Y316" i="2" s="1"/>
  <c r="Z316" i="2" s="1"/>
  <c r="AA316" i="2" s="1"/>
  <c r="S398" i="2"/>
  <c r="T398" i="2" s="1"/>
  <c r="V398" i="2" s="1"/>
  <c r="W398" i="2" s="1"/>
  <c r="X398" i="2" s="1"/>
  <c r="Y398" i="2" s="1"/>
  <c r="Z398" i="2" s="1"/>
  <c r="AA398" i="2" s="1"/>
  <c r="S57" i="2"/>
  <c r="T57" i="2" s="1"/>
  <c r="V57" i="2" s="1"/>
  <c r="W57" i="2" s="1"/>
  <c r="X57" i="2" s="1"/>
  <c r="Y57" i="2" s="1"/>
  <c r="Z57" i="2" s="1"/>
  <c r="AA57" i="2" s="1"/>
  <c r="S321" i="2"/>
  <c r="T321" i="2" s="1"/>
  <c r="V321" i="2" s="1"/>
  <c r="W321" i="2" s="1"/>
  <c r="X321" i="2" s="1"/>
  <c r="Y321" i="2" s="1"/>
  <c r="Z321" i="2" s="1"/>
  <c r="AA321" i="2" s="1"/>
  <c r="S89" i="2"/>
  <c r="T89" i="2" s="1"/>
  <c r="V89" i="2" s="1"/>
  <c r="W89" i="2" s="1"/>
  <c r="X89" i="2" s="1"/>
  <c r="Y89" i="2" s="1"/>
  <c r="Z89" i="2" s="1"/>
  <c r="AA89" i="2" s="1"/>
  <c r="S71" i="2"/>
  <c r="T71" i="2" s="1"/>
  <c r="V71" i="2" s="1"/>
  <c r="W71" i="2" s="1"/>
  <c r="X71" i="2" s="1"/>
  <c r="Y71" i="2" s="1"/>
  <c r="Z71" i="2" s="1"/>
  <c r="AA71" i="2" s="1"/>
  <c r="S166" i="2"/>
  <c r="T166" i="2" s="1"/>
  <c r="V166" i="2" s="1"/>
  <c r="W166" i="2" s="1"/>
  <c r="X166" i="2" s="1"/>
  <c r="Y166" i="2" s="1"/>
  <c r="Z166" i="2" s="1"/>
  <c r="AA166" i="2" s="1"/>
  <c r="S262" i="2"/>
  <c r="T262" i="2" s="1"/>
  <c r="V262" i="2" s="1"/>
  <c r="W262" i="2" s="1"/>
  <c r="X262" i="2" s="1"/>
  <c r="Y262" i="2" s="1"/>
  <c r="Z262" i="2" s="1"/>
  <c r="AA262" i="2" s="1"/>
  <c r="S300" i="2"/>
  <c r="T300" i="2" s="1"/>
  <c r="V300" i="2" s="1"/>
  <c r="W300" i="2" s="1"/>
  <c r="X300" i="2" s="1"/>
  <c r="Y300" i="2" s="1"/>
  <c r="Z300" i="2" s="1"/>
  <c r="AA300" i="2" s="1"/>
  <c r="S355" i="2"/>
  <c r="T355" i="2" s="1"/>
  <c r="V355" i="2" s="1"/>
  <c r="W355" i="2" s="1"/>
  <c r="X355" i="2" s="1"/>
  <c r="Y355" i="2" s="1"/>
  <c r="Z355" i="2" s="1"/>
  <c r="AA355" i="2" s="1"/>
  <c r="L369" i="2"/>
  <c r="AV253" i="1"/>
  <c r="Q28" i="1"/>
  <c r="Q6" i="1"/>
  <c r="Q14" i="1"/>
  <c r="AD28" i="1"/>
  <c r="AD14" i="1"/>
  <c r="AE28" i="1"/>
  <c r="AE14" i="1"/>
  <c r="E2" i="2"/>
  <c r="D4" i="2"/>
  <c r="CT124" i="1"/>
  <c r="R10" i="2"/>
  <c r="K46" i="2"/>
  <c r="P272" i="2"/>
  <c r="Q272" i="2" s="1"/>
  <c r="R272" i="2" s="1"/>
  <c r="P268" i="2"/>
  <c r="Q268" i="2" s="1"/>
  <c r="R268" i="2" s="1"/>
  <c r="P275" i="2"/>
  <c r="Q275" i="2" s="1"/>
  <c r="R275" i="2" s="1"/>
  <c r="P240" i="2"/>
  <c r="Q240" i="2" s="1"/>
  <c r="R240" i="2" s="1"/>
  <c r="P279" i="2"/>
  <c r="Q279" i="2" s="1"/>
  <c r="R279" i="2" s="1"/>
  <c r="P280" i="2"/>
  <c r="Q280" i="2" s="1"/>
  <c r="R280" i="2" s="1"/>
  <c r="P283" i="2"/>
  <c r="Q283" i="2" s="1"/>
  <c r="R283" i="2" s="1"/>
  <c r="P286" i="2"/>
  <c r="Q286" i="2" s="1"/>
  <c r="R286" i="2" s="1"/>
  <c r="P340" i="2"/>
  <c r="Q340" i="2" s="1"/>
  <c r="R340" i="2" s="1"/>
  <c r="P289" i="2"/>
  <c r="Q289" i="2" s="1"/>
  <c r="R289" i="2" s="1"/>
  <c r="P330" i="2"/>
  <c r="Q330" i="2" s="1"/>
  <c r="R330" i="2" s="1"/>
  <c r="BK214" i="1"/>
  <c r="BP145" i="1"/>
  <c r="AT420" i="1"/>
  <c r="AT421" i="1"/>
  <c r="AS420" i="1"/>
  <c r="AS421" i="1"/>
  <c r="AO420" i="1"/>
  <c r="AO421" i="1"/>
  <c r="AN420" i="1"/>
  <c r="AN421" i="1"/>
  <c r="AP420" i="1"/>
  <c r="AR420" i="1"/>
  <c r="AW420" i="1"/>
  <c r="BK144" i="1"/>
  <c r="F191" i="2"/>
  <c r="E191" i="2"/>
  <c r="G191" i="2"/>
  <c r="H191" i="2"/>
  <c r="C130" i="2"/>
  <c r="AQ351" i="1"/>
  <c r="AQ356" i="1"/>
  <c r="AV348" i="1"/>
  <c r="AV351" i="1" s="1"/>
  <c r="P79" i="4"/>
  <c r="Q79" i="4" s="1"/>
  <c r="R79" i="4" s="1"/>
  <c r="J86" i="6"/>
  <c r="K29" i="2"/>
  <c r="AP44" i="7"/>
  <c r="AV165" i="1"/>
  <c r="AU166" i="1"/>
  <c r="AU168" i="1"/>
  <c r="AO281" i="1"/>
  <c r="AO283" i="1" s="1"/>
  <c r="AS281" i="1"/>
  <c r="AS283" i="1" s="1"/>
  <c r="L25" i="3"/>
  <c r="G342" i="2"/>
  <c r="P28" i="3"/>
  <c r="P128" i="3" s="1"/>
  <c r="K342" i="2"/>
  <c r="T28" i="3"/>
  <c r="T128" i="3" s="1"/>
  <c r="I342" i="2"/>
  <c r="R28" i="3"/>
  <c r="R128" i="3" s="1"/>
  <c r="AK422" i="1"/>
  <c r="AK425" i="1"/>
  <c r="AK426" i="1" s="1"/>
  <c r="AN460" i="1"/>
  <c r="AF460" i="1"/>
  <c r="AK460" i="1"/>
  <c r="AO460" i="1"/>
  <c r="AO425" i="1"/>
  <c r="AO426" i="1" s="1"/>
  <c r="AN425" i="1"/>
  <c r="AN426" i="1" s="1"/>
  <c r="AH460" i="1"/>
  <c r="AC460" i="1"/>
  <c r="AP460" i="1"/>
  <c r="M431" i="1"/>
  <c r="AT460" i="1"/>
  <c r="W421" i="1"/>
  <c r="W431" i="1"/>
  <c r="AR460" i="1"/>
  <c r="AB431" i="1"/>
  <c r="AS460" i="1"/>
  <c r="AG371" i="1"/>
  <c r="AG455" i="1"/>
  <c r="U250" i="3"/>
  <c r="H371" i="1"/>
  <c r="H455" i="1"/>
  <c r="H459" i="1" s="1"/>
  <c r="AB456" i="1"/>
  <c r="R371" i="1"/>
  <c r="R455" i="1"/>
  <c r="AL371" i="1"/>
  <c r="AL455" i="1"/>
  <c r="AQ109" i="1"/>
  <c r="AQ455" i="1"/>
  <c r="AS425" i="1"/>
  <c r="AS426" i="1" s="1"/>
  <c r="AR425" i="1"/>
  <c r="AR426" i="1" s="1"/>
  <c r="AT425" i="1"/>
  <c r="AT426" i="1" s="1"/>
  <c r="E29" i="2"/>
  <c r="E35" i="2" s="1"/>
  <c r="I40" i="2"/>
  <c r="R27" i="3" s="1"/>
  <c r="K40" i="2"/>
  <c r="D54" i="18" s="1"/>
  <c r="I29" i="2"/>
  <c r="I35" i="2" s="1"/>
  <c r="R25" i="3"/>
  <c r="K18" i="2"/>
  <c r="G60" i="2"/>
  <c r="G386" i="2" s="1"/>
  <c r="P80" i="3" s="1"/>
  <c r="G29" i="2"/>
  <c r="G35" i="2" s="1"/>
  <c r="G40" i="2"/>
  <c r="P27" i="3" s="1"/>
  <c r="L9" i="2"/>
  <c r="H29" i="2"/>
  <c r="H35" i="2" s="1"/>
  <c r="K60" i="2"/>
  <c r="K386" i="2" s="1"/>
  <c r="T80" i="3" s="1"/>
  <c r="H137" i="1"/>
  <c r="H59" i="1"/>
  <c r="M59" i="1"/>
  <c r="AQ59" i="1"/>
  <c r="AG59" i="1"/>
  <c r="AB59" i="1"/>
  <c r="AL60" i="1"/>
  <c r="C455" i="1"/>
  <c r="AG61" i="1"/>
  <c r="AV59" i="1"/>
  <c r="H88" i="1"/>
  <c r="AB88" i="1"/>
  <c r="AB61" i="1"/>
  <c r="AQ60" i="1"/>
  <c r="M61" i="1"/>
  <c r="AL61" i="1"/>
  <c r="AB60" i="1"/>
  <c r="AB371" i="1"/>
  <c r="AG60" i="1"/>
  <c r="W88" i="1"/>
  <c r="M371" i="1"/>
  <c r="W61" i="1"/>
  <c r="AV60" i="1"/>
  <c r="AQ61" i="1"/>
  <c r="H61" i="1"/>
  <c r="BA102" i="1"/>
  <c r="H331" i="1"/>
  <c r="W371" i="1"/>
  <c r="R61" i="1"/>
  <c r="AL59" i="1"/>
  <c r="R452" i="1"/>
  <c r="AL452" i="1"/>
  <c r="H452" i="1"/>
  <c r="AB452" i="1"/>
  <c r="M452" i="1"/>
  <c r="AG452" i="1"/>
  <c r="W452" i="1"/>
  <c r="AQ452" i="1"/>
  <c r="AQ369" i="1"/>
  <c r="AQ373" i="1" s="1"/>
  <c r="G408" i="2"/>
  <c r="K408" i="2"/>
  <c r="H81" i="1"/>
  <c r="DL456" i="1"/>
  <c r="AL369" i="1"/>
  <c r="AB90" i="1"/>
  <c r="W90" i="1"/>
  <c r="C40" i="2"/>
  <c r="L27" i="3" s="1"/>
  <c r="K431" i="2"/>
  <c r="AQ346" i="1"/>
  <c r="R352" i="1"/>
  <c r="R357" i="1"/>
  <c r="H359" i="1"/>
  <c r="AL454" i="1"/>
  <c r="DL431" i="1"/>
  <c r="M357" i="1"/>
  <c r="M81" i="1"/>
  <c r="H83" i="1"/>
  <c r="W343" i="1"/>
  <c r="BK343" i="1"/>
  <c r="H350" i="1"/>
  <c r="AB348" i="1"/>
  <c r="AB356" i="1" s="1"/>
  <c r="DK431" i="1"/>
  <c r="M88" i="1"/>
  <c r="AB359" i="1"/>
  <c r="AG454" i="1"/>
  <c r="DK454" i="1"/>
  <c r="C29" i="2"/>
  <c r="C35" i="2" s="1"/>
  <c r="I258" i="2"/>
  <c r="K258" i="2"/>
  <c r="G258" i="2"/>
  <c r="D49" i="2"/>
  <c r="F25" i="27" s="1"/>
  <c r="H49" i="2"/>
  <c r="J25" i="27" s="1"/>
  <c r="M26" i="2"/>
  <c r="M173" i="2" s="1"/>
  <c r="D11" i="2"/>
  <c r="L18" i="2"/>
  <c r="J49" i="2"/>
  <c r="L25" i="27" s="1"/>
  <c r="M18" i="2"/>
  <c r="H342" i="2"/>
  <c r="H60" i="2"/>
  <c r="H386" i="2" s="1"/>
  <c r="Q80" i="3" s="1"/>
  <c r="S25" i="3"/>
  <c r="D250" i="2"/>
  <c r="D23" i="2"/>
  <c r="D29" i="2" s="1"/>
  <c r="D35" i="2" s="1"/>
  <c r="E250" i="2"/>
  <c r="F404" i="2"/>
  <c r="E159" i="2"/>
  <c r="E15" i="2" s="1"/>
  <c r="N9" i="2"/>
  <c r="F8" i="2"/>
  <c r="F11" i="2" s="1"/>
  <c r="G16" i="2"/>
  <c r="M33" i="2"/>
  <c r="F53" i="18" s="1"/>
  <c r="F317" i="2"/>
  <c r="G317" i="2" s="1"/>
  <c r="H317" i="2" s="1"/>
  <c r="I317" i="2" s="1"/>
  <c r="J317" i="2" s="1"/>
  <c r="K317" i="2" s="1"/>
  <c r="L317" i="2" s="1"/>
  <c r="M317" i="2" s="1"/>
  <c r="N317" i="2" s="1"/>
  <c r="O317" i="2" s="1"/>
  <c r="P317" i="2" s="1"/>
  <c r="Q317" i="2" s="1"/>
  <c r="R317" i="2" s="1"/>
  <c r="E38" i="2"/>
  <c r="E40" i="2" s="1"/>
  <c r="N27" i="3" s="1"/>
  <c r="F258" i="2"/>
  <c r="O131" i="3" s="1"/>
  <c r="G315" i="2"/>
  <c r="M9" i="2"/>
  <c r="E49" i="2"/>
  <c r="G25" i="27" s="1"/>
  <c r="I49" i="2"/>
  <c r="K25" i="27" s="1"/>
  <c r="D191" i="2"/>
  <c r="L253" i="2"/>
  <c r="J258" i="2"/>
  <c r="S131" i="3" s="1"/>
  <c r="C347" i="2"/>
  <c r="H404" i="2"/>
  <c r="C19" i="2"/>
  <c r="F49" i="2"/>
  <c r="H25" i="27" s="1"/>
  <c r="K433" i="2"/>
  <c r="DL454" i="1"/>
  <c r="DL437" i="1"/>
  <c r="DL465" i="1" s="1"/>
  <c r="W83" i="1"/>
  <c r="F294" i="2"/>
  <c r="AB81" i="1"/>
  <c r="AB83" i="1"/>
  <c r="R350" i="1"/>
  <c r="H352" i="1"/>
  <c r="W359" i="1"/>
  <c r="AQ359" i="1"/>
  <c r="H454" i="1"/>
  <c r="DK456" i="1"/>
  <c r="DL428" i="1"/>
  <c r="G294" i="2"/>
  <c r="K294" i="2"/>
  <c r="E11" i="2"/>
  <c r="F29" i="2"/>
  <c r="F35" i="2" s="1"/>
  <c r="J29" i="2"/>
  <c r="J35" i="2" s="1"/>
  <c r="F40" i="2"/>
  <c r="O27" i="3" s="1"/>
  <c r="J40" i="2"/>
  <c r="S27" i="3" s="1"/>
  <c r="J294" i="2"/>
  <c r="P25" i="3"/>
  <c r="K404" i="2"/>
  <c r="M90" i="1"/>
  <c r="W352" i="1"/>
  <c r="AB369" i="1"/>
  <c r="D294" i="2"/>
  <c r="H294" i="2"/>
  <c r="N25" i="3"/>
  <c r="C49" i="2"/>
  <c r="E25" i="27" s="1"/>
  <c r="G49" i="2"/>
  <c r="I25" i="27" s="1"/>
  <c r="K49" i="2"/>
  <c r="F342" i="2"/>
  <c r="F60" i="2"/>
  <c r="F386" i="2" s="1"/>
  <c r="O80" i="3" s="1"/>
  <c r="J342" i="2"/>
  <c r="J60" i="2"/>
  <c r="J386" i="2" s="1"/>
  <c r="S80" i="3" s="1"/>
  <c r="C294" i="2"/>
  <c r="D370" i="2"/>
  <c r="D430" i="2"/>
  <c r="F43" i="27" s="1"/>
  <c r="F159" i="2"/>
  <c r="F15" i="2" s="1"/>
  <c r="G404" i="2"/>
  <c r="H90" i="1"/>
  <c r="AG343" i="1"/>
  <c r="BA343" i="1"/>
  <c r="BU343" i="1"/>
  <c r="C357" i="1"/>
  <c r="W454" i="1"/>
  <c r="DK437" i="1"/>
  <c r="C430" i="2"/>
  <c r="C370" i="2"/>
  <c r="K82" i="2"/>
  <c r="E294" i="2"/>
  <c r="I294" i="2"/>
  <c r="C11" i="2"/>
  <c r="F16" i="2"/>
  <c r="D40" i="2"/>
  <c r="M27" i="3" s="1"/>
  <c r="H40" i="2"/>
  <c r="Q27" i="3" s="1"/>
  <c r="E161" i="2"/>
  <c r="F161" i="2" s="1"/>
  <c r="G161" i="2" s="1"/>
  <c r="H161" i="2" s="1"/>
  <c r="I161" i="2" s="1"/>
  <c r="J161" i="2" s="1"/>
  <c r="K161" i="2" s="1"/>
  <c r="L161" i="2" s="1"/>
  <c r="M161" i="2" s="1"/>
  <c r="N161" i="2" s="1"/>
  <c r="O161" i="2" s="1"/>
  <c r="M25" i="3"/>
  <c r="O25" i="3"/>
  <c r="H315" i="2"/>
  <c r="T25" i="3"/>
  <c r="H258" i="2"/>
  <c r="Q131" i="3" s="1"/>
  <c r="D246" i="2"/>
  <c r="N28" i="2"/>
  <c r="M253" i="2"/>
  <c r="L256" i="2"/>
  <c r="E408" i="2"/>
  <c r="D408" i="2"/>
  <c r="I408" i="2"/>
  <c r="H408" i="2"/>
  <c r="E253" i="2"/>
  <c r="F408" i="2"/>
  <c r="J408" i="2"/>
  <c r="J433" i="2"/>
  <c r="BA360" i="1"/>
  <c r="BF358" i="1"/>
  <c r="BK358" i="1" s="1"/>
  <c r="BP358" i="1" s="1"/>
  <c r="BU358" i="1" s="1"/>
  <c r="AB463" i="1"/>
  <c r="AG462" i="1"/>
  <c r="R81" i="1"/>
  <c r="M83" i="1"/>
  <c r="R369" i="1"/>
  <c r="W81" i="1"/>
  <c r="R83" i="1"/>
  <c r="W369" i="1"/>
  <c r="M359" i="1"/>
  <c r="R88" i="1"/>
  <c r="R90" i="1"/>
  <c r="H106" i="1"/>
  <c r="C350" i="1"/>
  <c r="R346" i="1"/>
  <c r="R343" i="1"/>
  <c r="AL346" i="1"/>
  <c r="AL343" i="1"/>
  <c r="BF346" i="1"/>
  <c r="BF343" i="1"/>
  <c r="AQ343" i="1"/>
  <c r="AG359" i="1"/>
  <c r="AQ137" i="1"/>
  <c r="AB343" i="1"/>
  <c r="AV343" i="1"/>
  <c r="BP343" i="1"/>
  <c r="AB346" i="1"/>
  <c r="AV346" i="1"/>
  <c r="BP346" i="1"/>
  <c r="W350" i="1"/>
  <c r="W356" i="1"/>
  <c r="W357" i="1" s="1"/>
  <c r="H357" i="1"/>
  <c r="R359" i="1"/>
  <c r="AL359" i="1"/>
  <c r="H369" i="1"/>
  <c r="H370" i="1" s="1"/>
  <c r="AG369" i="1"/>
  <c r="DJ454" i="1"/>
  <c r="DJ437" i="1"/>
  <c r="AQ454" i="1"/>
  <c r="M369" i="1"/>
  <c r="R454" i="1"/>
  <c r="R463" i="1"/>
  <c r="AB454" i="1"/>
  <c r="W463" i="1"/>
  <c r="M454" i="1"/>
  <c r="J31" i="27" l="1"/>
  <c r="J13" i="27"/>
  <c r="F31" i="27"/>
  <c r="F5" i="27" s="1"/>
  <c r="F13" i="27"/>
  <c r="K31" i="27"/>
  <c r="K5" i="27" s="1"/>
  <c r="K13" i="27"/>
  <c r="G31" i="27"/>
  <c r="G5" i="27" s="1"/>
  <c r="G13" i="27"/>
  <c r="I31" i="27"/>
  <c r="I5" i="27" s="1"/>
  <c r="I13" i="27"/>
  <c r="E31" i="27"/>
  <c r="E6" i="27" s="1"/>
  <c r="E13" i="27"/>
  <c r="L31" i="27"/>
  <c r="L5" i="27" s="1"/>
  <c r="L13" i="27"/>
  <c r="H31" i="27"/>
  <c r="H5" i="27" s="1"/>
  <c r="H13" i="27"/>
  <c r="C432" i="2"/>
  <c r="E43" i="27"/>
  <c r="D13" i="18"/>
  <c r="M25" i="27"/>
  <c r="J5" i="27"/>
  <c r="C218" i="21"/>
  <c r="C220" i="21" s="1"/>
  <c r="F159" i="21"/>
  <c r="C388" i="2"/>
  <c r="L79" i="3"/>
  <c r="D388" i="2"/>
  <c r="M79" i="3"/>
  <c r="D135" i="2"/>
  <c r="D145" i="2" s="1"/>
  <c r="K53" i="2"/>
  <c r="I53" i="2"/>
  <c r="G53" i="2"/>
  <c r="F53" i="2"/>
  <c r="E53" i="2"/>
  <c r="H53" i="2"/>
  <c r="D53" i="2"/>
  <c r="J53" i="2"/>
  <c r="I109" i="2"/>
  <c r="I107" i="2"/>
  <c r="H109" i="2"/>
  <c r="H107" i="2"/>
  <c r="G109" i="2"/>
  <c r="G107" i="2"/>
  <c r="F109" i="2"/>
  <c r="F107" i="2"/>
  <c r="D109" i="2"/>
  <c r="D107" i="2"/>
  <c r="E109" i="2"/>
  <c r="E107" i="2"/>
  <c r="N20" i="3"/>
  <c r="Q20" i="3"/>
  <c r="E30" i="11" s="1"/>
  <c r="H135" i="2"/>
  <c r="E135" i="2"/>
  <c r="I176" i="2"/>
  <c r="D58" i="2"/>
  <c r="D432" i="2"/>
  <c r="F176" i="2"/>
  <c r="E231" i="2"/>
  <c r="E209" i="2"/>
  <c r="E215" i="2"/>
  <c r="E176" i="2"/>
  <c r="J176" i="2"/>
  <c r="C433" i="2"/>
  <c r="C58" i="2"/>
  <c r="I131" i="2"/>
  <c r="I135" i="2"/>
  <c r="H133" i="2"/>
  <c r="R20" i="3"/>
  <c r="F30" i="11" s="1"/>
  <c r="E131" i="2"/>
  <c r="D133" i="2"/>
  <c r="M20" i="3"/>
  <c r="O20" i="3"/>
  <c r="C30" i="11" s="1"/>
  <c r="H176" i="2"/>
  <c r="G135" i="2"/>
  <c r="G133" i="2"/>
  <c r="E132" i="2"/>
  <c r="G176" i="2"/>
  <c r="K176" i="2"/>
  <c r="D176" i="2"/>
  <c r="F135" i="2"/>
  <c r="G131" i="2"/>
  <c r="H131" i="2"/>
  <c r="G132" i="2"/>
  <c r="F131" i="2"/>
  <c r="F133" i="2"/>
  <c r="I132" i="2"/>
  <c r="F49" i="18"/>
  <c r="F35" i="18"/>
  <c r="G61" i="18" s="1"/>
  <c r="F44" i="18"/>
  <c r="K35" i="2"/>
  <c r="K42" i="2" s="1"/>
  <c r="D34" i="18"/>
  <c r="D43" i="18"/>
  <c r="D55" i="18"/>
  <c r="S286" i="2"/>
  <c r="T286" i="2" s="1"/>
  <c r="V286" i="2" s="1"/>
  <c r="W286" i="2" s="1"/>
  <c r="X286" i="2" s="1"/>
  <c r="Y286" i="2" s="1"/>
  <c r="Z286" i="2" s="1"/>
  <c r="AA286" i="2" s="1"/>
  <c r="S283" i="2"/>
  <c r="T283" i="2" s="1"/>
  <c r="V283" i="2" s="1"/>
  <c r="W283" i="2" s="1"/>
  <c r="X283" i="2" s="1"/>
  <c r="Y283" i="2" s="1"/>
  <c r="Z283" i="2" s="1"/>
  <c r="AA283" i="2" s="1"/>
  <c r="S10" i="2"/>
  <c r="S280" i="2"/>
  <c r="T280" i="2" s="1"/>
  <c r="V280" i="2" s="1"/>
  <c r="W280" i="2" s="1"/>
  <c r="X280" i="2" s="1"/>
  <c r="Y280" i="2" s="1"/>
  <c r="Z280" i="2" s="1"/>
  <c r="AA280" i="2" s="1"/>
  <c r="S279" i="2"/>
  <c r="T279" i="2" s="1"/>
  <c r="V279" i="2" s="1"/>
  <c r="W279" i="2" s="1"/>
  <c r="X279" i="2" s="1"/>
  <c r="Y279" i="2" s="1"/>
  <c r="Z279" i="2" s="1"/>
  <c r="AA279" i="2" s="1"/>
  <c r="S240" i="2"/>
  <c r="T240" i="2" s="1"/>
  <c r="V240" i="2" s="1"/>
  <c r="W240" i="2" s="1"/>
  <c r="X240" i="2" s="1"/>
  <c r="Y240" i="2" s="1"/>
  <c r="Z240" i="2" s="1"/>
  <c r="AA240" i="2" s="1"/>
  <c r="S330" i="2"/>
  <c r="T330" i="2" s="1"/>
  <c r="V330" i="2" s="1"/>
  <c r="W330" i="2" s="1"/>
  <c r="X330" i="2" s="1"/>
  <c r="Y330" i="2" s="1"/>
  <c r="Z330" i="2" s="1"/>
  <c r="AA330" i="2" s="1"/>
  <c r="S275" i="2"/>
  <c r="T275" i="2" s="1"/>
  <c r="V275" i="2" s="1"/>
  <c r="W275" i="2" s="1"/>
  <c r="X275" i="2" s="1"/>
  <c r="Y275" i="2" s="1"/>
  <c r="Z275" i="2" s="1"/>
  <c r="AA275" i="2" s="1"/>
  <c r="S289" i="2"/>
  <c r="T289" i="2" s="1"/>
  <c r="V289" i="2" s="1"/>
  <c r="W289" i="2" s="1"/>
  <c r="X289" i="2" s="1"/>
  <c r="Y289" i="2" s="1"/>
  <c r="Z289" i="2" s="1"/>
  <c r="AA289" i="2" s="1"/>
  <c r="S268" i="2"/>
  <c r="T268" i="2" s="1"/>
  <c r="V268" i="2" s="1"/>
  <c r="W268" i="2" s="1"/>
  <c r="X268" i="2" s="1"/>
  <c r="Y268" i="2" s="1"/>
  <c r="Z268" i="2" s="1"/>
  <c r="AA268" i="2" s="1"/>
  <c r="S317" i="2"/>
  <c r="T317" i="2" s="1"/>
  <c r="V317" i="2" s="1"/>
  <c r="W317" i="2" s="1"/>
  <c r="X317" i="2" s="1"/>
  <c r="Y317" i="2" s="1"/>
  <c r="Z317" i="2" s="1"/>
  <c r="AA317" i="2" s="1"/>
  <c r="S340" i="2"/>
  <c r="T340" i="2" s="1"/>
  <c r="V340" i="2" s="1"/>
  <c r="W340" i="2" s="1"/>
  <c r="X340" i="2" s="1"/>
  <c r="Y340" i="2" s="1"/>
  <c r="Z340" i="2" s="1"/>
  <c r="AA340" i="2" s="1"/>
  <c r="S272" i="2"/>
  <c r="T272" i="2" s="1"/>
  <c r="V272" i="2" s="1"/>
  <c r="W272" i="2" s="1"/>
  <c r="X272" i="2" s="1"/>
  <c r="Y272" i="2" s="1"/>
  <c r="Z272" i="2" s="1"/>
  <c r="AA272" i="2" s="1"/>
  <c r="L20" i="3"/>
  <c r="C133" i="2"/>
  <c r="AC28" i="1"/>
  <c r="AC14" i="1"/>
  <c r="AF28" i="1"/>
  <c r="AF14" i="1"/>
  <c r="F2" i="2"/>
  <c r="E4" i="2"/>
  <c r="H83" i="11"/>
  <c r="K48" i="2"/>
  <c r="BZ358" i="1"/>
  <c r="BA166" i="1"/>
  <c r="CU44" i="7"/>
  <c r="T27" i="3"/>
  <c r="H89" i="11"/>
  <c r="BU145" i="1"/>
  <c r="BZ145" i="1" s="1"/>
  <c r="CE145" i="1" s="1"/>
  <c r="P161" i="2"/>
  <c r="Q161" i="2" s="1"/>
  <c r="R161" i="2" s="1"/>
  <c r="BK212" i="1"/>
  <c r="CX50" i="7" s="1"/>
  <c r="BP144" i="1"/>
  <c r="D131" i="2"/>
  <c r="C135" i="2"/>
  <c r="C140" i="2"/>
  <c r="AV352" i="1"/>
  <c r="AU169" i="1"/>
  <c r="AW168" i="1"/>
  <c r="L86" i="6"/>
  <c r="K86" i="6"/>
  <c r="AV166" i="1"/>
  <c r="AV168" i="1"/>
  <c r="U252" i="3" s="1"/>
  <c r="AV167" i="1"/>
  <c r="M331" i="1"/>
  <c r="R331" i="1" s="1"/>
  <c r="W331" i="1" s="1"/>
  <c r="AB331" i="1" s="1"/>
  <c r="AG331" i="1" s="1"/>
  <c r="AL331" i="1" s="1"/>
  <c r="AQ331" i="1" s="1"/>
  <c r="AV331" i="1" s="1"/>
  <c r="BA331" i="1" s="1"/>
  <c r="BF331" i="1" s="1"/>
  <c r="BK331" i="1" s="1"/>
  <c r="BP331" i="1" s="1"/>
  <c r="BU331" i="1" s="1"/>
  <c r="AP281" i="1"/>
  <c r="AP283" i="1" s="1"/>
  <c r="I42" i="2"/>
  <c r="K62" i="2"/>
  <c r="K379" i="2" s="1"/>
  <c r="T131" i="3"/>
  <c r="I62" i="2"/>
  <c r="I379" i="2" s="1"/>
  <c r="R73" i="3" s="1"/>
  <c r="R131" i="3"/>
  <c r="G347" i="2"/>
  <c r="P131" i="3"/>
  <c r="Q25" i="3"/>
  <c r="AL421" i="1"/>
  <c r="V250" i="3"/>
  <c r="R372" i="1"/>
  <c r="R456" i="1"/>
  <c r="R431" i="1"/>
  <c r="M456" i="1"/>
  <c r="H431" i="1"/>
  <c r="AG456" i="1"/>
  <c r="W456" i="1"/>
  <c r="AL456" i="1"/>
  <c r="H456" i="1"/>
  <c r="D42" i="2"/>
  <c r="R459" i="1"/>
  <c r="AQ459" i="1"/>
  <c r="W459" i="1"/>
  <c r="AL459" i="1"/>
  <c r="AG459" i="1"/>
  <c r="AB459" i="1"/>
  <c r="M459" i="1"/>
  <c r="M465" i="1"/>
  <c r="M430" i="1"/>
  <c r="AB421" i="1"/>
  <c r="AB465" i="1"/>
  <c r="AB430" i="1"/>
  <c r="C430" i="1"/>
  <c r="AG465" i="1"/>
  <c r="AG430" i="1"/>
  <c r="H430" i="1"/>
  <c r="H465" i="1"/>
  <c r="AQ431" i="1"/>
  <c r="AQ430" i="1"/>
  <c r="R421" i="1"/>
  <c r="R465" i="1"/>
  <c r="R430" i="1"/>
  <c r="AL465" i="1"/>
  <c r="AL430" i="1"/>
  <c r="W422" i="1"/>
  <c r="W430" i="1"/>
  <c r="W465" i="1"/>
  <c r="G42" i="2"/>
  <c r="E42" i="2"/>
  <c r="F50" i="2"/>
  <c r="J16" i="2"/>
  <c r="I50" i="2"/>
  <c r="H16" i="2"/>
  <c r="H421" i="1"/>
  <c r="W127" i="1"/>
  <c r="M127" i="1"/>
  <c r="AB127" i="1"/>
  <c r="AQ127" i="1"/>
  <c r="R127" i="1"/>
  <c r="AG127" i="1"/>
  <c r="C42" i="2"/>
  <c r="BF102" i="1"/>
  <c r="AG348" i="1"/>
  <c r="AL348" i="1" s="1"/>
  <c r="DK465" i="1"/>
  <c r="DL466" i="1" s="1"/>
  <c r="AB351" i="1"/>
  <c r="AB352" i="1" s="1"/>
  <c r="H127" i="1"/>
  <c r="AB350" i="1"/>
  <c r="AQ370" i="1"/>
  <c r="I347" i="2"/>
  <c r="K347" i="2"/>
  <c r="DL438" i="1"/>
  <c r="BA348" i="1"/>
  <c r="BA351" i="1" s="1"/>
  <c r="BA352" i="1" s="1"/>
  <c r="W370" i="1"/>
  <c r="C325" i="2"/>
  <c r="C65" i="2"/>
  <c r="L134" i="3" s="1"/>
  <c r="DK438" i="1"/>
  <c r="AL127" i="1"/>
  <c r="R373" i="1"/>
  <c r="AB370" i="1"/>
  <c r="G62" i="2"/>
  <c r="G379" i="2" s="1"/>
  <c r="P73" i="3" s="1"/>
  <c r="D258" i="2"/>
  <c r="E258" i="2"/>
  <c r="N131" i="3" s="1"/>
  <c r="E50" i="2"/>
  <c r="J42" i="2"/>
  <c r="J50" i="2"/>
  <c r="C21" i="2"/>
  <c r="C90" i="2" s="1"/>
  <c r="J347" i="2"/>
  <c r="J62" i="2"/>
  <c r="J379" i="2" s="1"/>
  <c r="F347" i="2"/>
  <c r="F62" i="2"/>
  <c r="F379" i="2" s="1"/>
  <c r="O73" i="3" s="1"/>
  <c r="N33" i="2"/>
  <c r="G8" i="2"/>
  <c r="G11" i="2" s="1"/>
  <c r="D50" i="2"/>
  <c r="K50" i="2"/>
  <c r="I16" i="2"/>
  <c r="N18" i="2"/>
  <c r="G50" i="2"/>
  <c r="K16" i="2"/>
  <c r="O9" i="2"/>
  <c r="H42" i="2"/>
  <c r="D14" i="2"/>
  <c r="D19" i="2" s="1"/>
  <c r="D21" i="2" s="1"/>
  <c r="D90" i="2" s="1"/>
  <c r="W372" i="1"/>
  <c r="G159" i="2"/>
  <c r="G15" i="2" s="1"/>
  <c r="N253" i="2"/>
  <c r="O28" i="2"/>
  <c r="H347" i="2"/>
  <c r="H62" i="2"/>
  <c r="H379" i="2" s="1"/>
  <c r="Q73" i="3" s="1"/>
  <c r="F42" i="2"/>
  <c r="I315" i="2"/>
  <c r="M256" i="2"/>
  <c r="M25" i="2"/>
  <c r="C401" i="2"/>
  <c r="H50" i="2"/>
  <c r="D433" i="2"/>
  <c r="D431" i="2"/>
  <c r="M370" i="1"/>
  <c r="M373" i="1"/>
  <c r="AL373" i="1"/>
  <c r="AL372" i="1"/>
  <c r="C373" i="1"/>
  <c r="C372" i="1"/>
  <c r="AB372" i="1"/>
  <c r="AB373" i="1"/>
  <c r="AG372" i="1"/>
  <c r="H372" i="1"/>
  <c r="H373" i="1"/>
  <c r="M372" i="1"/>
  <c r="AL462" i="1"/>
  <c r="AG463" i="1"/>
  <c r="AB357" i="1"/>
  <c r="CL35" i="7"/>
  <c r="W373" i="1"/>
  <c r="R370" i="1"/>
  <c r="AQ456" i="1"/>
  <c r="DJ465" i="1"/>
  <c r="DJ466" i="1" s="1"/>
  <c r="DJ438" i="1"/>
  <c r="AG373" i="1"/>
  <c r="AG370" i="1"/>
  <c r="AL370" i="1"/>
  <c r="AQ372" i="1"/>
  <c r="F6" i="27" l="1"/>
  <c r="L6" i="27"/>
  <c r="E5" i="27"/>
  <c r="M31" i="27"/>
  <c r="M5" i="27" s="1"/>
  <c r="M13" i="27"/>
  <c r="K52" i="2"/>
  <c r="T138" i="3"/>
  <c r="K385" i="2"/>
  <c r="T73" i="3"/>
  <c r="D390" i="2"/>
  <c r="F45" i="27" s="1"/>
  <c r="F10" i="27" s="1"/>
  <c r="M82" i="3"/>
  <c r="J385" i="2"/>
  <c r="S73" i="3"/>
  <c r="C390" i="2"/>
  <c r="E45" i="27" s="1"/>
  <c r="E10" i="27" s="1"/>
  <c r="L82" i="3"/>
  <c r="S11" i="2"/>
  <c r="T10" i="2"/>
  <c r="V10" i="2" s="1"/>
  <c r="W10" i="2" s="1"/>
  <c r="X10" i="2" s="1"/>
  <c r="Y10" i="2" s="1"/>
  <c r="Z10" i="2" s="1"/>
  <c r="AA10" i="2" s="1"/>
  <c r="F108" i="2"/>
  <c r="G108" i="2"/>
  <c r="E108" i="2"/>
  <c r="H108" i="2"/>
  <c r="I108" i="2"/>
  <c r="J108" i="2"/>
  <c r="F231" i="2"/>
  <c r="F209" i="2"/>
  <c r="F215" i="2"/>
  <c r="CE358" i="1"/>
  <c r="S161" i="2"/>
  <c r="T161" i="2" s="1"/>
  <c r="V161" i="2" s="1"/>
  <c r="W161" i="2" s="1"/>
  <c r="X161" i="2" s="1"/>
  <c r="Y161" i="2" s="1"/>
  <c r="Z161" i="2" s="1"/>
  <c r="AA161" i="2" s="1"/>
  <c r="H28" i="1"/>
  <c r="H14" i="1"/>
  <c r="G2" i="2"/>
  <c r="F4" i="2"/>
  <c r="BZ331" i="1"/>
  <c r="H95" i="11"/>
  <c r="CJ145" i="1"/>
  <c r="CO145" i="1" s="1"/>
  <c r="CP145" i="1" s="1"/>
  <c r="CQ145" i="1" s="1"/>
  <c r="CR145" i="1" s="1"/>
  <c r="CS145" i="1" s="1"/>
  <c r="BU144" i="1"/>
  <c r="BZ144" i="1" s="1"/>
  <c r="CE144" i="1" s="1"/>
  <c r="M420" i="1"/>
  <c r="M421" i="1"/>
  <c r="AQ420" i="1"/>
  <c r="AQ421" i="1"/>
  <c r="H420" i="1"/>
  <c r="C421" i="1"/>
  <c r="R422" i="1"/>
  <c r="R420" i="1"/>
  <c r="AL425" i="1"/>
  <c r="AL426" i="1" s="1"/>
  <c r="AB422" i="1"/>
  <c r="AB420" i="1"/>
  <c r="W420" i="1"/>
  <c r="D44" i="2"/>
  <c r="C44" i="2"/>
  <c r="C145" i="2"/>
  <c r="C139" i="2"/>
  <c r="C79" i="2"/>
  <c r="AW169" i="1"/>
  <c r="P86" i="6"/>
  <c r="O86" i="6"/>
  <c r="N86" i="6"/>
  <c r="AV169" i="1"/>
  <c r="D347" i="2"/>
  <c r="M131" i="3"/>
  <c r="W250" i="3"/>
  <c r="AB460" i="1"/>
  <c r="AL460" i="1"/>
  <c r="AQ460" i="1"/>
  <c r="M18" i="3"/>
  <c r="M246" i="3" s="1"/>
  <c r="M460" i="1"/>
  <c r="AG460" i="1"/>
  <c r="W460" i="1"/>
  <c r="R460" i="1"/>
  <c r="M150" i="2"/>
  <c r="AQ425" i="1"/>
  <c r="AQ426" i="1" s="1"/>
  <c r="H425" i="1"/>
  <c r="H426" i="1" s="1"/>
  <c r="W425" i="1"/>
  <c r="W426" i="1" s="1"/>
  <c r="R425" i="1"/>
  <c r="R426" i="1" s="1"/>
  <c r="AB425" i="1"/>
  <c r="AB426" i="1" s="1"/>
  <c r="M425" i="1"/>
  <c r="M426" i="1" s="1"/>
  <c r="C425" i="1"/>
  <c r="C426" i="1" s="1"/>
  <c r="AG350" i="1"/>
  <c r="BK102" i="1"/>
  <c r="BF348" i="1"/>
  <c r="BF351" i="1" s="1"/>
  <c r="BF352" i="1" s="1"/>
  <c r="AG356" i="1"/>
  <c r="AG357" i="1" s="1"/>
  <c r="AG351" i="1"/>
  <c r="AG352" i="1" s="1"/>
  <c r="E347" i="2"/>
  <c r="D413" i="2"/>
  <c r="E410" i="2"/>
  <c r="I413" i="2"/>
  <c r="K413" i="2"/>
  <c r="H410" i="2"/>
  <c r="AG374" i="1"/>
  <c r="W374" i="1"/>
  <c r="R374" i="1"/>
  <c r="D325" i="2"/>
  <c r="D65" i="2"/>
  <c r="M134" i="3" s="1"/>
  <c r="K410" i="2"/>
  <c r="G410" i="2"/>
  <c r="P9" i="2"/>
  <c r="H8" i="2"/>
  <c r="H11" i="2" s="1"/>
  <c r="L16" i="2"/>
  <c r="O18" i="2"/>
  <c r="O33" i="2"/>
  <c r="L408" i="2"/>
  <c r="F410" i="2"/>
  <c r="N256" i="2"/>
  <c r="N25" i="2"/>
  <c r="J410" i="2"/>
  <c r="G413" i="2"/>
  <c r="I145" i="2"/>
  <c r="F145" i="2"/>
  <c r="H159" i="2"/>
  <c r="H15" i="2" s="1"/>
  <c r="E14" i="2"/>
  <c r="E19" i="2" s="1"/>
  <c r="E21" i="2" s="1"/>
  <c r="J413" i="2"/>
  <c r="E413" i="2"/>
  <c r="F413" i="2"/>
  <c r="J315" i="2"/>
  <c r="O253" i="2"/>
  <c r="P28" i="2"/>
  <c r="H374" i="1"/>
  <c r="AG466" i="1"/>
  <c r="AQ462" i="1"/>
  <c r="AL463" i="1"/>
  <c r="AL374" i="1"/>
  <c r="AQ374" i="1"/>
  <c r="R442" i="1"/>
  <c r="R445" i="1" s="1"/>
  <c r="DK466" i="1"/>
  <c r="AL351" i="1"/>
  <c r="AL350" i="1"/>
  <c r="AL356" i="1"/>
  <c r="H442" i="1"/>
  <c r="AQ442" i="1"/>
  <c r="AQ445" i="1" s="1"/>
  <c r="R466" i="1"/>
  <c r="AQ350" i="1"/>
  <c r="C459" i="1"/>
  <c r="AQ466" i="1"/>
  <c r="AB374" i="1"/>
  <c r="C374" i="1"/>
  <c r="AV354" i="1"/>
  <c r="M374" i="1"/>
  <c r="M6" i="27" l="1"/>
  <c r="E44" i="2"/>
  <c r="E90" i="2"/>
  <c r="L84" i="3"/>
  <c r="L31" i="3"/>
  <c r="C395" i="2"/>
  <c r="J388" i="2"/>
  <c r="S79" i="3"/>
  <c r="D395" i="2"/>
  <c r="M31" i="3"/>
  <c r="M84" i="3"/>
  <c r="K388" i="2"/>
  <c r="T79" i="3"/>
  <c r="CJ358" i="1"/>
  <c r="CO358" i="1" s="1"/>
  <c r="CP358" i="1" s="1"/>
  <c r="CQ358" i="1" s="1"/>
  <c r="CR358" i="1" s="1"/>
  <c r="CS358" i="1" s="1"/>
  <c r="CT358" i="1" s="1"/>
  <c r="G209" i="2"/>
  <c r="G215" i="2"/>
  <c r="G231" i="2"/>
  <c r="CE331" i="1"/>
  <c r="AB28" i="1"/>
  <c r="AB14" i="1"/>
  <c r="AB6" i="1"/>
  <c r="AG28" i="1"/>
  <c r="AG6" i="1"/>
  <c r="AG14" i="1"/>
  <c r="M28" i="1"/>
  <c r="M14" i="1"/>
  <c r="M6" i="1"/>
  <c r="R28" i="1"/>
  <c r="R6" i="1"/>
  <c r="R14" i="1"/>
  <c r="W28" i="1"/>
  <c r="W14" i="1"/>
  <c r="W6" i="1"/>
  <c r="M13" i="1"/>
  <c r="AB13" i="1"/>
  <c r="AQ13" i="1"/>
  <c r="R13" i="1"/>
  <c r="W13" i="1"/>
  <c r="N19" i="3"/>
  <c r="M19" i="3"/>
  <c r="L19" i="3"/>
  <c r="L23" i="3" s="1"/>
  <c r="L248" i="3" s="1"/>
  <c r="H2" i="2"/>
  <c r="G4" i="2"/>
  <c r="CT145" i="1"/>
  <c r="T19" i="3"/>
  <c r="H25" i="11" s="1"/>
  <c r="O19" i="3"/>
  <c r="C25" i="11" s="1"/>
  <c r="C35" i="11" s="1"/>
  <c r="C45" i="11" s="1"/>
  <c r="P19" i="3"/>
  <c r="D25" i="11" s="1"/>
  <c r="D35" i="11" s="1"/>
  <c r="D45" i="11" s="1"/>
  <c r="S19" i="3"/>
  <c r="G25" i="11" s="1"/>
  <c r="Q19" i="3"/>
  <c r="E25" i="11" s="1"/>
  <c r="E35" i="11" s="1"/>
  <c r="E45" i="11" s="1"/>
  <c r="CJ144" i="1"/>
  <c r="CO144" i="1" s="1"/>
  <c r="CP144" i="1" s="1"/>
  <c r="CQ144" i="1" s="1"/>
  <c r="CR144" i="1" s="1"/>
  <c r="CS144" i="1" s="1"/>
  <c r="E86" i="6"/>
  <c r="I86" i="6"/>
  <c r="D139" i="2"/>
  <c r="C78" i="2"/>
  <c r="C136" i="2"/>
  <c r="X250" i="3"/>
  <c r="BP102" i="1"/>
  <c r="N18" i="3"/>
  <c r="N246" i="3" s="1"/>
  <c r="P18" i="3"/>
  <c r="P246" i="3" s="1"/>
  <c r="O18" i="3"/>
  <c r="O246" i="3" s="1"/>
  <c r="AG391" i="1"/>
  <c r="R18" i="3"/>
  <c r="R246" i="3" s="1"/>
  <c r="H460" i="1"/>
  <c r="Q18" i="3"/>
  <c r="Q246" i="3" s="1"/>
  <c r="M369" i="2"/>
  <c r="V21" i="3"/>
  <c r="BK348" i="1"/>
  <c r="BP348" i="1" s="1"/>
  <c r="AG408" i="1"/>
  <c r="AG396" i="1"/>
  <c r="I410" i="2"/>
  <c r="AG404" i="1"/>
  <c r="H413" i="2"/>
  <c r="AB396" i="1"/>
  <c r="AG400" i="1"/>
  <c r="H404" i="1"/>
  <c r="H408" i="1"/>
  <c r="H391" i="1"/>
  <c r="H400" i="1"/>
  <c r="H396" i="1"/>
  <c r="E325" i="2"/>
  <c r="E65" i="2"/>
  <c r="N134" i="3" s="1"/>
  <c r="I8" i="2"/>
  <c r="I11" i="2" s="1"/>
  <c r="P18" i="2"/>
  <c r="M16" i="2"/>
  <c r="R396" i="1"/>
  <c r="R391" i="1"/>
  <c r="R408" i="1"/>
  <c r="R404" i="1"/>
  <c r="R400" i="1"/>
  <c r="D410" i="2"/>
  <c r="I159" i="2"/>
  <c r="I15" i="2" s="1"/>
  <c r="K364" i="2"/>
  <c r="I364" i="2"/>
  <c r="M442" i="1"/>
  <c r="M445" i="1" s="1"/>
  <c r="R429" i="1"/>
  <c r="E145" i="2"/>
  <c r="M466" i="1"/>
  <c r="P26" i="2"/>
  <c r="P173" i="2" s="1"/>
  <c r="M391" i="1"/>
  <c r="M400" i="1"/>
  <c r="M396" i="1"/>
  <c r="M408" i="1"/>
  <c r="M404" i="1"/>
  <c r="D364" i="2"/>
  <c r="D365" i="2" s="1"/>
  <c r="F364" i="2"/>
  <c r="F14" i="2"/>
  <c r="F19" i="2" s="1"/>
  <c r="F21" i="2" s="1"/>
  <c r="K315" i="2"/>
  <c r="C413" i="2"/>
  <c r="G145" i="2"/>
  <c r="H145" i="2"/>
  <c r="O256" i="2"/>
  <c r="O25" i="2"/>
  <c r="O24" i="2" s="1"/>
  <c r="N150" i="2"/>
  <c r="W442" i="1"/>
  <c r="W445" i="1" s="1"/>
  <c r="W466" i="1"/>
  <c r="K419" i="2"/>
  <c r="AL357" i="1"/>
  <c r="AQ357" i="1"/>
  <c r="F419" i="2"/>
  <c r="AV355" i="1"/>
  <c r="AV368" i="1"/>
  <c r="D419" i="2"/>
  <c r="BA354" i="1"/>
  <c r="AL442" i="1"/>
  <c r="AL445" i="1" s="1"/>
  <c r="AB442" i="1"/>
  <c r="AB445" i="1" s="1"/>
  <c r="W408" i="1"/>
  <c r="W404" i="1"/>
  <c r="W400" i="1"/>
  <c r="W396" i="1"/>
  <c r="W391" i="1"/>
  <c r="AV462" i="1"/>
  <c r="AQ463" i="1"/>
  <c r="AL466" i="1"/>
  <c r="AB466" i="1"/>
  <c r="AV350" i="1"/>
  <c r="AL352" i="1"/>
  <c r="AQ352" i="1"/>
  <c r="F44" i="2" l="1"/>
  <c r="F90" i="2"/>
  <c r="J390" i="2"/>
  <c r="L45" i="27" s="1"/>
  <c r="L10" i="27" s="1"/>
  <c r="L9" i="27" s="1"/>
  <c r="S82" i="3"/>
  <c r="K390" i="2"/>
  <c r="M45" i="27" s="1"/>
  <c r="M10" i="27" s="1"/>
  <c r="M9" i="27" s="1"/>
  <c r="T82" i="3"/>
  <c r="CJ331" i="1"/>
  <c r="CO331" i="1" s="1"/>
  <c r="CP331" i="1" s="1"/>
  <c r="CQ331" i="1" s="1"/>
  <c r="CR331" i="1" s="1"/>
  <c r="CS331" i="1" s="1"/>
  <c r="CT331" i="1" s="1"/>
  <c r="H209" i="2"/>
  <c r="H215" i="2"/>
  <c r="H231" i="2"/>
  <c r="I35" i="18"/>
  <c r="I61" i="18" s="1"/>
  <c r="I44" i="18"/>
  <c r="I49" i="18"/>
  <c r="L247" i="3"/>
  <c r="C28" i="1"/>
  <c r="H6" i="1"/>
  <c r="C14" i="1"/>
  <c r="I2" i="2"/>
  <c r="H4" i="2"/>
  <c r="CT144" i="1"/>
  <c r="BU102" i="1"/>
  <c r="M86" i="6"/>
  <c r="D78" i="2"/>
  <c r="E139" i="2"/>
  <c r="D140" i="2"/>
  <c r="D136" i="2"/>
  <c r="D137" i="2" s="1"/>
  <c r="M282" i="1"/>
  <c r="AS282" i="1"/>
  <c r="AS285" i="1" s="1"/>
  <c r="Q28" i="2"/>
  <c r="G282" i="1"/>
  <c r="G285" i="1" s="1"/>
  <c r="AT282" i="1"/>
  <c r="AT285" i="1" s="1"/>
  <c r="AA282" i="1"/>
  <c r="AA285" i="1" s="1"/>
  <c r="Z282" i="1"/>
  <c r="Z285" i="1" s="1"/>
  <c r="AR282" i="1"/>
  <c r="AR285" i="1" s="1"/>
  <c r="AD282" i="1"/>
  <c r="AD285" i="1" s="1"/>
  <c r="I282" i="1"/>
  <c r="I285" i="1" s="1"/>
  <c r="AB282" i="1"/>
  <c r="AB285" i="1" s="1"/>
  <c r="AK282" i="1"/>
  <c r="AK285" i="1" s="1"/>
  <c r="AC282" i="1"/>
  <c r="AC285" i="1" s="1"/>
  <c r="U282" i="1"/>
  <c r="U285" i="1" s="1"/>
  <c r="W282" i="1"/>
  <c r="W285" i="1" s="1"/>
  <c r="V282" i="1"/>
  <c r="V285" i="1" s="1"/>
  <c r="AI282" i="1"/>
  <c r="AI285" i="1" s="1"/>
  <c r="F282" i="1"/>
  <c r="F285" i="1" s="1"/>
  <c r="R282" i="1"/>
  <c r="R285" i="1" s="1"/>
  <c r="AG282" i="1"/>
  <c r="AG285" i="1" s="1"/>
  <c r="D282" i="1"/>
  <c r="D285" i="1" s="1"/>
  <c r="Y282" i="1"/>
  <c r="Y285" i="1" s="1"/>
  <c r="AM282" i="1"/>
  <c r="AM285" i="1" s="1"/>
  <c r="K282" i="1"/>
  <c r="K285" i="1" s="1"/>
  <c r="AQ282" i="1"/>
  <c r="AQ285" i="1" s="1"/>
  <c r="X282" i="1"/>
  <c r="X285" i="1" s="1"/>
  <c r="AP282" i="1"/>
  <c r="AP285" i="1" s="1"/>
  <c r="O282" i="1"/>
  <c r="O285" i="1" s="1"/>
  <c r="P282" i="1"/>
  <c r="P285" i="1" s="1"/>
  <c r="AO282" i="1"/>
  <c r="AO285" i="1" s="1"/>
  <c r="E282" i="1"/>
  <c r="E285" i="1" s="1"/>
  <c r="T282" i="1"/>
  <c r="T285" i="1" s="1"/>
  <c r="L282" i="1"/>
  <c r="L285" i="1" s="1"/>
  <c r="AJ282" i="1"/>
  <c r="AJ285" i="1" s="1"/>
  <c r="AL282" i="1"/>
  <c r="AL285" i="1" s="1"/>
  <c r="S282" i="1"/>
  <c r="S285" i="1" s="1"/>
  <c r="J282" i="1"/>
  <c r="J285" i="1" s="1"/>
  <c r="Q282" i="1"/>
  <c r="Q285" i="1" s="1"/>
  <c r="N282" i="1"/>
  <c r="N285" i="1" s="1"/>
  <c r="AE282" i="1"/>
  <c r="AE285" i="1" s="1"/>
  <c r="AF282" i="1"/>
  <c r="AF285" i="1" s="1"/>
  <c r="H282" i="1"/>
  <c r="H285" i="1" s="1"/>
  <c r="AH282" i="1"/>
  <c r="AH285" i="1" s="1"/>
  <c r="AN282" i="1"/>
  <c r="AN285" i="1" s="1"/>
  <c r="BK351" i="1"/>
  <c r="BK352" i="1" s="1"/>
  <c r="N369" i="2"/>
  <c r="W21" i="3"/>
  <c r="L18" i="3"/>
  <c r="L246" i="3" s="1"/>
  <c r="Y250" i="3"/>
  <c r="L24" i="3"/>
  <c r="L249" i="3" s="1"/>
  <c r="L127" i="3"/>
  <c r="L137" i="3" s="1"/>
  <c r="P23" i="3"/>
  <c r="P248" i="3" s="1"/>
  <c r="P247" i="3"/>
  <c r="N23" i="3"/>
  <c r="N248" i="3" s="1"/>
  <c r="N247" i="3"/>
  <c r="M23" i="3"/>
  <c r="M248" i="3" s="1"/>
  <c r="M247" i="3"/>
  <c r="Q23" i="3"/>
  <c r="Q248" i="3" s="1"/>
  <c r="Q247" i="3"/>
  <c r="O23" i="3"/>
  <c r="O248" i="3" s="1"/>
  <c r="O247" i="3"/>
  <c r="S23" i="3"/>
  <c r="S248" i="3" s="1"/>
  <c r="S247" i="3"/>
  <c r="Q26" i="2"/>
  <c r="Q173" i="2" s="1"/>
  <c r="Q175" i="2" s="1"/>
  <c r="Q33" i="2"/>
  <c r="AB391" i="1"/>
  <c r="AB400" i="1"/>
  <c r="AB408" i="1"/>
  <c r="AB404" i="1"/>
  <c r="AG429" i="1"/>
  <c r="H419" i="2"/>
  <c r="M429" i="1"/>
  <c r="F325" i="2"/>
  <c r="F65" i="2"/>
  <c r="O134" i="3" s="1"/>
  <c r="N16" i="2"/>
  <c r="J8" i="2"/>
  <c r="J11" i="2" s="1"/>
  <c r="F348" i="2"/>
  <c r="D348" i="2"/>
  <c r="D69" i="2"/>
  <c r="I422" i="2"/>
  <c r="I423" i="2" s="1"/>
  <c r="K422" i="2"/>
  <c r="K423" i="2" s="1"/>
  <c r="J159" i="2"/>
  <c r="J15" i="2" s="1"/>
  <c r="G364" i="2"/>
  <c r="Q287" i="2"/>
  <c r="F366" i="2"/>
  <c r="D366" i="2"/>
  <c r="K420" i="2"/>
  <c r="J364" i="2"/>
  <c r="P25" i="2"/>
  <c r="F422" i="2"/>
  <c r="F423" i="2" s="1"/>
  <c r="D422" i="2"/>
  <c r="D423" i="2" s="1"/>
  <c r="E364" i="2"/>
  <c r="H364" i="2"/>
  <c r="O150" i="2"/>
  <c r="L315" i="2"/>
  <c r="G14" i="2"/>
  <c r="G19" i="2" s="1"/>
  <c r="G21" i="2" s="1"/>
  <c r="Q253" i="2"/>
  <c r="BA350" i="1"/>
  <c r="AV453" i="1"/>
  <c r="AV362" i="1"/>
  <c r="AQ465" i="1"/>
  <c r="AQ443" i="1" s="1"/>
  <c r="G419" i="2"/>
  <c r="W429" i="1"/>
  <c r="C408" i="1"/>
  <c r="C404" i="1"/>
  <c r="C400" i="1"/>
  <c r="C396" i="1"/>
  <c r="C391" i="1"/>
  <c r="BA462" i="1"/>
  <c r="AB429" i="1"/>
  <c r="AL429" i="1"/>
  <c r="BF354" i="1"/>
  <c r="H443" i="1"/>
  <c r="R443" i="1"/>
  <c r="BP351" i="1"/>
  <c r="BU348" i="1"/>
  <c r="AQ429" i="1"/>
  <c r="AG443" i="1"/>
  <c r="BA355" i="1"/>
  <c r="BA368" i="1"/>
  <c r="BA353" i="1"/>
  <c r="C442" i="1"/>
  <c r="G44" i="2" l="1"/>
  <c r="G90" i="2"/>
  <c r="I57" i="27" s="1"/>
  <c r="I58" i="27" s="1"/>
  <c r="I61" i="27" s="1"/>
  <c r="I63" i="27" s="1"/>
  <c r="K395" i="2"/>
  <c r="T84" i="3"/>
  <c r="T31" i="3"/>
  <c r="S84" i="3"/>
  <c r="J395" i="2"/>
  <c r="S31" i="3"/>
  <c r="I209" i="2"/>
  <c r="I215" i="2"/>
  <c r="I231" i="2"/>
  <c r="J35" i="18"/>
  <c r="J61" i="18" s="1"/>
  <c r="J44" i="18"/>
  <c r="J49" i="18"/>
  <c r="Q34" i="2"/>
  <c r="J53" i="18" s="1"/>
  <c r="J2" i="2"/>
  <c r="I4" i="2"/>
  <c r="Q49" i="2"/>
  <c r="Q46" i="2"/>
  <c r="R287" i="2"/>
  <c r="S287" i="2" s="1"/>
  <c r="T287" i="2" s="1"/>
  <c r="BZ348" i="1"/>
  <c r="CE348" i="1" s="1"/>
  <c r="CJ348" i="1" s="1"/>
  <c r="Z250" i="3"/>
  <c r="BZ102" i="1"/>
  <c r="CE102" i="1" s="1"/>
  <c r="BU105" i="1"/>
  <c r="N14" i="3"/>
  <c r="M285" i="1"/>
  <c r="D79" i="2"/>
  <c r="E140" i="2"/>
  <c r="F139" i="2"/>
  <c r="E78" i="2"/>
  <c r="E136" i="2"/>
  <c r="E137" i="2" s="1"/>
  <c r="T254" i="2"/>
  <c r="R28" i="2"/>
  <c r="R33" i="2"/>
  <c r="R26" i="2"/>
  <c r="R173" i="2" s="1"/>
  <c r="BP352" i="1"/>
  <c r="O14" i="3"/>
  <c r="T14" i="3"/>
  <c r="R14" i="3"/>
  <c r="S14" i="3"/>
  <c r="P14" i="3"/>
  <c r="M14" i="3"/>
  <c r="Q14" i="3"/>
  <c r="O369" i="2"/>
  <c r="X21" i="3"/>
  <c r="N127" i="3"/>
  <c r="O24" i="3"/>
  <c r="O249" i="3" s="1"/>
  <c r="S24" i="3"/>
  <c r="S249" i="3" s="1"/>
  <c r="P24" i="3"/>
  <c r="P249" i="3" s="1"/>
  <c r="O127" i="3"/>
  <c r="Q127" i="3"/>
  <c r="S127" i="3"/>
  <c r="M127" i="3"/>
  <c r="M24" i="3"/>
  <c r="M249" i="3" s="1"/>
  <c r="P127" i="3"/>
  <c r="Q24" i="3"/>
  <c r="Q249" i="3" s="1"/>
  <c r="N24" i="3"/>
  <c r="N249" i="3" s="1"/>
  <c r="R25" i="2"/>
  <c r="R256" i="2"/>
  <c r="AV454" i="1"/>
  <c r="G325" i="2"/>
  <c r="G65" i="2"/>
  <c r="P134" i="3" s="1"/>
  <c r="K8" i="2"/>
  <c r="K11" i="2" s="1"/>
  <c r="O16" i="2"/>
  <c r="H14" i="2"/>
  <c r="H19" i="2" s="1"/>
  <c r="H21" i="2" s="1"/>
  <c r="H90" i="2" s="1"/>
  <c r="J57" i="27" s="1"/>
  <c r="J58" i="27" s="1"/>
  <c r="P150" i="2"/>
  <c r="P153" i="2" s="1"/>
  <c r="H420" i="2"/>
  <c r="H422" i="2"/>
  <c r="H423" i="2" s="1"/>
  <c r="I424" i="2" s="1"/>
  <c r="E348" i="2"/>
  <c r="G420" i="2"/>
  <c r="G422" i="2"/>
  <c r="G423" i="2" s="1"/>
  <c r="G424" i="2" s="1"/>
  <c r="F83" i="2"/>
  <c r="F292" i="2" s="1"/>
  <c r="F296" i="2" s="1"/>
  <c r="F91" i="2" s="1"/>
  <c r="D360" i="2"/>
  <c r="D362" i="2" s="1"/>
  <c r="M30" i="3" s="1"/>
  <c r="D83" i="2"/>
  <c r="D292" i="2" s="1"/>
  <c r="D296" i="2" s="1"/>
  <c r="E366" i="2"/>
  <c r="Q256" i="2"/>
  <c r="Q25" i="2"/>
  <c r="J420" i="2"/>
  <c r="J422" i="2"/>
  <c r="J423" i="2" s="1"/>
  <c r="J424" i="2" s="1"/>
  <c r="C366" i="2"/>
  <c r="C364" i="2"/>
  <c r="C365" i="2" s="1"/>
  <c r="I83" i="2"/>
  <c r="I292" i="2" s="1"/>
  <c r="I296" i="2" s="1"/>
  <c r="E419" i="2"/>
  <c r="E420" i="2"/>
  <c r="E422" i="2"/>
  <c r="E423" i="2" s="1"/>
  <c r="E424" i="2" s="1"/>
  <c r="F420" i="2"/>
  <c r="G348" i="2"/>
  <c r="K15" i="2"/>
  <c r="I420" i="2"/>
  <c r="K83" i="2"/>
  <c r="K292" i="2" s="1"/>
  <c r="K296" i="2" s="1"/>
  <c r="K91" i="2" s="1"/>
  <c r="H348" i="2"/>
  <c r="M443" i="1"/>
  <c r="G366" i="2"/>
  <c r="BU351" i="1"/>
  <c r="BU352" i="1" s="1"/>
  <c r="AL443" i="1"/>
  <c r="BF462" i="1"/>
  <c r="BK462" i="1" s="1"/>
  <c r="BP462" i="1" s="1"/>
  <c r="K324" i="2"/>
  <c r="BF350" i="1"/>
  <c r="BA453" i="1"/>
  <c r="BA362" i="1"/>
  <c r="F324" i="2"/>
  <c r="F326" i="2" s="1"/>
  <c r="BF368" i="1"/>
  <c r="BF355" i="1"/>
  <c r="W443" i="1"/>
  <c r="C419" i="2"/>
  <c r="C464" i="1"/>
  <c r="C266" i="1" s="1"/>
  <c r="C85" i="2" s="1"/>
  <c r="H429" i="1"/>
  <c r="I324" i="2"/>
  <c r="BK354" i="1"/>
  <c r="AB443" i="1"/>
  <c r="J61" i="27" l="1"/>
  <c r="J63" i="27" s="1"/>
  <c r="J59" i="27"/>
  <c r="J13" i="18"/>
  <c r="S25" i="27"/>
  <c r="P136" i="3"/>
  <c r="P137" i="3" s="1"/>
  <c r="M136" i="3"/>
  <c r="M137" i="3" s="1"/>
  <c r="O136" i="3"/>
  <c r="O137" i="3" s="1"/>
  <c r="N136" i="3"/>
  <c r="N137" i="3" s="1"/>
  <c r="CJ351" i="1"/>
  <c r="CJ350" i="1"/>
  <c r="Q53" i="2"/>
  <c r="I67" i="4"/>
  <c r="J209" i="2"/>
  <c r="J215" i="2"/>
  <c r="J231" i="2"/>
  <c r="K35" i="18"/>
  <c r="K44" i="18"/>
  <c r="K49" i="18"/>
  <c r="CE105" i="1"/>
  <c r="CE350" i="1"/>
  <c r="CE351" i="1"/>
  <c r="V287" i="2"/>
  <c r="W287" i="2" s="1"/>
  <c r="X287" i="2" s="1"/>
  <c r="Y287" i="2" s="1"/>
  <c r="Z287" i="2" s="1"/>
  <c r="AA287" i="2" s="1"/>
  <c r="Q48" i="2"/>
  <c r="K2" i="2"/>
  <c r="J4" i="2"/>
  <c r="N83" i="11"/>
  <c r="BZ105" i="1"/>
  <c r="BZ106" i="1" s="1"/>
  <c r="AA250" i="3"/>
  <c r="BZ351" i="1"/>
  <c r="BZ350" i="1"/>
  <c r="BU462" i="1"/>
  <c r="BZ462" i="1" s="1"/>
  <c r="CE462" i="1" s="1"/>
  <c r="F92" i="2"/>
  <c r="H366" i="2"/>
  <c r="H44" i="2"/>
  <c r="E79" i="2"/>
  <c r="F136" i="2"/>
  <c r="F137" i="2" s="1"/>
  <c r="G139" i="2"/>
  <c r="F140" i="2"/>
  <c r="F78" i="2"/>
  <c r="V254" i="2"/>
  <c r="T256" i="2"/>
  <c r="T25" i="2"/>
  <c r="CJ102" i="1"/>
  <c r="AB250" i="3"/>
  <c r="D367" i="2"/>
  <c r="D372" i="2" s="1"/>
  <c r="M15" i="3"/>
  <c r="Y21" i="3"/>
  <c r="D91" i="2"/>
  <c r="F360" i="2"/>
  <c r="F362" i="2" s="1"/>
  <c r="O30" i="3" s="1"/>
  <c r="K360" i="2"/>
  <c r="K362" i="2" s="1"/>
  <c r="T30" i="3" s="1"/>
  <c r="I360" i="2"/>
  <c r="I362" i="2" s="1"/>
  <c r="R30" i="3" s="1"/>
  <c r="C271" i="1"/>
  <c r="C465" i="1"/>
  <c r="C443" i="1" s="1"/>
  <c r="AV95" i="1"/>
  <c r="AV126" i="1" s="1"/>
  <c r="AV127" i="1" s="1"/>
  <c r="AV97" i="1"/>
  <c r="AV142" i="1" s="1"/>
  <c r="CU52" i="7" s="1"/>
  <c r="BA454" i="1"/>
  <c r="D324" i="2"/>
  <c r="K424" i="2"/>
  <c r="H325" i="2"/>
  <c r="H65" i="2"/>
  <c r="Q134" i="3" s="1"/>
  <c r="Q136" i="3" s="1"/>
  <c r="Q137" i="3" s="1"/>
  <c r="P16" i="2"/>
  <c r="F424" i="2"/>
  <c r="L8" i="2"/>
  <c r="J83" i="2"/>
  <c r="J292" i="2" s="1"/>
  <c r="J296" i="2" s="1"/>
  <c r="J91" i="2" s="1"/>
  <c r="E83" i="2"/>
  <c r="E292" i="2" s="1"/>
  <c r="E296" i="2" s="1"/>
  <c r="E91" i="2" s="1"/>
  <c r="C348" i="2"/>
  <c r="C69" i="2"/>
  <c r="G83" i="2"/>
  <c r="G292" i="2" s="1"/>
  <c r="G296" i="2" s="1"/>
  <c r="G91" i="2" s="1"/>
  <c r="G92" i="2" s="1"/>
  <c r="H424" i="2"/>
  <c r="H83" i="2"/>
  <c r="H292" i="2" s="1"/>
  <c r="H296" i="2" s="1"/>
  <c r="H91" i="2" s="1"/>
  <c r="L15" i="2"/>
  <c r="C422" i="2"/>
  <c r="C423" i="2" s="1"/>
  <c r="D420" i="2"/>
  <c r="I14" i="2"/>
  <c r="I19" i="2" s="1"/>
  <c r="I21" i="2" s="1"/>
  <c r="AV369" i="1"/>
  <c r="AV370" i="1" s="1"/>
  <c r="BK368" i="1"/>
  <c r="BK355" i="1"/>
  <c r="G324" i="2"/>
  <c r="G326" i="2" s="1"/>
  <c r="BK350" i="1"/>
  <c r="J324" i="2"/>
  <c r="BF362" i="1"/>
  <c r="BF453" i="1"/>
  <c r="BK454" i="1" s="1"/>
  <c r="BP354" i="1"/>
  <c r="H324" i="2"/>
  <c r="S31" i="27" l="1"/>
  <c r="S13" i="27"/>
  <c r="C428" i="2"/>
  <c r="E42" i="27" s="1"/>
  <c r="E8" i="27" s="1"/>
  <c r="C20" i="1"/>
  <c r="C22" i="1" s="1"/>
  <c r="I44" i="2"/>
  <c r="I90" i="2"/>
  <c r="K57" i="27" s="1"/>
  <c r="K58" i="27" s="1"/>
  <c r="S5" i="27"/>
  <c r="Q52" i="2"/>
  <c r="Z138" i="3"/>
  <c r="CJ354" i="1"/>
  <c r="CJ352" i="1"/>
  <c r="H326" i="2"/>
  <c r="K209" i="2"/>
  <c r="K215" i="2"/>
  <c r="K231" i="2"/>
  <c r="K61" i="18"/>
  <c r="L61" i="18"/>
  <c r="CE352" i="1"/>
  <c r="CE354" i="1"/>
  <c r="CE106" i="1"/>
  <c r="C275" i="1"/>
  <c r="CL10" i="7"/>
  <c r="CL34" i="7" s="1"/>
  <c r="L2" i="2"/>
  <c r="K4" i="2"/>
  <c r="C282" i="1"/>
  <c r="L14" i="3" s="1"/>
  <c r="BZ352" i="1"/>
  <c r="BZ354" i="1"/>
  <c r="D92" i="2"/>
  <c r="D94" i="2"/>
  <c r="E92" i="2"/>
  <c r="E94" i="2"/>
  <c r="P369" i="2"/>
  <c r="CO102" i="1"/>
  <c r="AC250" i="3"/>
  <c r="H139" i="2"/>
  <c r="G140" i="2"/>
  <c r="G78" i="2"/>
  <c r="G136" i="2"/>
  <c r="G137" i="2" s="1"/>
  <c r="F79" i="2"/>
  <c r="V25" i="2"/>
  <c r="W254" i="2"/>
  <c r="V256" i="2"/>
  <c r="D373" i="2"/>
  <c r="K367" i="2"/>
  <c r="K372" i="2" s="1"/>
  <c r="T15" i="3"/>
  <c r="I367" i="2"/>
  <c r="R15" i="3"/>
  <c r="F367" i="2"/>
  <c r="O15" i="3"/>
  <c r="AV212" i="1"/>
  <c r="AV138" i="1"/>
  <c r="AV143" i="1"/>
  <c r="AV214" i="1"/>
  <c r="AV215" i="1" s="1"/>
  <c r="AV104" i="1"/>
  <c r="L29" i="3"/>
  <c r="H92" i="2"/>
  <c r="Q16" i="2"/>
  <c r="R273" i="2"/>
  <c r="S273" i="2" s="1"/>
  <c r="S16" i="2" s="1"/>
  <c r="S276" i="2" s="1"/>
  <c r="S18" i="2" s="1"/>
  <c r="S19" i="2" s="1"/>
  <c r="S21" i="2" s="1"/>
  <c r="S90" i="2" s="1"/>
  <c r="U57" i="27" s="1"/>
  <c r="BU354" i="1"/>
  <c r="BU355" i="1" s="1"/>
  <c r="G360" i="2"/>
  <c r="G362" i="2" s="1"/>
  <c r="P30" i="3" s="1"/>
  <c r="H360" i="2"/>
  <c r="H362" i="2" s="1"/>
  <c r="Q30" i="3" s="1"/>
  <c r="E360" i="2"/>
  <c r="E362" i="2" s="1"/>
  <c r="N30" i="3" s="1"/>
  <c r="J360" i="2"/>
  <c r="J362" i="2" s="1"/>
  <c r="S30" i="3" s="1"/>
  <c r="BF454" i="1"/>
  <c r="E324" i="2"/>
  <c r="E326" i="2" s="1"/>
  <c r="I65" i="2"/>
  <c r="R134" i="3" s="1"/>
  <c r="I325" i="2"/>
  <c r="I326" i="2" s="1"/>
  <c r="I348" i="2"/>
  <c r="M8" i="2"/>
  <c r="C360" i="2"/>
  <c r="C362" i="2" s="1"/>
  <c r="L30" i="3" s="1"/>
  <c r="C83" i="2"/>
  <c r="C292" i="2" s="1"/>
  <c r="C296" i="2" s="1"/>
  <c r="I366" i="2"/>
  <c r="M159" i="2"/>
  <c r="J14" i="2"/>
  <c r="J19" i="2" s="1"/>
  <c r="J21" i="2" s="1"/>
  <c r="D424" i="2"/>
  <c r="BP350" i="1"/>
  <c r="BA369" i="1"/>
  <c r="BA370" i="1" s="1"/>
  <c r="C269" i="1"/>
  <c r="BK362" i="1"/>
  <c r="BU350" i="1"/>
  <c r="BP368" i="1"/>
  <c r="BP355" i="1"/>
  <c r="J44" i="2" l="1"/>
  <c r="J90" i="2"/>
  <c r="L57" i="27" s="1"/>
  <c r="L58" i="27" s="1"/>
  <c r="K59" i="27"/>
  <c r="K61" i="27"/>
  <c r="K63" i="27" s="1"/>
  <c r="CJ355" i="1"/>
  <c r="CJ368" i="1"/>
  <c r="CJ369" i="1" s="1"/>
  <c r="L231" i="2"/>
  <c r="L209" i="2"/>
  <c r="L215" i="2"/>
  <c r="C249" i="17"/>
  <c r="C252" i="17" s="1"/>
  <c r="L33" i="18"/>
  <c r="L42" i="18"/>
  <c r="L46" i="18" s="1"/>
  <c r="CE368" i="1"/>
  <c r="CE369" i="1" s="1"/>
  <c r="CE355" i="1"/>
  <c r="S44" i="2"/>
  <c r="S1" i="2" s="1"/>
  <c r="S366" i="2"/>
  <c r="M2" i="2"/>
  <c r="L4" i="2"/>
  <c r="C285" i="1"/>
  <c r="BZ355" i="1"/>
  <c r="BZ368" i="1"/>
  <c r="BZ369" i="1" s="1"/>
  <c r="CO348" i="1"/>
  <c r="AV213" i="1"/>
  <c r="CU50" i="7"/>
  <c r="AV114" i="1"/>
  <c r="AV119" i="1" s="1"/>
  <c r="CU39" i="7"/>
  <c r="CU53" i="7"/>
  <c r="CU54" i="7"/>
  <c r="CP102" i="1"/>
  <c r="AD250" i="3"/>
  <c r="G79" i="2"/>
  <c r="H136" i="2"/>
  <c r="H137" i="2" s="1"/>
  <c r="I139" i="2"/>
  <c r="H140" i="2"/>
  <c r="H78" i="2"/>
  <c r="W256" i="2"/>
  <c r="X254" i="2"/>
  <c r="W25" i="2"/>
  <c r="R369" i="2"/>
  <c r="R16" i="2"/>
  <c r="AV217" i="1"/>
  <c r="K373" i="2"/>
  <c r="H367" i="2"/>
  <c r="Q15" i="3"/>
  <c r="J367" i="2"/>
  <c r="J372" i="2" s="1"/>
  <c r="S15" i="3"/>
  <c r="C367" i="2"/>
  <c r="C372" i="2" s="1"/>
  <c r="L15" i="3"/>
  <c r="E367" i="2"/>
  <c r="N15" i="3"/>
  <c r="G367" i="2"/>
  <c r="P15" i="3"/>
  <c r="AV137" i="1"/>
  <c r="Q369" i="2"/>
  <c r="Z21" i="3"/>
  <c r="AV149" i="1"/>
  <c r="BU368" i="1"/>
  <c r="AV451" i="1"/>
  <c r="AU451" i="1"/>
  <c r="C91" i="2"/>
  <c r="M15" i="2"/>
  <c r="M153" i="2"/>
  <c r="C324" i="2"/>
  <c r="J325" i="2"/>
  <c r="J326" i="2" s="1"/>
  <c r="J65" i="2"/>
  <c r="S134" i="3" s="1"/>
  <c r="J348" i="2"/>
  <c r="N8" i="2"/>
  <c r="J366" i="2"/>
  <c r="K14" i="2"/>
  <c r="N159" i="2"/>
  <c r="BU362" i="1"/>
  <c r="BF369" i="1"/>
  <c r="BF370" i="1" s="1"/>
  <c r="CJ462" i="1"/>
  <c r="CO462" i="1" s="1"/>
  <c r="CP462" i="1" s="1"/>
  <c r="CQ462" i="1" s="1"/>
  <c r="CR462" i="1" s="1"/>
  <c r="CS462" i="1" s="1"/>
  <c r="BP362" i="1"/>
  <c r="J92" i="2" l="1"/>
  <c r="L61" i="27"/>
  <c r="L63" i="27" s="1"/>
  <c r="L59" i="27"/>
  <c r="S136" i="3"/>
  <c r="S137" i="3" s="1"/>
  <c r="CJ370" i="1"/>
  <c r="M231" i="2"/>
  <c r="M209" i="2"/>
  <c r="M215" i="2"/>
  <c r="L37" i="18"/>
  <c r="CE370" i="1"/>
  <c r="AV116" i="1"/>
  <c r="BA116" i="1" s="1"/>
  <c r="BF116" i="1" s="1"/>
  <c r="BK116" i="1" s="1"/>
  <c r="N2" i="2"/>
  <c r="M4" i="2"/>
  <c r="CT462" i="1"/>
  <c r="CP348" i="1"/>
  <c r="CO351" i="1"/>
  <c r="CO350" i="1"/>
  <c r="AV218" i="1"/>
  <c r="C92" i="2"/>
  <c r="C94" i="2"/>
  <c r="CQ102" i="1"/>
  <c r="AE250" i="3"/>
  <c r="I136" i="2"/>
  <c r="I137" i="2" s="1"/>
  <c r="I78" i="2"/>
  <c r="J139" i="2"/>
  <c r="I140" i="2"/>
  <c r="H79" i="2"/>
  <c r="AA21" i="3"/>
  <c r="T273" i="2"/>
  <c r="X256" i="2"/>
  <c r="Y254" i="2"/>
  <c r="Z254" i="2" s="1"/>
  <c r="X25" i="2"/>
  <c r="T150" i="2"/>
  <c r="AU452" i="1"/>
  <c r="AZ452" i="1"/>
  <c r="J373" i="2"/>
  <c r="K374" i="2" s="1"/>
  <c r="C373" i="2"/>
  <c r="D374" i="2" s="1"/>
  <c r="AU225" i="1"/>
  <c r="AV452" i="1"/>
  <c r="N15" i="2"/>
  <c r="N153" i="2"/>
  <c r="J69" i="2"/>
  <c r="K325" i="2"/>
  <c r="K326" i="2" s="1"/>
  <c r="K348" i="2"/>
  <c r="K65" i="2"/>
  <c r="T134" i="3" s="1"/>
  <c r="O8" i="2"/>
  <c r="O159" i="2"/>
  <c r="L14" i="2"/>
  <c r="BK369" i="1"/>
  <c r="BK370" i="1" s="1"/>
  <c r="N231" i="2" l="1"/>
  <c r="N209" i="2"/>
  <c r="N215" i="2"/>
  <c r="AV117" i="1"/>
  <c r="O2" i="2"/>
  <c r="N4" i="2"/>
  <c r="Z25" i="2"/>
  <c r="AA254" i="2"/>
  <c r="Z256" i="2"/>
  <c r="CO352" i="1"/>
  <c r="CO354" i="1"/>
  <c r="CP351" i="1"/>
  <c r="CQ348" i="1"/>
  <c r="CP350" i="1"/>
  <c r="AP30" i="7"/>
  <c r="AP31" i="7"/>
  <c r="CR102" i="1"/>
  <c r="CS102" i="1" s="1"/>
  <c r="AH250" i="3" s="1"/>
  <c r="AF250" i="3"/>
  <c r="K139" i="2"/>
  <c r="J140" i="2"/>
  <c r="J78" i="2"/>
  <c r="I79" i="2"/>
  <c r="BP116" i="1"/>
  <c r="BU116" i="1" s="1"/>
  <c r="BZ116" i="1" s="1"/>
  <c r="CE116" i="1" s="1"/>
  <c r="AB21" i="3"/>
  <c r="V156" i="2"/>
  <c r="Y256" i="2"/>
  <c r="Y25" i="2"/>
  <c r="T16" i="2"/>
  <c r="V273" i="2"/>
  <c r="AV105" i="1"/>
  <c r="D16" i="6"/>
  <c r="AV220" i="1"/>
  <c r="O15" i="2"/>
  <c r="O153" i="2"/>
  <c r="K69" i="2"/>
  <c r="P8" i="2"/>
  <c r="M14" i="2"/>
  <c r="BP369" i="1"/>
  <c r="BP370" i="1" s="1"/>
  <c r="BU369" i="1"/>
  <c r="BZ370" i="1" s="1"/>
  <c r="O209" i="2" l="1"/>
  <c r="O215" i="2"/>
  <c r="O231" i="2"/>
  <c r="P2" i="2"/>
  <c r="O4" i="2"/>
  <c r="CT102" i="1"/>
  <c r="AI250" i="3" s="1"/>
  <c r="AA256" i="2"/>
  <c r="AA25" i="2"/>
  <c r="AG250" i="3"/>
  <c r="CR348" i="1"/>
  <c r="CS348" i="1" s="1"/>
  <c r="CQ351" i="1"/>
  <c r="CQ350" i="1"/>
  <c r="CP352" i="1"/>
  <c r="CP354" i="1"/>
  <c r="CO355" i="1"/>
  <c r="CO368" i="1"/>
  <c r="CO369" i="1" s="1"/>
  <c r="CO370" i="1" s="1"/>
  <c r="AP48" i="7"/>
  <c r="AP47" i="7"/>
  <c r="AC21" i="3"/>
  <c r="CJ116" i="1"/>
  <c r="CO116" i="1" s="1"/>
  <c r="CP116" i="1" s="1"/>
  <c r="CQ116" i="1" s="1"/>
  <c r="CR116" i="1" s="1"/>
  <c r="CS116" i="1" s="1"/>
  <c r="CT116" i="1" s="1"/>
  <c r="W156" i="2"/>
  <c r="V150" i="2"/>
  <c r="CO438" i="1" s="1"/>
  <c r="W273" i="2"/>
  <c r="V16" i="2"/>
  <c r="D21" i="6"/>
  <c r="L409" i="2"/>
  <c r="L410" i="2" s="1"/>
  <c r="U251" i="3"/>
  <c r="Q8" i="2"/>
  <c r="P15" i="2"/>
  <c r="Q159" i="2"/>
  <c r="BU370" i="1"/>
  <c r="N14" i="2"/>
  <c r="P209" i="2" l="1"/>
  <c r="P215" i="2"/>
  <c r="P231" i="2"/>
  <c r="T369" i="2"/>
  <c r="Q2" i="2"/>
  <c r="P4" i="2"/>
  <c r="CT348" i="1"/>
  <c r="CS350" i="1"/>
  <c r="CS351" i="1"/>
  <c r="CP355" i="1"/>
  <c r="CP368" i="1"/>
  <c r="CP369" i="1" s="1"/>
  <c r="CP370" i="1" s="1"/>
  <c r="CQ354" i="1"/>
  <c r="CQ352" i="1"/>
  <c r="CR350" i="1"/>
  <c r="CR351" i="1"/>
  <c r="AD21" i="3"/>
  <c r="W16" i="2"/>
  <c r="X273" i="2"/>
  <c r="R159" i="2"/>
  <c r="R15" i="2" s="1"/>
  <c r="R8" i="2"/>
  <c r="W150" i="2"/>
  <c r="CP438" i="1" s="1"/>
  <c r="X156" i="2"/>
  <c r="AU447" i="1"/>
  <c r="M410" i="2"/>
  <c r="AV106" i="1"/>
  <c r="Q15" i="2"/>
  <c r="Q153" i="2"/>
  <c r="N410" i="2"/>
  <c r="O14" i="2"/>
  <c r="L10" i="4" l="1"/>
  <c r="N683" i="21"/>
  <c r="N351" i="21" s="1"/>
  <c r="Q209" i="2"/>
  <c r="Q215" i="2"/>
  <c r="Q231" i="2"/>
  <c r="V369" i="2"/>
  <c r="CO253" i="1"/>
  <c r="R2" i="2"/>
  <c r="Q4" i="2"/>
  <c r="CS352" i="1"/>
  <c r="CS354" i="1"/>
  <c r="CT350" i="1"/>
  <c r="CT351" i="1"/>
  <c r="CQ355" i="1"/>
  <c r="CQ368" i="1"/>
  <c r="CQ369" i="1" s="1"/>
  <c r="CQ370" i="1" s="1"/>
  <c r="CR352" i="1"/>
  <c r="CR354" i="1"/>
  <c r="AE21" i="3"/>
  <c r="R153" i="2"/>
  <c r="X16" i="2"/>
  <c r="Y273" i="2"/>
  <c r="Y156" i="2"/>
  <c r="X150" i="2"/>
  <c r="CQ438" i="1" s="1"/>
  <c r="AU455" i="1"/>
  <c r="AU448" i="1"/>
  <c r="O410" i="2"/>
  <c r="Q14" i="2"/>
  <c r="P14" i="2"/>
  <c r="M10" i="4" l="1"/>
  <c r="R209" i="2"/>
  <c r="R215" i="2"/>
  <c r="R231" i="2"/>
  <c r="R4" i="2"/>
  <c r="S2" i="2"/>
  <c r="T2" i="2" s="1"/>
  <c r="W369" i="2"/>
  <c r="CP253" i="1"/>
  <c r="CT354" i="1"/>
  <c r="CT352" i="1"/>
  <c r="CS355" i="1"/>
  <c r="CS368" i="1"/>
  <c r="CS369" i="1" s="1"/>
  <c r="Y150" i="2"/>
  <c r="CR438" i="1" s="1"/>
  <c r="Z156" i="2"/>
  <c r="Y16" i="2"/>
  <c r="Z273" i="2"/>
  <c r="CR355" i="1"/>
  <c r="CR368" i="1"/>
  <c r="CR369" i="1" s="1"/>
  <c r="CR370" i="1" s="1"/>
  <c r="AF21" i="3"/>
  <c r="V157" i="2"/>
  <c r="V159" i="2" s="1"/>
  <c r="V269" i="2"/>
  <c r="T8" i="2"/>
  <c r="AU456" i="1"/>
  <c r="AU459" i="1"/>
  <c r="AU460" i="1" s="1"/>
  <c r="P410" i="2"/>
  <c r="T231" i="2" l="1"/>
  <c r="T215" i="2"/>
  <c r="T209" i="2"/>
  <c r="T4" i="2"/>
  <c r="N10" i="4"/>
  <c r="S4" i="2"/>
  <c r="S231" i="2"/>
  <c r="S209" i="2"/>
  <c r="S215" i="2"/>
  <c r="Y369" i="2"/>
  <c r="CR253" i="1"/>
  <c r="X369" i="2"/>
  <c r="CQ253" i="1"/>
  <c r="AG21" i="3"/>
  <c r="CS370" i="1"/>
  <c r="AA273" i="2"/>
  <c r="AA16" i="2" s="1"/>
  <c r="Z16" i="2"/>
  <c r="AA156" i="2"/>
  <c r="Z150" i="2"/>
  <c r="CS438" i="1" s="1"/>
  <c r="CT368" i="1"/>
  <c r="CT369" i="1" s="1"/>
  <c r="CT370" i="1" s="1"/>
  <c r="CT355" i="1"/>
  <c r="T153" i="2"/>
  <c r="T15" i="2"/>
  <c r="W157" i="2"/>
  <c r="V8" i="2"/>
  <c r="W269" i="2"/>
  <c r="Q410" i="2"/>
  <c r="O10" i="4" l="1"/>
  <c r="P10" i="4"/>
  <c r="AH21" i="3"/>
  <c r="AA150" i="2"/>
  <c r="V15" i="2"/>
  <c r="V153" i="2"/>
  <c r="X157" i="2"/>
  <c r="W159" i="2"/>
  <c r="W8" i="2"/>
  <c r="X269" i="2"/>
  <c r="D4" i="6"/>
  <c r="D5" i="6"/>
  <c r="AI21" i="3" l="1"/>
  <c r="CT438" i="1"/>
  <c r="CT253" i="1" s="1"/>
  <c r="Z369" i="2"/>
  <c r="CS253" i="1"/>
  <c r="X8" i="2"/>
  <c r="Y269" i="2"/>
  <c r="W15" i="2"/>
  <c r="W153" i="2"/>
  <c r="Y157" i="2"/>
  <c r="X159" i="2"/>
  <c r="R10" i="4" l="1"/>
  <c r="Q10" i="4"/>
  <c r="AA369" i="2"/>
  <c r="Y159" i="2"/>
  <c r="Y153" i="2" s="1"/>
  <c r="Z157" i="2"/>
  <c r="Y8" i="2"/>
  <c r="Z269" i="2"/>
  <c r="X15" i="2"/>
  <c r="X153" i="2"/>
  <c r="K78" i="2"/>
  <c r="J79" i="2"/>
  <c r="Y15" i="2" l="1"/>
  <c r="Z8" i="2"/>
  <c r="AA269" i="2"/>
  <c r="AA8" i="2" s="1"/>
  <c r="Z159" i="2"/>
  <c r="AA157" i="2"/>
  <c r="AA159" i="2" s="1"/>
  <c r="J404" i="2"/>
  <c r="AA15" i="2" l="1"/>
  <c r="AA153" i="2"/>
  <c r="Z153" i="2"/>
  <c r="Z15" i="2"/>
  <c r="E75" i="2"/>
  <c r="F75" i="2"/>
  <c r="G75" i="2"/>
  <c r="H75" i="2"/>
  <c r="I75" i="2"/>
  <c r="H76" i="2" l="1"/>
  <c r="H381" i="2"/>
  <c r="E76" i="2"/>
  <c r="E381" i="2"/>
  <c r="G76" i="2"/>
  <c r="G381" i="2"/>
  <c r="F76" i="2"/>
  <c r="F381" i="2"/>
  <c r="I76" i="2"/>
  <c r="I381" i="2"/>
  <c r="F93" i="2"/>
  <c r="F94" i="2" s="1"/>
  <c r="G93" i="2"/>
  <c r="G94" i="2" s="1"/>
  <c r="H93" i="2"/>
  <c r="H94" i="2" s="1"/>
  <c r="I93" i="2"/>
  <c r="J93" i="2"/>
  <c r="H370" i="2"/>
  <c r="H372" i="2" s="1"/>
  <c r="H373" i="2" s="1"/>
  <c r="G370" i="2"/>
  <c r="G372" i="2" s="1"/>
  <c r="G373" i="2" s="1"/>
  <c r="K93" i="2"/>
  <c r="H430" i="2"/>
  <c r="F430" i="2"/>
  <c r="H43" i="27" s="1"/>
  <c r="F370" i="2"/>
  <c r="F372" i="2" s="1"/>
  <c r="G430" i="2"/>
  <c r="I43" i="27" s="1"/>
  <c r="I430" i="2"/>
  <c r="K43" i="27" s="1"/>
  <c r="E430" i="2"/>
  <c r="G43" i="27" s="1"/>
  <c r="I370" i="2"/>
  <c r="I372" i="2" s="1"/>
  <c r="E370" i="2"/>
  <c r="E372" i="2" s="1"/>
  <c r="I52" i="27" l="1"/>
  <c r="I53" i="27" s="1"/>
  <c r="G6" i="27"/>
  <c r="K6" i="27"/>
  <c r="I6" i="27"/>
  <c r="H6" i="27"/>
  <c r="H432" i="2"/>
  <c r="J43" i="27"/>
  <c r="K52" i="27" s="1"/>
  <c r="K53" i="27" s="1"/>
  <c r="G385" i="2"/>
  <c r="P75" i="3"/>
  <c r="I385" i="2"/>
  <c r="R75" i="3"/>
  <c r="H385" i="2"/>
  <c r="Q75" i="3"/>
  <c r="F385" i="2"/>
  <c r="O75" i="3"/>
  <c r="E385" i="2"/>
  <c r="N75" i="3"/>
  <c r="E58" i="2"/>
  <c r="E69" i="2" s="1"/>
  <c r="E432" i="2"/>
  <c r="I58" i="2"/>
  <c r="I69" i="2" s="1"/>
  <c r="I432" i="2"/>
  <c r="G58" i="2"/>
  <c r="G69" i="2" s="1"/>
  <c r="G432" i="2"/>
  <c r="F58" i="2"/>
  <c r="F69" i="2" s="1"/>
  <c r="F432" i="2"/>
  <c r="H433" i="2"/>
  <c r="H58" i="2"/>
  <c r="H69" i="2" s="1"/>
  <c r="J94" i="2"/>
  <c r="K94" i="2"/>
  <c r="J365" i="2"/>
  <c r="I365" i="2"/>
  <c r="F365" i="2"/>
  <c r="H365" i="2"/>
  <c r="E365" i="2"/>
  <c r="G365" i="2"/>
  <c r="K365" i="2"/>
  <c r="H374" i="2"/>
  <c r="F373" i="2"/>
  <c r="G374" i="2" s="1"/>
  <c r="E373" i="2"/>
  <c r="E374" i="2" s="1"/>
  <c r="I373" i="2"/>
  <c r="I374" i="2" s="1"/>
  <c r="F433" i="2"/>
  <c r="G431" i="2"/>
  <c r="H431" i="2"/>
  <c r="G433" i="2"/>
  <c r="E431" i="2"/>
  <c r="E433" i="2"/>
  <c r="F431" i="2"/>
  <c r="I431" i="2"/>
  <c r="I433" i="2"/>
  <c r="J431" i="2"/>
  <c r="L52" i="27" l="1"/>
  <c r="L53" i="27" s="1"/>
  <c r="L54" i="27" s="1"/>
  <c r="M52" i="27"/>
  <c r="M53" i="27" s="1"/>
  <c r="J52" i="27"/>
  <c r="J53" i="27" s="1"/>
  <c r="J54" i="27" s="1"/>
  <c r="J6" i="27"/>
  <c r="H388" i="2"/>
  <c r="Q79" i="3"/>
  <c r="F388" i="2"/>
  <c r="O79" i="3"/>
  <c r="I388" i="2"/>
  <c r="R79" i="3"/>
  <c r="E388" i="2"/>
  <c r="N79" i="3"/>
  <c r="G388" i="2"/>
  <c r="P79" i="3"/>
  <c r="J374" i="2"/>
  <c r="F374" i="2"/>
  <c r="M54" i="27" l="1"/>
  <c r="K54" i="27"/>
  <c r="E390" i="2"/>
  <c r="G45" i="27" s="1"/>
  <c r="G10" i="27" s="1"/>
  <c r="G9" i="27" s="1"/>
  <c r="N82" i="3"/>
  <c r="I390" i="2"/>
  <c r="K45" i="27" s="1"/>
  <c r="K10" i="27" s="1"/>
  <c r="K9" i="27" s="1"/>
  <c r="R82" i="3"/>
  <c r="F390" i="2"/>
  <c r="H45" i="27" s="1"/>
  <c r="H10" i="27" s="1"/>
  <c r="H9" i="27" s="1"/>
  <c r="O82" i="3"/>
  <c r="G390" i="2"/>
  <c r="I45" i="27" s="1"/>
  <c r="I10" i="27" s="1"/>
  <c r="I9" i="27" s="1"/>
  <c r="P82" i="3"/>
  <c r="H390" i="2"/>
  <c r="J45" i="27" s="1"/>
  <c r="J10" i="27" s="1"/>
  <c r="J9" i="27" s="1"/>
  <c r="Q82" i="3"/>
  <c r="J130" i="2"/>
  <c r="J132" i="2" s="1"/>
  <c r="G395" i="2" l="1"/>
  <c r="P31" i="3"/>
  <c r="P84" i="3"/>
  <c r="O31" i="3"/>
  <c r="F395" i="2"/>
  <c r="O84" i="3"/>
  <c r="R84" i="3"/>
  <c r="R31" i="3"/>
  <c r="I395" i="2"/>
  <c r="H395" i="2"/>
  <c r="Q84" i="3"/>
  <c r="Q31" i="3"/>
  <c r="N31" i="3"/>
  <c r="E395" i="2"/>
  <c r="N84" i="3"/>
  <c r="J135" i="2"/>
  <c r="J136" i="2" s="1"/>
  <c r="J137" i="2" s="1"/>
  <c r="S20" i="3"/>
  <c r="G30" i="11" s="1"/>
  <c r="G35" i="11" s="1"/>
  <c r="G45" i="11" s="1"/>
  <c r="J131" i="2"/>
  <c r="J145" i="2" l="1"/>
  <c r="E65" i="4" l="1"/>
  <c r="F65" i="4" l="1"/>
  <c r="G65" i="4" l="1"/>
  <c r="H65" i="4" l="1"/>
  <c r="I65" i="4" l="1"/>
  <c r="M73" i="6" l="1"/>
  <c r="N73" i="6"/>
  <c r="J132" i="6"/>
  <c r="K132" i="6"/>
  <c r="L132" i="6"/>
  <c r="M132" i="6"/>
  <c r="N132" i="6"/>
  <c r="O132" i="6"/>
  <c r="AC431" i="1"/>
  <c r="I63" i="6" s="1"/>
  <c r="AD431" i="1"/>
  <c r="J63" i="6" s="1"/>
  <c r="AE431" i="1"/>
  <c r="K63" i="6" s="1"/>
  <c r="AF431" i="1"/>
  <c r="L63" i="6" s="1"/>
  <c r="AG431" i="1"/>
  <c r="I419" i="2" s="1"/>
  <c r="AH431" i="1"/>
  <c r="M63" i="6" s="1"/>
  <c r="AI431" i="1"/>
  <c r="N63" i="6" s="1"/>
  <c r="AL431" i="1"/>
  <c r="J419" i="2" s="1"/>
  <c r="AE419" i="1" l="1"/>
  <c r="AE421" i="1" s="1"/>
  <c r="AF419" i="1"/>
  <c r="AF421" i="1" s="1"/>
  <c r="AC419" i="1"/>
  <c r="AC421" i="1" s="1"/>
  <c r="AG419" i="1"/>
  <c r="AG421" i="1" s="1"/>
  <c r="AD419" i="1"/>
  <c r="AD421" i="1" s="1"/>
  <c r="AD412" i="1"/>
  <c r="AI412" i="1"/>
  <c r="AG412" i="1"/>
  <c r="AL412" i="1"/>
  <c r="AC412" i="1"/>
  <c r="AH412" i="1"/>
  <c r="AF412" i="1"/>
  <c r="AK412" i="1"/>
  <c r="AE412" i="1"/>
  <c r="AJ412" i="1"/>
  <c r="K65" i="4"/>
  <c r="AD425" i="1" l="1"/>
  <c r="AD426" i="1" s="1"/>
  <c r="AD422" i="1"/>
  <c r="AI420" i="1"/>
  <c r="AD420" i="1"/>
  <c r="AF425" i="1"/>
  <c r="AF426" i="1" s="1"/>
  <c r="AG422" i="1"/>
  <c r="AF422" i="1"/>
  <c r="AG425" i="1"/>
  <c r="AG426" i="1" s="1"/>
  <c r="AG442" i="1"/>
  <c r="I91" i="2" s="1"/>
  <c r="AE425" i="1"/>
  <c r="AE426" i="1" s="1"/>
  <c r="AK420" i="1"/>
  <c r="AE422" i="1"/>
  <c r="AJ420" i="1"/>
  <c r="AH420" i="1"/>
  <c r="AC422" i="1"/>
  <c r="AE420" i="1"/>
  <c r="AF420" i="1"/>
  <c r="AC420" i="1"/>
  <c r="AC425" i="1"/>
  <c r="AC426" i="1" s="1"/>
  <c r="AL420" i="1"/>
  <c r="AG420" i="1"/>
  <c r="L65" i="4"/>
  <c r="AG13" i="1" l="1"/>
  <c r="AL13" i="1"/>
  <c r="R19" i="3"/>
  <c r="F25" i="11" s="1"/>
  <c r="F35" i="11" s="1"/>
  <c r="F45" i="11" s="1"/>
  <c r="AG445" i="1"/>
  <c r="I92" i="2"/>
  <c r="I94" i="2"/>
  <c r="M65" i="4"/>
  <c r="R247" i="3" l="1"/>
  <c r="R23" i="3"/>
  <c r="R127" i="3" s="1"/>
  <c r="N65" i="4"/>
  <c r="R136" i="3" l="1"/>
  <c r="R137" i="3" s="1"/>
  <c r="R24" i="3"/>
  <c r="R249" i="3" s="1"/>
  <c r="R248" i="3"/>
  <c r="O65" i="4"/>
  <c r="P65" i="4" l="1"/>
  <c r="BA451" i="1"/>
  <c r="BA452" i="1" s="1"/>
  <c r="BF451" i="1"/>
  <c r="BK452" i="1" s="1"/>
  <c r="R65" i="4" l="1"/>
  <c r="Q65" i="4"/>
  <c r="BF452" i="1"/>
  <c r="AV447" i="1"/>
  <c r="L411" i="2" s="1"/>
  <c r="B2" i="5"/>
  <c r="AV448" i="1" l="1"/>
  <c r="AV455" i="1"/>
  <c r="AV463" i="1"/>
  <c r="AV371" i="1"/>
  <c r="BA490" i="1" l="1"/>
  <c r="AV459" i="1"/>
  <c r="L413" i="2" s="1"/>
  <c r="AV456" i="1"/>
  <c r="B3" i="5"/>
  <c r="L6" i="2"/>
  <c r="L243" i="2"/>
  <c r="L193" i="2"/>
  <c r="AV372" i="1"/>
  <c r="AV373" i="1"/>
  <c r="AV374" i="1" s="1"/>
  <c r="L93" i="2" l="1"/>
  <c r="AV460" i="1"/>
  <c r="L430" i="2"/>
  <c r="N43" i="27" s="1"/>
  <c r="L370" i="2"/>
  <c r="L78" i="2"/>
  <c r="U28" i="3"/>
  <c r="U128" i="3" s="1"/>
  <c r="L60" i="2"/>
  <c r="L386" i="2" s="1"/>
  <c r="U80" i="3" s="1"/>
  <c r="L342" i="2"/>
  <c r="N52" i="27" l="1"/>
  <c r="L58" i="2"/>
  <c r="AU407" i="1"/>
  <c r="AU244" i="1" s="1"/>
  <c r="AU395" i="1"/>
  <c r="AU241" i="1" s="1"/>
  <c r="AU403" i="1"/>
  <c r="AU243" i="1" s="1"/>
  <c r="L431" i="2"/>
  <c r="AV27" i="1"/>
  <c r="L433" i="2"/>
  <c r="L82" i="2"/>
  <c r="AU262" i="1"/>
  <c r="AP26" i="7" s="1"/>
  <c r="AU390" i="1"/>
  <c r="AU399" i="1"/>
  <c r="AU242" i="1" s="1"/>
  <c r="CU11" i="7" l="1"/>
  <c r="CU35" i="7" s="1"/>
  <c r="E12" i="18"/>
  <c r="AU411" i="1"/>
  <c r="AU240" i="1"/>
  <c r="AU257" i="1"/>
  <c r="AV29" i="1"/>
  <c r="AU393" i="1"/>
  <c r="AU392" i="1"/>
  <c r="AU397" i="1"/>
  <c r="U22" i="3"/>
  <c r="I51" i="11" s="1"/>
  <c r="AU27" i="1"/>
  <c r="AU256" i="1" s="1"/>
  <c r="AU409" i="1"/>
  <c r="L79" i="2"/>
  <c r="L142" i="2"/>
  <c r="AU401" i="1"/>
  <c r="AU405" i="1"/>
  <c r="AP11" i="7" l="1"/>
  <c r="AU258" i="1"/>
  <c r="AU419" i="1"/>
  <c r="AU421" i="1" s="1"/>
  <c r="I57" i="11"/>
  <c r="AU412" i="1"/>
  <c r="AV412" i="1"/>
  <c r="B8" i="5"/>
  <c r="U33" i="3"/>
  <c r="L19" i="2"/>
  <c r="L80" i="2"/>
  <c r="AU35" i="1"/>
  <c r="AP12" i="7" s="1"/>
  <c r="P85" i="6"/>
  <c r="AP24" i="7" l="1"/>
  <c r="AU420" i="1"/>
  <c r="D7" i="6"/>
  <c r="AP35" i="7"/>
  <c r="T23" i="3"/>
  <c r="T247" i="3"/>
  <c r="AV13" i="1" l="1"/>
  <c r="U19" i="3"/>
  <c r="I25" i="11" s="1"/>
  <c r="T127" i="3"/>
  <c r="T24" i="3"/>
  <c r="T249" i="3" s="1"/>
  <c r="T248" i="3"/>
  <c r="T136" i="3" l="1"/>
  <c r="T137" i="3" s="1"/>
  <c r="U247" i="3"/>
  <c r="U23" i="3"/>
  <c r="U24" i="3" s="1"/>
  <c r="U249" i="3" s="1"/>
  <c r="U248" i="3" l="1"/>
  <c r="U127" i="3"/>
  <c r="L40" i="2"/>
  <c r="I89" i="11" l="1"/>
  <c r="E54" i="18"/>
  <c r="U27" i="3"/>
  <c r="L31" i="2" l="1"/>
  <c r="L174" i="2" s="1"/>
  <c r="L175" i="2" s="1"/>
  <c r="L176" i="2" l="1"/>
  <c r="L46" i="2"/>
  <c r="L48" i="2" s="1"/>
  <c r="E50" i="18"/>
  <c r="E55" i="18" s="1"/>
  <c r="L191" i="2"/>
  <c r="M191" i="2"/>
  <c r="L49" i="2"/>
  <c r="E13" i="18" l="1"/>
  <c r="N25" i="27"/>
  <c r="L52" i="2"/>
  <c r="U138" i="3"/>
  <c r="D67" i="4"/>
  <c r="L53" i="2"/>
  <c r="I83" i="11"/>
  <c r="I95" i="11" s="1"/>
  <c r="L50" i="2"/>
  <c r="B14" i="5"/>
  <c r="N31" i="27" l="1"/>
  <c r="N6" i="27" s="1"/>
  <c r="N13" i="27"/>
  <c r="U25" i="3"/>
  <c r="N5" i="27" l="1"/>
  <c r="L7" i="2"/>
  <c r="L11" i="2" s="1"/>
  <c r="L21" i="2" s="1"/>
  <c r="L246" i="2"/>
  <c r="E33" i="18" l="1"/>
  <c r="E42" i="18"/>
  <c r="L23" i="2"/>
  <c r="L24" i="2" s="1"/>
  <c r="L250" i="2"/>
  <c r="L258" i="2" s="1"/>
  <c r="L29" i="2" l="1"/>
  <c r="L90" i="2" s="1"/>
  <c r="N57" i="27" s="1"/>
  <c r="L347" i="2"/>
  <c r="U131" i="3"/>
  <c r="L62" i="2"/>
  <c r="L379" i="2" s="1"/>
  <c r="U73" i="3" s="1"/>
  <c r="L35" i="2" l="1"/>
  <c r="L42" i="2" s="1"/>
  <c r="L44" i="2" s="1"/>
  <c r="E34" i="18"/>
  <c r="E37" i="18" s="1"/>
  <c r="E43" i="18"/>
  <c r="E46" i="18" s="1"/>
  <c r="K79" i="2" l="1"/>
  <c r="K142" i="2"/>
  <c r="K19" i="2" l="1"/>
  <c r="K21" i="2" s="1"/>
  <c r="L143" i="2"/>
  <c r="T33" i="3"/>
  <c r="K143" i="2"/>
  <c r="K80" i="2"/>
  <c r="U130" i="3"/>
  <c r="L294" i="2"/>
  <c r="AV268" i="1"/>
  <c r="D33" i="18" l="1"/>
  <c r="D37" i="18" s="1"/>
  <c r="K90" i="2"/>
  <c r="M57" i="27" s="1"/>
  <c r="M58" i="27" s="1"/>
  <c r="K44" i="2"/>
  <c r="K366" i="2"/>
  <c r="D42" i="18"/>
  <c r="D46" i="18" s="1"/>
  <c r="L343" i="2"/>
  <c r="L61" i="2"/>
  <c r="L380" i="2" s="1"/>
  <c r="L84" i="2"/>
  <c r="AU268" i="1"/>
  <c r="AP23" i="7" s="1"/>
  <c r="AP28" i="7" s="1"/>
  <c r="K92" i="2" l="1"/>
  <c r="M61" i="27"/>
  <c r="M63" i="27" s="1"/>
  <c r="M59" i="27"/>
  <c r="L385" i="2"/>
  <c r="U74" i="3"/>
  <c r="U13" i="3"/>
  <c r="L345" i="2"/>
  <c r="L396" i="2" l="1"/>
  <c r="U86" i="3"/>
  <c r="L388" i="2"/>
  <c r="U79" i="3"/>
  <c r="L325" i="2"/>
  <c r="L65" i="2"/>
  <c r="L390" i="2" l="1"/>
  <c r="N45" i="27" s="1"/>
  <c r="N10" i="27" s="1"/>
  <c r="N9" i="27" s="1"/>
  <c r="U82" i="3"/>
  <c r="U134" i="3"/>
  <c r="U136" i="3" l="1"/>
  <c r="U137" i="3" s="1"/>
  <c r="L395" i="2"/>
  <c r="U31" i="3"/>
  <c r="U84" i="3"/>
  <c r="V3" i="3"/>
  <c r="M315" i="2"/>
  <c r="X3" i="3"/>
  <c r="W3" i="3"/>
  <c r="Y3" i="3"/>
  <c r="Z3" i="3"/>
  <c r="J62" i="4" l="1"/>
  <c r="J65" i="4" s="1"/>
  <c r="AA4" i="3"/>
  <c r="AA3" i="3" s="1"/>
  <c r="Q315" i="2"/>
  <c r="R315" i="2"/>
  <c r="P315" i="2"/>
  <c r="N315" i="2"/>
  <c r="O315" i="2"/>
  <c r="AV148" i="1" l="1"/>
  <c r="AV211" i="1"/>
  <c r="AV108" i="1" l="1"/>
  <c r="CU55" i="7" s="1"/>
  <c r="BA108" i="1" l="1"/>
  <c r="CV55" i="7" s="1"/>
  <c r="AV109" i="1"/>
  <c r="BF108" i="1" l="1"/>
  <c r="CW55" i="7" s="1"/>
  <c r="BK108" i="1" l="1"/>
  <c r="CX55" i="7" s="1"/>
  <c r="BP108" i="1" l="1"/>
  <c r="CY55" i="7" s="1"/>
  <c r="BU108" i="1" l="1"/>
  <c r="CZ55" i="7" l="1"/>
  <c r="BZ108" i="1"/>
  <c r="CE108" i="1" s="1"/>
  <c r="DA55" i="7" l="1"/>
  <c r="CJ108" i="1"/>
  <c r="DB55" i="7"/>
  <c r="K52" i="1"/>
  <c r="L51" i="1"/>
  <c r="L52" i="1"/>
  <c r="O52" i="1"/>
  <c r="N52" i="1"/>
  <c r="T52" i="1"/>
  <c r="S52" i="1"/>
  <c r="U51" i="1"/>
  <c r="T51" i="1"/>
  <c r="S51" i="1"/>
  <c r="I51" i="1"/>
  <c r="K51" i="1"/>
  <c r="N51" i="1"/>
  <c r="P51" i="1"/>
  <c r="V52" i="1"/>
  <c r="R52" i="1"/>
  <c r="Q52" i="1"/>
  <c r="CO108" i="1" l="1"/>
  <c r="DC55" i="7"/>
  <c r="W60" i="1"/>
  <c r="R60" i="1"/>
  <c r="O51" i="1"/>
  <c r="J52" i="1"/>
  <c r="H52" i="1"/>
  <c r="U52" i="1"/>
  <c r="I52" i="1"/>
  <c r="J51" i="1"/>
  <c r="P52" i="1"/>
  <c r="CP108" i="1" l="1"/>
  <c r="DD55" i="7"/>
  <c r="M60" i="1"/>
  <c r="CQ108" i="1" l="1"/>
  <c r="DE55" i="7"/>
  <c r="M63" i="1"/>
  <c r="M67" i="1" s="1"/>
  <c r="DF55" i="7" l="1"/>
  <c r="CR108" i="1"/>
  <c r="CS108" i="1" s="1"/>
  <c r="M69" i="1"/>
  <c r="M68" i="1"/>
  <c r="E401" i="2" s="1"/>
  <c r="M66" i="1"/>
  <c r="M70" i="1"/>
  <c r="CT108" i="1" l="1"/>
  <c r="DI55" i="7" s="1"/>
  <c r="DH55" i="7"/>
  <c r="DG55" i="7"/>
  <c r="R51" i="1"/>
  <c r="E404" i="2"/>
  <c r="D404" i="2"/>
  <c r="Q51" i="1" l="1"/>
  <c r="R59" i="1"/>
  <c r="W59" i="1"/>
  <c r="R63" i="1" l="1"/>
  <c r="R66" i="1" s="1"/>
  <c r="R69" i="1" l="1"/>
  <c r="R70" i="1"/>
  <c r="R68" i="1"/>
  <c r="F401" i="2" s="1"/>
  <c r="R67" i="1"/>
  <c r="BA51" i="1" l="1"/>
  <c r="BA59" i="1" s="1"/>
  <c r="BA52" i="1"/>
  <c r="BA60" i="1" s="1"/>
  <c r="AV54" i="1"/>
  <c r="AV62" i="1" s="1"/>
  <c r="BA54" i="1"/>
  <c r="BA62" i="1" l="1"/>
  <c r="L402" i="2" l="1"/>
  <c r="L404" i="2"/>
  <c r="V404" i="2"/>
  <c r="R404" i="2"/>
  <c r="T404" i="2"/>
  <c r="O404" i="2"/>
  <c r="P404" i="2"/>
  <c r="Q404" i="2"/>
  <c r="W404" i="2"/>
  <c r="N404" i="2"/>
  <c r="X404" i="2"/>
  <c r="M404" i="2"/>
  <c r="Y404" i="2"/>
  <c r="M23" i="2" l="1"/>
  <c r="M6" i="2"/>
  <c r="M24" i="2" l="1"/>
  <c r="M250" i="2"/>
  <c r="M7" i="2"/>
  <c r="M11" i="2" s="1"/>
  <c r="M246" i="2"/>
  <c r="M75" i="2"/>
  <c r="M381" i="2" s="1"/>
  <c r="V75" i="3" s="1"/>
  <c r="M243" i="2"/>
  <c r="M193" i="2"/>
  <c r="M78" i="2"/>
  <c r="M93" i="2" l="1"/>
  <c r="M430" i="2"/>
  <c r="O43" i="27" s="1"/>
  <c r="M29" i="2"/>
  <c r="M258" i="2"/>
  <c r="V131" i="3" s="1"/>
  <c r="M60" i="2"/>
  <c r="M386" i="2" s="1"/>
  <c r="V80" i="3" s="1"/>
  <c r="M370" i="2"/>
  <c r="M342" i="2"/>
  <c r="V28" i="3"/>
  <c r="V128" i="3" s="1"/>
  <c r="O52" i="27" l="1"/>
  <c r="M431" i="2"/>
  <c r="M58" i="2"/>
  <c r="F34" i="18"/>
  <c r="F43" i="18"/>
  <c r="M347" i="2"/>
  <c r="M62" i="2"/>
  <c r="M379" i="2" s="1"/>
  <c r="V73" i="3" s="1"/>
  <c r="M79" i="2"/>
  <c r="M142" i="2"/>
  <c r="M80" i="2" l="1"/>
  <c r="M143" i="2"/>
  <c r="M19" i="2"/>
  <c r="M21" i="2" s="1"/>
  <c r="M90" i="2" s="1"/>
  <c r="O57" i="27" s="1"/>
  <c r="V33" i="3"/>
  <c r="F33" i="18" l="1"/>
  <c r="F37" i="18" s="1"/>
  <c r="F42" i="18"/>
  <c r="F46" i="18" s="1"/>
  <c r="V130" i="3"/>
  <c r="M294" i="2" l="1"/>
  <c r="V25" i="3" l="1"/>
  <c r="M31" i="2" l="1"/>
  <c r="F50" i="18" l="1"/>
  <c r="M174" i="2"/>
  <c r="M175" i="2" s="1"/>
  <c r="M46" i="2"/>
  <c r="M49" i="2"/>
  <c r="M35" i="2"/>
  <c r="F13" i="18" l="1"/>
  <c r="O25" i="27"/>
  <c r="M53" i="2"/>
  <c r="E67" i="4"/>
  <c r="M176" i="2"/>
  <c r="M48" i="2"/>
  <c r="J83" i="11"/>
  <c r="C14" i="5"/>
  <c r="M50" i="2"/>
  <c r="O31" i="27" l="1"/>
  <c r="O5" i="27" s="1"/>
  <c r="O13" i="27"/>
  <c r="M52" i="2"/>
  <c r="V138" i="3"/>
  <c r="M39" i="2"/>
  <c r="M40" i="2" s="1"/>
  <c r="F54" i="18" s="1"/>
  <c r="F55" i="18" s="1"/>
  <c r="O6" i="27" l="1"/>
  <c r="M42" i="2"/>
  <c r="M44" i="2" s="1"/>
  <c r="V27" i="3"/>
  <c r="J89" i="11" l="1"/>
  <c r="J95" i="11" l="1"/>
  <c r="V13" i="3"/>
  <c r="M345" i="2"/>
  <c r="V86" i="3" l="1"/>
  <c r="M396" i="2"/>
  <c r="M325" i="2"/>
  <c r="V134" i="3" l="1"/>
  <c r="BA47" i="1" l="1"/>
  <c r="V55" i="3" l="1"/>
  <c r="V242" i="3" s="1"/>
  <c r="M405" i="2"/>
  <c r="M406" i="2" l="1"/>
  <c r="M402" i="2"/>
  <c r="BF47" i="1"/>
  <c r="W55" i="3" l="1"/>
  <c r="W242" i="3" s="1"/>
  <c r="N405" i="2"/>
  <c r="N406" i="2" l="1"/>
  <c r="N402" i="2"/>
  <c r="AB47" i="1" l="1"/>
  <c r="AA55" i="3" l="1"/>
  <c r="AA242" i="3" s="1"/>
  <c r="R405" i="2"/>
  <c r="AG47" i="1"/>
  <c r="Q55" i="3"/>
  <c r="Q242" i="3" s="1"/>
  <c r="AL47" i="1" l="1"/>
  <c r="R402" i="2"/>
  <c r="R55" i="3"/>
  <c r="R242" i="3" s="1"/>
  <c r="AQ47" i="1" l="1"/>
  <c r="S55" i="3"/>
  <c r="S242" i="3" s="1"/>
  <c r="T55" i="3" l="1"/>
  <c r="T242" i="3" s="1"/>
  <c r="AX51" i="7" l="1"/>
  <c r="AX50" i="7"/>
  <c r="BJ162" i="1" l="1"/>
  <c r="AX57" i="7"/>
  <c r="M366" i="2"/>
  <c r="C4" i="5"/>
  <c r="BO8" i="9"/>
  <c r="M364" i="2" l="1"/>
  <c r="M365" i="2" s="1"/>
  <c r="BF52" i="1" l="1"/>
  <c r="BF51" i="1"/>
  <c r="BF59" i="1" l="1"/>
  <c r="BF60" i="1"/>
  <c r="BG87" i="1" l="1"/>
  <c r="BG97" i="1"/>
  <c r="BG95" i="1"/>
  <c r="BT3" i="9"/>
  <c r="BK125" i="1"/>
  <c r="N399" i="2"/>
  <c r="W51" i="3"/>
  <c r="W243" i="3" s="1"/>
  <c r="BF54" i="1"/>
  <c r="BY3" i="9"/>
  <c r="BG88" i="1" l="1"/>
  <c r="BG90" i="1"/>
  <c r="BG324" i="1" s="1"/>
  <c r="BG321" i="1" s="1"/>
  <c r="BG138" i="1"/>
  <c r="BG203" i="1"/>
  <c r="BF62" i="1"/>
  <c r="BK62" i="1"/>
  <c r="BJ53" i="1"/>
  <c r="BP125" i="1"/>
  <c r="X51" i="3"/>
  <c r="X243" i="3" s="1"/>
  <c r="O399" i="2"/>
  <c r="O408" i="2" s="1"/>
  <c r="BK126" i="1"/>
  <c r="BK127" i="1" s="1"/>
  <c r="BK53" i="1" l="1"/>
  <c r="BL61" i="1" s="1"/>
  <c r="BJ42" i="1"/>
  <c r="BG305" i="1"/>
  <c r="BG229" i="1"/>
  <c r="BK321" i="1"/>
  <c r="BG205" i="1"/>
  <c r="BL204" i="1"/>
  <c r="BI53" i="1"/>
  <c r="BJ94" i="1"/>
  <c r="BP62" i="1"/>
  <c r="BK104" i="1"/>
  <c r="BK61" i="1" l="1"/>
  <c r="BK229" i="1"/>
  <c r="BI61" i="1"/>
  <c r="BI42" i="1"/>
  <c r="BK305" i="1"/>
  <c r="CX39" i="7"/>
  <c r="BK210" i="1"/>
  <c r="CX49" i="7" s="1"/>
  <c r="BJ61" i="1"/>
  <c r="BJ97" i="1"/>
  <c r="BJ203" i="1" s="1"/>
  <c r="BJ95" i="1"/>
  <c r="BU62" i="1"/>
  <c r="BK114" i="1"/>
  <c r="BL87" i="1" l="1"/>
  <c r="BJ205" i="1"/>
  <c r="BJ204" i="1"/>
  <c r="BK142" i="1"/>
  <c r="CX52" i="7" s="1"/>
  <c r="BK115" i="1"/>
  <c r="BL90" i="1" l="1"/>
  <c r="BL324" i="1" s="1"/>
  <c r="BL321" i="1" s="1"/>
  <c r="BL322" i="1" s="1"/>
  <c r="BL88" i="1"/>
  <c r="W251" i="3"/>
  <c r="BF105" i="1"/>
  <c r="BL305" i="1" l="1"/>
  <c r="BL229" i="1"/>
  <c r="BP321" i="1"/>
  <c r="BJ137" i="1"/>
  <c r="AX38" i="7"/>
  <c r="BP229" i="1" l="1"/>
  <c r="BP322" i="1"/>
  <c r="BP305" i="1"/>
  <c r="N243" i="2"/>
  <c r="N6" i="2"/>
  <c r="N7" i="2"/>
  <c r="N246" i="2"/>
  <c r="N23" i="2"/>
  <c r="N24" i="2" s="1"/>
  <c r="N250" i="2"/>
  <c r="N75" i="2"/>
  <c r="N381" i="2" s="1"/>
  <c r="W75" i="3" s="1"/>
  <c r="N193" i="2"/>
  <c r="N93" i="2" l="1"/>
  <c r="N11" i="2"/>
  <c r="N370" i="2"/>
  <c r="N430" i="2"/>
  <c r="P43" i="27" s="1"/>
  <c r="O250" i="2"/>
  <c r="O243" i="2"/>
  <c r="O6" i="2"/>
  <c r="N342" i="2"/>
  <c r="W28" i="3"/>
  <c r="W128" i="3" s="1"/>
  <c r="N60" i="2"/>
  <c r="N386" i="2" s="1"/>
  <c r="W80" i="3" s="1"/>
  <c r="N78" i="2"/>
  <c r="N258" i="2"/>
  <c r="O75" i="2"/>
  <c r="O381" i="2" s="1"/>
  <c r="X75" i="3" s="1"/>
  <c r="O246" i="2"/>
  <c r="O7" i="2"/>
  <c r="P52" i="27" l="1"/>
  <c r="O93" i="2"/>
  <c r="O258" i="2"/>
  <c r="O347" i="2" s="1"/>
  <c r="N29" i="2"/>
  <c r="O430" i="2"/>
  <c r="Q43" i="27" s="1"/>
  <c r="O370" i="2"/>
  <c r="N62" i="2"/>
  <c r="N379" i="2" s="1"/>
  <c r="W73" i="3" s="1"/>
  <c r="W131" i="3"/>
  <c r="N347" i="2"/>
  <c r="O78" i="2"/>
  <c r="N431" i="2"/>
  <c r="N433" i="2"/>
  <c r="Q52" i="27" l="1"/>
  <c r="G34" i="18"/>
  <c r="G60" i="18" s="1"/>
  <c r="G43" i="18"/>
  <c r="X131" i="3"/>
  <c r="O62" i="2"/>
  <c r="O379" i="2" s="1"/>
  <c r="X73" i="3" s="1"/>
  <c r="N79" i="2"/>
  <c r="N142" i="2"/>
  <c r="O433" i="2"/>
  <c r="O431" i="2"/>
  <c r="O11" i="2" l="1"/>
  <c r="W33" i="3"/>
  <c r="N80" i="2"/>
  <c r="N19" i="2"/>
  <c r="N21" i="2" s="1"/>
  <c r="N90" i="2" s="1"/>
  <c r="P57" i="27" s="1"/>
  <c r="N143" i="2"/>
  <c r="G33" i="18" l="1"/>
  <c r="G42" i="18"/>
  <c r="G46" i="18" s="1"/>
  <c r="AX33" i="7"/>
  <c r="BS8" i="9"/>
  <c r="G37" i="18" l="1"/>
  <c r="G59" i="18"/>
  <c r="BS14" i="9"/>
  <c r="BB35" i="7"/>
  <c r="O79" i="2"/>
  <c r="O142" i="2"/>
  <c r="P143" i="2" s="1"/>
  <c r="O143" i="2" l="1"/>
  <c r="X33" i="3"/>
  <c r="O19" i="2"/>
  <c r="O21" i="2" s="1"/>
  <c r="O80" i="2"/>
  <c r="N294" i="2"/>
  <c r="W130" i="3"/>
  <c r="H33" i="18" l="1"/>
  <c r="H59" i="18" s="1"/>
  <c r="H42" i="18"/>
  <c r="W25" i="3"/>
  <c r="N31" i="2" l="1"/>
  <c r="N174" i="2" s="1"/>
  <c r="N175" i="2" s="1"/>
  <c r="N176" i="2" l="1"/>
  <c r="N46" i="2"/>
  <c r="N48" i="2" s="1"/>
  <c r="W138" i="3" s="1"/>
  <c r="G50" i="18"/>
  <c r="N34" i="2"/>
  <c r="N49" i="2"/>
  <c r="G13" i="18" l="1"/>
  <c r="P25" i="27"/>
  <c r="P31" i="27" s="1"/>
  <c r="F67" i="4"/>
  <c r="K83" i="11"/>
  <c r="N35" i="2"/>
  <c r="G53" i="18"/>
  <c r="BT15" i="9"/>
  <c r="D14" i="5"/>
  <c r="N50" i="2"/>
  <c r="O193" i="2" l="1"/>
  <c r="O342" i="2" l="1"/>
  <c r="X28" i="3"/>
  <c r="X128" i="3" s="1"/>
  <c r="O60" i="2"/>
  <c r="O386" i="2" s="1"/>
  <c r="X80" i="3" s="1"/>
  <c r="O294" i="2" l="1"/>
  <c r="X130" i="3"/>
  <c r="BY11" i="9" l="1"/>
  <c r="X14" i="3"/>
  <c r="N39" i="2" l="1"/>
  <c r="N40" i="2" s="1"/>
  <c r="G54" i="18" s="1"/>
  <c r="G55" i="18" s="1"/>
  <c r="N345" i="2"/>
  <c r="W13" i="3"/>
  <c r="N325" i="2" l="1"/>
  <c r="N42" i="2"/>
  <c r="N44" i="2" s="1"/>
  <c r="W27" i="3"/>
  <c r="W86" i="3" l="1"/>
  <c r="N396" i="2"/>
  <c r="K89" i="11"/>
  <c r="W134" i="3"/>
  <c r="K95" i="11" l="1"/>
  <c r="O345" i="2"/>
  <c r="X13" i="3"/>
  <c r="O396" i="2" l="1"/>
  <c r="X86" i="3"/>
  <c r="O325" i="2"/>
  <c r="X134" i="3" l="1"/>
  <c r="BK143" i="1" l="1"/>
  <c r="CX54" i="7" l="1"/>
  <c r="CX53" i="7"/>
  <c r="O39" i="2" l="1"/>
  <c r="O40" i="2" s="1"/>
  <c r="H54" i="18" s="1"/>
  <c r="X27" i="3" l="1"/>
  <c r="L89" i="11"/>
  <c r="X25" i="3"/>
  <c r="O31" i="2" l="1"/>
  <c r="O174" i="2" s="1"/>
  <c r="O175" i="2" s="1"/>
  <c r="O176" i="2" l="1"/>
  <c r="O46" i="2"/>
  <c r="O48" i="2" s="1"/>
  <c r="X138" i="3" s="1"/>
  <c r="H50" i="18"/>
  <c r="O49" i="2"/>
  <c r="O34" i="2"/>
  <c r="H53" i="18" s="1"/>
  <c r="H13" i="18" l="1"/>
  <c r="Q25" i="27"/>
  <c r="Q31" i="27" s="1"/>
  <c r="G67" i="4"/>
  <c r="H55" i="18"/>
  <c r="L83" i="11"/>
  <c r="BY15" i="9"/>
  <c r="E14" i="5"/>
  <c r="O50" i="2"/>
  <c r="L95" i="11" l="1"/>
  <c r="O29" i="2"/>
  <c r="O90" i="2" s="1"/>
  <c r="Q57" i="27" s="1"/>
  <c r="H34" i="18" l="1"/>
  <c r="H43" i="18"/>
  <c r="H46" i="18" s="1"/>
  <c r="O35" i="2"/>
  <c r="O42" i="2" s="1"/>
  <c r="O44" i="2" s="1"/>
  <c r="H37" i="18" l="1"/>
  <c r="H60" i="18"/>
  <c r="BO53" i="1"/>
  <c r="BO42" i="1" s="1"/>
  <c r="CI6" i="9" l="1"/>
  <c r="Z251" i="3"/>
  <c r="Y251" i="3"/>
  <c r="BP105" i="1"/>
  <c r="BU106" i="1" l="1"/>
  <c r="AA251" i="3"/>
  <c r="CN6" i="9"/>
  <c r="Q6" i="2" l="1"/>
  <c r="Q7" i="2"/>
  <c r="Q23" i="2"/>
  <c r="Q24" i="2" s="1"/>
  <c r="P7" i="2" l="1"/>
  <c r="Q246" i="2"/>
  <c r="P23" i="2"/>
  <c r="P24" i="2" s="1"/>
  <c r="Q250" i="2"/>
  <c r="Q243" i="2"/>
  <c r="P6" i="2"/>
  <c r="P258" i="2" l="1"/>
  <c r="P11" i="2"/>
  <c r="Q258" i="2"/>
  <c r="Z131" i="3" s="1"/>
  <c r="Y28" i="3"/>
  <c r="Y128" i="3" s="1"/>
  <c r="P60" i="2"/>
  <c r="P386" i="2" s="1"/>
  <c r="Y80" i="3" s="1"/>
  <c r="P78" i="2"/>
  <c r="Q29" i="2" l="1"/>
  <c r="P29" i="2"/>
  <c r="P62" i="2"/>
  <c r="P379" i="2" s="1"/>
  <c r="Y73" i="3" s="1"/>
  <c r="P347" i="2"/>
  <c r="Q62" i="2"/>
  <c r="Q379" i="2" s="1"/>
  <c r="Z73" i="3" s="1"/>
  <c r="Q347" i="2"/>
  <c r="Y131" i="3"/>
  <c r="Q78" i="2"/>
  <c r="J34" i="18" l="1"/>
  <c r="J43" i="18"/>
  <c r="I34" i="18"/>
  <c r="I60" i="18" s="1"/>
  <c r="I43" i="18"/>
  <c r="P79" i="2"/>
  <c r="J60" i="18" l="1"/>
  <c r="Q263" i="2"/>
  <c r="Q79" i="2"/>
  <c r="Q142" i="2"/>
  <c r="P19" i="2"/>
  <c r="P21" i="2" s="1"/>
  <c r="P90" i="2" s="1"/>
  <c r="R57" i="27" s="1"/>
  <c r="Y33" i="3"/>
  <c r="P80" i="2"/>
  <c r="I33" i="18" l="1"/>
  <c r="I42" i="18"/>
  <c r="I46" i="18" s="1"/>
  <c r="Q9" i="2"/>
  <c r="Q11" i="2" s="1"/>
  <c r="Q143" i="2"/>
  <c r="Q80" i="2"/>
  <c r="Z33" i="3"/>
  <c r="I37" i="18" l="1"/>
  <c r="I59" i="18"/>
  <c r="Q276" i="2"/>
  <c r="Q18" i="2" l="1"/>
  <c r="Q19" i="2" s="1"/>
  <c r="Q21" i="2" s="1"/>
  <c r="Q90" i="2" s="1"/>
  <c r="S57" i="27" s="1"/>
  <c r="CI8" i="9"/>
  <c r="G4" i="5"/>
  <c r="J33" i="18" l="1"/>
  <c r="J42" i="18"/>
  <c r="J46" i="18" s="1"/>
  <c r="Q366" i="2"/>
  <c r="P294" i="2"/>
  <c r="Y130" i="3"/>
  <c r="J37" i="18" l="1"/>
  <c r="J59" i="18"/>
  <c r="CD11" i="9"/>
  <c r="Y14" i="3"/>
  <c r="CC11" i="9" l="1"/>
  <c r="Y13" i="3"/>
  <c r="Y134" i="3" l="1"/>
  <c r="P39" i="2"/>
  <c r="P40" i="2" s="1"/>
  <c r="M89" i="11" l="1"/>
  <c r="I54" i="18"/>
  <c r="Y27" i="3"/>
  <c r="BM278" i="1" l="1"/>
  <c r="AV430" i="1" l="1"/>
  <c r="AV429" i="1" l="1"/>
  <c r="BA429" i="1"/>
  <c r="AU428" i="1"/>
  <c r="BA493" i="1"/>
  <c r="AV431" i="1"/>
  <c r="L419" i="2" s="1"/>
  <c r="B4" i="5"/>
  <c r="AU429" i="1" l="1"/>
  <c r="AU430" i="1"/>
  <c r="AU464" i="1"/>
  <c r="AU445" i="1" s="1"/>
  <c r="AU431" i="1"/>
  <c r="AP33" i="7"/>
  <c r="L422" i="2"/>
  <c r="L423" i="2" s="1"/>
  <c r="L420" i="2"/>
  <c r="M420" i="2"/>
  <c r="L366" i="2"/>
  <c r="L69" i="2"/>
  <c r="L348" i="2"/>
  <c r="L364" i="2"/>
  <c r="L365" i="2" s="1"/>
  <c r="L424" i="2" l="1"/>
  <c r="AU266" i="1"/>
  <c r="AU465" i="1"/>
  <c r="AU269" i="1" l="1"/>
  <c r="AU271" i="1"/>
  <c r="AU20" i="1" s="1"/>
  <c r="D68" i="4"/>
  <c r="D71" i="4" s="1"/>
  <c r="AU272" i="1" l="1"/>
  <c r="D12" i="6" s="1"/>
  <c r="E68" i="4"/>
  <c r="D11" i="6"/>
  <c r="AP10" i="7"/>
  <c r="AP34" i="7" s="1"/>
  <c r="AU282" i="1"/>
  <c r="AU285" i="1" s="1"/>
  <c r="D70" i="4"/>
  <c r="F68" i="4" l="1"/>
  <c r="E70" i="4"/>
  <c r="G68" i="4" l="1"/>
  <c r="Y25" i="3" l="1"/>
  <c r="P31" i="2" l="1"/>
  <c r="P174" i="2" s="1"/>
  <c r="P175" i="2" s="1"/>
  <c r="Q176" i="2" l="1"/>
  <c r="Q180" i="2" s="1"/>
  <c r="P176" i="2"/>
  <c r="P46" i="2"/>
  <c r="P48" i="2" s="1"/>
  <c r="Y138" i="3" s="1"/>
  <c r="I50" i="18"/>
  <c r="P34" i="2"/>
  <c r="P49" i="2"/>
  <c r="I13" i="18" l="1"/>
  <c r="R25" i="27"/>
  <c r="R31" i="27" s="1"/>
  <c r="H67" i="4"/>
  <c r="M83" i="11"/>
  <c r="M95" i="11" s="1"/>
  <c r="P35" i="2"/>
  <c r="P42" i="2" s="1"/>
  <c r="P44" i="2" s="1"/>
  <c r="I53" i="18"/>
  <c r="I55" i="18" s="1"/>
  <c r="CD15" i="9"/>
  <c r="F14" i="5"/>
  <c r="P50" i="2"/>
  <c r="H68" i="4" l="1"/>
  <c r="CI11" i="9"/>
  <c r="Q345" i="2" l="1"/>
  <c r="Z13" i="3"/>
  <c r="Z86" i="3" l="1"/>
  <c r="Q396" i="2"/>
  <c r="Q325" i="2"/>
  <c r="Q39" i="2" l="1"/>
  <c r="Q40" i="2" s="1"/>
  <c r="J54" i="18" s="1"/>
  <c r="J55" i="18" s="1"/>
  <c r="Z134" i="3"/>
  <c r="N89" i="11" l="1"/>
  <c r="Z27" i="3"/>
  <c r="N95" i="11" l="1"/>
  <c r="I68" i="4"/>
  <c r="I70" i="4" l="1"/>
  <c r="Z25" i="3"/>
  <c r="Q35" i="2" l="1"/>
  <c r="Q42" i="2" s="1"/>
  <c r="Q44" i="2" s="1"/>
  <c r="Q50" i="2" l="1"/>
  <c r="G14" i="5"/>
  <c r="CI15" i="9"/>
  <c r="BT162" i="1" l="1"/>
  <c r="BO174" i="1"/>
  <c r="BO175" i="1" l="1"/>
  <c r="BT175" i="1"/>
  <c r="BO163" i="1"/>
  <c r="BF57" i="7"/>
  <c r="BP163" i="1"/>
  <c r="BO162" i="1"/>
  <c r="DA57" i="7" l="1"/>
  <c r="BK35" i="7" l="1"/>
  <c r="BK33" i="7" l="1"/>
  <c r="R78" i="2" l="1"/>
  <c r="Q193" i="2" l="1"/>
  <c r="Q60" i="2" s="1"/>
  <c r="Q386" i="2" s="1"/>
  <c r="Z80" i="3" s="1"/>
  <c r="Q190" i="2"/>
  <c r="R191" i="2" s="1"/>
  <c r="Q191" i="2" l="1"/>
  <c r="Z28" i="3"/>
  <c r="Z128" i="3" s="1"/>
  <c r="Q342" i="2"/>
  <c r="I88" i="11" l="1"/>
  <c r="H88" i="11"/>
  <c r="M88" i="11"/>
  <c r="H29" i="11"/>
  <c r="H82" i="11"/>
  <c r="I82" i="11"/>
  <c r="E24" i="11"/>
  <c r="F24" i="11"/>
  <c r="G24" i="11"/>
  <c r="C29" i="11"/>
  <c r="D29" i="11"/>
  <c r="E29" i="11"/>
  <c r="F29" i="11"/>
  <c r="I29" i="11"/>
  <c r="C50" i="11"/>
  <c r="F50" i="11"/>
  <c r="I24" i="11"/>
  <c r="J88" i="11"/>
  <c r="E50" i="11"/>
  <c r="G29" i="11"/>
  <c r="L88" i="11"/>
  <c r="J50" i="11"/>
  <c r="H50" i="11"/>
  <c r="K88" i="11"/>
  <c r="N82" i="11"/>
  <c r="M82" i="11"/>
  <c r="L82" i="11"/>
  <c r="K82" i="11"/>
  <c r="I94" i="11" l="1"/>
  <c r="M94" i="11"/>
  <c r="H94" i="11"/>
  <c r="F34" i="11"/>
  <c r="F44" i="11" s="1"/>
  <c r="E34" i="11"/>
  <c r="E44" i="11" s="1"/>
  <c r="L94" i="11"/>
  <c r="I34" i="11"/>
  <c r="I44" i="11" s="1"/>
  <c r="K94" i="11"/>
  <c r="G34" i="11"/>
  <c r="G44" i="11" s="1"/>
  <c r="I50" i="11"/>
  <c r="J82" i="11" l="1"/>
  <c r="J94" i="11" s="1"/>
  <c r="G50" i="11"/>
  <c r="D50" i="11"/>
  <c r="J29" i="11"/>
  <c r="N88" i="11" l="1"/>
  <c r="I56" i="11"/>
  <c r="J56" i="11"/>
  <c r="H56" i="11"/>
  <c r="C24" i="11"/>
  <c r="C34" i="11" s="1"/>
  <c r="C44" i="11" s="1"/>
  <c r="I62" i="11" l="1"/>
  <c r="I70" i="11" s="1"/>
  <c r="N94" i="11"/>
  <c r="D24" i="11"/>
  <c r="D34" i="11" s="1"/>
  <c r="D44" i="11" s="1"/>
  <c r="J24" i="11" l="1"/>
  <c r="J34" i="11" s="1"/>
  <c r="J44" i="11" s="1"/>
  <c r="J62" i="11" l="1"/>
  <c r="J70" i="11" s="1"/>
  <c r="O29" i="11"/>
  <c r="P29" i="11" l="1"/>
  <c r="Q29" i="11" l="1"/>
  <c r="R29" i="11" l="1"/>
  <c r="H24" i="11" l="1"/>
  <c r="H34" i="11" s="1"/>
  <c r="H44" i="11" s="1"/>
  <c r="H62" i="11" l="1"/>
  <c r="H70" i="11" s="1"/>
  <c r="O82" i="11" l="1"/>
  <c r="O88" i="11" l="1"/>
  <c r="O94" i="11" s="1"/>
  <c r="N29" i="11" l="1"/>
  <c r="T29" i="11" l="1"/>
  <c r="U29" i="11"/>
  <c r="N50" i="11" l="1"/>
  <c r="M29" i="11"/>
  <c r="T50" i="11" l="1"/>
  <c r="M50" i="11" l="1"/>
  <c r="L50" i="11" l="1"/>
  <c r="L29" i="11" l="1"/>
  <c r="K29" i="11" l="1"/>
  <c r="K50" i="11" l="1"/>
  <c r="K56" i="11" l="1"/>
  <c r="L56" i="11"/>
  <c r="M56" i="11"/>
  <c r="N56" i="11"/>
  <c r="K24" i="11" l="1"/>
  <c r="K34" i="11" s="1"/>
  <c r="K44" i="11" s="1"/>
  <c r="O50" i="11"/>
  <c r="O56" i="11" l="1"/>
  <c r="P50" i="11"/>
  <c r="P56" i="11" s="1"/>
  <c r="L24" i="11"/>
  <c r="L34" i="11" s="1"/>
  <c r="L44" i="11" s="1"/>
  <c r="L76" i="11" s="1"/>
  <c r="K62" i="11"/>
  <c r="K70" i="11" s="1"/>
  <c r="K76" i="11"/>
  <c r="M24" i="11" l="1"/>
  <c r="M34" i="11" s="1"/>
  <c r="M44" i="11" s="1"/>
  <c r="L62" i="11"/>
  <c r="L70" i="11" s="1"/>
  <c r="Q50" i="11"/>
  <c r="Q56" i="11" s="1"/>
  <c r="M76" i="11" l="1"/>
  <c r="M62" i="11"/>
  <c r="M70" i="11" s="1"/>
  <c r="N24" i="11"/>
  <c r="R50" i="11"/>
  <c r="U50" i="11" s="1"/>
  <c r="O24" i="11" l="1"/>
  <c r="O34" i="11" s="1"/>
  <c r="O44" i="11" s="1"/>
  <c r="R56" i="11"/>
  <c r="N34" i="11"/>
  <c r="T24" i="11"/>
  <c r="O62" i="11" l="1"/>
  <c r="O70" i="11" s="1"/>
  <c r="T34" i="11"/>
  <c r="N44" i="11"/>
  <c r="P24" i="11"/>
  <c r="P34" i="11" s="1"/>
  <c r="P44" i="11" s="1"/>
  <c r="P62" i="11" l="1"/>
  <c r="P70" i="11" s="1"/>
  <c r="Q24" i="11"/>
  <c r="Q34" i="11" s="1"/>
  <c r="Q44" i="11" s="1"/>
  <c r="Q62" i="11" s="1"/>
  <c r="Q70" i="11" s="1"/>
  <c r="P76" i="11"/>
  <c r="N62" i="11"/>
  <c r="N70" i="11" s="1"/>
  <c r="T44" i="11"/>
  <c r="O76" i="11"/>
  <c r="N76" i="11"/>
  <c r="Q76" i="11" l="1"/>
  <c r="R24" i="11"/>
  <c r="U24" i="11" l="1"/>
  <c r="R34" i="11"/>
  <c r="U34" i="11" l="1"/>
  <c r="R44" i="11"/>
  <c r="U44" i="11" l="1"/>
  <c r="R62" i="11"/>
  <c r="R70" i="11" s="1"/>
  <c r="R76" i="11"/>
  <c r="P88" i="11"/>
  <c r="P82" i="11"/>
  <c r="P94" i="11" l="1"/>
  <c r="R82" i="11"/>
  <c r="Q82" i="11"/>
  <c r="R88" i="11"/>
  <c r="Q88" i="11"/>
  <c r="R94" i="11" l="1"/>
  <c r="Q94" i="11"/>
  <c r="BE44" i="7" l="1"/>
  <c r="BN168" i="1"/>
  <c r="BD44" i="7"/>
  <c r="BG166" i="1" l="1"/>
  <c r="AY44" i="7"/>
  <c r="AZ44" i="7"/>
  <c r="BH166" i="1"/>
  <c r="BM166" i="1"/>
  <c r="BA44" i="7"/>
  <c r="BI166" i="1"/>
  <c r="BN166" i="1"/>
  <c r="AW44" i="7"/>
  <c r="BD166" i="1"/>
  <c r="BC166" i="1"/>
  <c r="AV44" i="7"/>
  <c r="AX44" i="7"/>
  <c r="BE168" i="1"/>
  <c r="BE166" i="1"/>
  <c r="BB168" i="1"/>
  <c r="AU44" i="7"/>
  <c r="BB166" i="1"/>
  <c r="BB169" i="1" l="1"/>
  <c r="BG168" i="1"/>
  <c r="BG169" i="1" s="1"/>
  <c r="CW44" i="7"/>
  <c r="BF167" i="1"/>
  <c r="BF166" i="1"/>
  <c r="BL166" i="1" l="1"/>
  <c r="BC44" i="7"/>
  <c r="BM168" i="1"/>
  <c r="BJ166" i="1" l="1"/>
  <c r="BB44" i="7"/>
  <c r="BJ168" i="1"/>
  <c r="BJ169" i="1" l="1"/>
  <c r="BK166" i="1"/>
  <c r="CX44" i="7"/>
  <c r="BK167" i="1"/>
  <c r="BL168" i="1"/>
  <c r="BL169" i="1" l="1"/>
  <c r="D49" i="11" l="1"/>
  <c r="E49" i="11"/>
  <c r="F49" i="11"/>
  <c r="G49" i="11"/>
  <c r="H49" i="11"/>
  <c r="J49" i="11"/>
  <c r="N49" i="11"/>
  <c r="C23" i="11"/>
  <c r="E23" i="11"/>
  <c r="F23" i="11"/>
  <c r="G23" i="11"/>
  <c r="C28" i="11"/>
  <c r="H28" i="11"/>
  <c r="H23" i="11"/>
  <c r="I23" i="11"/>
  <c r="I28" i="11"/>
  <c r="J87" i="11"/>
  <c r="J90" i="11" s="1"/>
  <c r="L81" i="11"/>
  <c r="I87" i="11"/>
  <c r="I90" i="11" s="1"/>
  <c r="E28" i="11"/>
  <c r="M87" i="11"/>
  <c r="M90" i="11" s="1"/>
  <c r="K81" i="11"/>
  <c r="N81" i="11"/>
  <c r="H81" i="11"/>
  <c r="M49" i="11"/>
  <c r="H87" i="11"/>
  <c r="H90" i="11" s="1"/>
  <c r="L87" i="11"/>
  <c r="L90" i="11" s="1"/>
  <c r="K87" i="11"/>
  <c r="K90" i="11" s="1"/>
  <c r="M81" i="11"/>
  <c r="N87" i="11"/>
  <c r="N90" i="11" s="1"/>
  <c r="F28" i="11"/>
  <c r="D28" i="11"/>
  <c r="G28" i="11"/>
  <c r="J28" i="11"/>
  <c r="K23" i="11"/>
  <c r="N28" i="11"/>
  <c r="K28" i="11"/>
  <c r="M28" i="11"/>
  <c r="L28" i="11"/>
  <c r="M23" i="11"/>
  <c r="T28" i="11" l="1"/>
  <c r="M33" i="11"/>
  <c r="M43" i="11" s="1"/>
  <c r="K33" i="11"/>
  <c r="K43" i="11" s="1"/>
  <c r="J81" i="11"/>
  <c r="N84" i="11"/>
  <c r="N96" i="11" s="1"/>
  <c r="N93" i="11"/>
  <c r="M84" i="11"/>
  <c r="M96" i="11" s="1"/>
  <c r="M93" i="11"/>
  <c r="H93" i="11"/>
  <c r="H84" i="11"/>
  <c r="H96" i="11" s="1"/>
  <c r="K84" i="11"/>
  <c r="K96" i="11" s="1"/>
  <c r="K93" i="11"/>
  <c r="I33" i="11"/>
  <c r="I43" i="11" s="1"/>
  <c r="L93" i="11"/>
  <c r="L84" i="11"/>
  <c r="L96" i="11" s="1"/>
  <c r="G33" i="11"/>
  <c r="G43" i="11" s="1"/>
  <c r="G46" i="11" s="1"/>
  <c r="C33" i="11"/>
  <c r="C43" i="11" s="1"/>
  <c r="C46" i="11" s="1"/>
  <c r="H33" i="11"/>
  <c r="H43" i="11" s="1"/>
  <c r="F33" i="11"/>
  <c r="F43" i="11" s="1"/>
  <c r="F46" i="11" s="1"/>
  <c r="E33" i="11"/>
  <c r="E43" i="11" s="1"/>
  <c r="E46" i="11" s="1"/>
  <c r="T49" i="11"/>
  <c r="L49" i="11"/>
  <c r="K49" i="11"/>
  <c r="C49" i="11"/>
  <c r="C52" i="11" s="1"/>
  <c r="I49" i="11"/>
  <c r="H52" i="11"/>
  <c r="G52" i="11"/>
  <c r="F52" i="11"/>
  <c r="E52" i="11"/>
  <c r="H55" i="11"/>
  <c r="H58" i="11" s="1"/>
  <c r="D52" i="11"/>
  <c r="N55" i="11" l="1"/>
  <c r="L55" i="11"/>
  <c r="I55" i="11"/>
  <c r="I58" i="11" s="1"/>
  <c r="D23" i="11"/>
  <c r="D33" i="11" s="1"/>
  <c r="D43" i="11" s="1"/>
  <c r="D46" i="11" s="1"/>
  <c r="J23" i="11"/>
  <c r="J33" i="11" s="1"/>
  <c r="J43" i="11" s="1"/>
  <c r="J55" i="11"/>
  <c r="K55" i="11"/>
  <c r="J93" i="11"/>
  <c r="J84" i="11"/>
  <c r="J96" i="11" s="1"/>
  <c r="L23" i="11"/>
  <c r="L33" i="11" s="1"/>
  <c r="L43" i="11" s="1"/>
  <c r="I81" i="11"/>
  <c r="M55" i="11"/>
  <c r="I52" i="11"/>
  <c r="H61" i="11"/>
  <c r="H69" i="11" s="1"/>
  <c r="I61" i="11" l="1"/>
  <c r="I69" i="11" s="1"/>
  <c r="K61" i="11"/>
  <c r="K69" i="11" s="1"/>
  <c r="M75" i="11"/>
  <c r="K75" i="11"/>
  <c r="M61" i="11"/>
  <c r="M69" i="11" s="1"/>
  <c r="L61" i="11"/>
  <c r="L69" i="11" s="1"/>
  <c r="J61" i="11"/>
  <c r="J69" i="11" s="1"/>
  <c r="L75" i="11"/>
  <c r="I84" i="11"/>
  <c r="I96" i="11" s="1"/>
  <c r="I93" i="11"/>
  <c r="N23" i="11" l="1"/>
  <c r="T23" i="11" l="1"/>
  <c r="N33" i="11"/>
  <c r="N43" i="11" l="1"/>
  <c r="T33" i="11"/>
  <c r="T43" i="11" l="1"/>
  <c r="N61" i="11"/>
  <c r="N69" i="11" s="1"/>
  <c r="N75" i="11"/>
  <c r="O28" i="11" l="1"/>
  <c r="O49" i="11" l="1"/>
  <c r="P49" i="11" l="1"/>
  <c r="P55" i="11" s="1"/>
  <c r="O55" i="11"/>
  <c r="Q49" i="11" l="1"/>
  <c r="P28" i="11" l="1"/>
  <c r="Q55" i="11"/>
  <c r="R49" i="11" l="1"/>
  <c r="O23" i="11"/>
  <c r="O33" i="11" s="1"/>
  <c r="O43" i="11" s="1"/>
  <c r="Q28" i="11"/>
  <c r="R55" i="11" l="1"/>
  <c r="U49" i="11"/>
  <c r="O75" i="11"/>
  <c r="O61" i="11"/>
  <c r="O69" i="11" s="1"/>
  <c r="R28" i="11"/>
  <c r="U28" i="11" s="1"/>
  <c r="P23" i="11" l="1"/>
  <c r="P33" i="11" s="1"/>
  <c r="P43" i="11" s="1"/>
  <c r="P61" i="11" l="1"/>
  <c r="P69" i="11" s="1"/>
  <c r="P75" i="11"/>
  <c r="O87" i="11"/>
  <c r="Q23" i="11"/>
  <c r="Q33" i="11" s="1"/>
  <c r="Q43" i="11" s="1"/>
  <c r="Q75" i="11" s="1"/>
  <c r="Q61" i="11" l="1"/>
  <c r="Q69" i="11" s="1"/>
  <c r="R23" i="11"/>
  <c r="U23" i="11" l="1"/>
  <c r="R33" i="11"/>
  <c r="R43" i="11" l="1"/>
  <c r="U33" i="11"/>
  <c r="U43" i="11" l="1"/>
  <c r="R61" i="11"/>
  <c r="R69" i="11" s="1"/>
  <c r="R75" i="11"/>
  <c r="O81" i="11"/>
  <c r="O93" i="11" l="1"/>
  <c r="P87" i="11" l="1"/>
  <c r="P81" i="11" l="1"/>
  <c r="P93" i="11" l="1"/>
  <c r="Q87" i="11" l="1"/>
  <c r="Q81" i="11" l="1"/>
  <c r="Q93" i="11" l="1"/>
  <c r="R87" i="11" l="1"/>
  <c r="R81" i="11" l="1"/>
  <c r="R93" i="11" l="1"/>
  <c r="BV393" i="1" l="1"/>
  <c r="BP47" i="1" l="1"/>
  <c r="BK47" i="1"/>
  <c r="X55" i="3" l="1"/>
  <c r="X242" i="3" s="1"/>
  <c r="O405" i="2"/>
  <c r="Y55" i="3"/>
  <c r="Y242" i="3" s="1"/>
  <c r="P405" i="2"/>
  <c r="BU47" i="1" l="1"/>
  <c r="O406" i="2"/>
  <c r="O402" i="2"/>
  <c r="P402" i="2"/>
  <c r="P406" i="2"/>
  <c r="Z55" i="3" l="1"/>
  <c r="Z242" i="3" s="1"/>
  <c r="Q405" i="2"/>
  <c r="Q402" i="2" l="1"/>
  <c r="R406" i="2"/>
  <c r="Q406" i="2"/>
  <c r="DA40" i="7" l="1"/>
  <c r="Z130" i="3"/>
  <c r="R142" i="2" l="1"/>
  <c r="S143" i="2" s="1"/>
  <c r="R79" i="2"/>
  <c r="DA51" i="7"/>
  <c r="AA33" i="3" l="1"/>
  <c r="R276" i="2"/>
  <c r="R143" i="2"/>
  <c r="R80" i="2"/>
  <c r="R18" i="2" l="1"/>
  <c r="R19" i="2" s="1"/>
  <c r="R5" i="2" l="1"/>
  <c r="R47" i="2" s="1"/>
  <c r="D701" i="21" s="1"/>
  <c r="D706" i="21" s="1"/>
  <c r="R250" i="2" l="1"/>
  <c r="R23" i="2"/>
  <c r="R7" i="2"/>
  <c r="R24" i="2" l="1"/>
  <c r="R258" i="2"/>
  <c r="R6" i="2"/>
  <c r="R263" i="2" l="1"/>
  <c r="R29" i="2"/>
  <c r="R62" i="2"/>
  <c r="AA131" i="3"/>
  <c r="R347" i="2"/>
  <c r="C132" i="11" l="1"/>
  <c r="R379" i="2"/>
  <c r="AA73" i="3" s="1"/>
  <c r="K34" i="18"/>
  <c r="K43" i="18"/>
  <c r="R9" i="2"/>
  <c r="R11" i="2" s="1"/>
  <c r="R21" i="2" s="1"/>
  <c r="R90" i="2" s="1"/>
  <c r="T57" i="27" s="1"/>
  <c r="K60" i="18" l="1"/>
  <c r="L60" i="18"/>
  <c r="K33" i="18"/>
  <c r="K42" i="18"/>
  <c r="K46" i="18" s="1"/>
  <c r="K37" i="18" l="1"/>
  <c r="K59" i="18"/>
  <c r="L59" i="18"/>
  <c r="J90" i="4"/>
  <c r="H4" i="5"/>
  <c r="R366" i="2"/>
  <c r="CN8" i="9"/>
  <c r="DA33" i="7"/>
  <c r="J92" i="4" l="1"/>
  <c r="R420" i="2"/>
  <c r="AA130" i="3" l="1"/>
  <c r="R345" i="2" l="1"/>
  <c r="AA13" i="3"/>
  <c r="R396" i="2" l="1"/>
  <c r="AA86" i="3"/>
  <c r="R325" i="2"/>
  <c r="R39" i="2" s="1"/>
  <c r="AA134" i="3" l="1"/>
  <c r="R31" i="2" l="1"/>
  <c r="R174" i="2" s="1"/>
  <c r="R175" i="2" s="1"/>
  <c r="S176" i="2" l="1"/>
  <c r="S180" i="2" s="1"/>
  <c r="R176" i="2"/>
  <c r="R180" i="2" s="1"/>
  <c r="R46" i="2"/>
  <c r="K50" i="18"/>
  <c r="R34" i="2"/>
  <c r="R193" i="2"/>
  <c r="R60" i="2" s="1"/>
  <c r="R386" i="2" s="1"/>
  <c r="AA80" i="3" s="1"/>
  <c r="R49" i="2"/>
  <c r="K13" i="18" l="1"/>
  <c r="T25" i="27"/>
  <c r="R48" i="2"/>
  <c r="D699" i="21"/>
  <c r="S50" i="2"/>
  <c r="R53" i="2"/>
  <c r="J67" i="4"/>
  <c r="K53" i="18"/>
  <c r="R35" i="2"/>
  <c r="R50" i="2"/>
  <c r="CN15" i="9"/>
  <c r="H14" i="5"/>
  <c r="AA28" i="3"/>
  <c r="AA128" i="3" s="1"/>
  <c r="R342" i="2"/>
  <c r="C131" i="11"/>
  <c r="O83" i="11"/>
  <c r="T31" i="27" l="1"/>
  <c r="T5" i="27" s="1"/>
  <c r="T13" i="27"/>
  <c r="R52" i="2"/>
  <c r="AA138" i="3"/>
  <c r="D705" i="21"/>
  <c r="D702" i="21"/>
  <c r="O84" i="11"/>
  <c r="BV87" i="1" l="1"/>
  <c r="BQ87" i="1"/>
  <c r="AG81" i="1"/>
  <c r="CA87" i="1" l="1"/>
  <c r="CA90" i="1" s="1"/>
  <c r="CA324" i="1" s="1"/>
  <c r="BV90" i="1"/>
  <c r="BV324" i="1" s="1"/>
  <c r="BV321" i="1" s="1"/>
  <c r="BV88" i="1"/>
  <c r="BQ88" i="1"/>
  <c r="BQ90" i="1"/>
  <c r="BQ324" i="1" s="1"/>
  <c r="BQ321" i="1" s="1"/>
  <c r="BQ322" i="1" s="1"/>
  <c r="BV229" i="1" l="1"/>
  <c r="BV322" i="1"/>
  <c r="BQ305" i="1"/>
  <c r="BQ229" i="1"/>
  <c r="BU321" i="1"/>
  <c r="BV305" i="1"/>
  <c r="BZ321" i="1"/>
  <c r="CA321" i="1"/>
  <c r="CA88" i="1"/>
  <c r="CA322" i="1" l="1"/>
  <c r="CF322" i="1"/>
  <c r="BZ229" i="1"/>
  <c r="BZ322" i="1"/>
  <c r="BU229" i="1"/>
  <c r="BU322" i="1"/>
  <c r="CA229" i="1"/>
  <c r="CE321" i="1"/>
  <c r="BU305" i="1"/>
  <c r="CA305" i="1"/>
  <c r="CE322" i="1" l="1"/>
  <c r="CJ322" i="1"/>
  <c r="D11" i="16"/>
  <c r="D12" i="14"/>
  <c r="AC12" i="14" s="1"/>
  <c r="CE134" i="1"/>
  <c r="CE229" i="1"/>
  <c r="CE305" i="1"/>
  <c r="CA249" i="1"/>
  <c r="R37" i="2"/>
  <c r="R309" i="2"/>
  <c r="E11" i="16" l="1"/>
  <c r="E12" i="14"/>
  <c r="CE323" i="1"/>
  <c r="R38" i="2"/>
  <c r="R40" i="2" s="1"/>
  <c r="K54" i="18" s="1"/>
  <c r="K55" i="18" s="1"/>
  <c r="T308" i="2"/>
  <c r="E13" i="14" l="1"/>
  <c r="AD12" i="14"/>
  <c r="E12" i="16"/>
  <c r="E79" i="16"/>
  <c r="R42" i="2"/>
  <c r="R44" i="2" s="1"/>
  <c r="AA27" i="3"/>
  <c r="O89" i="11"/>
  <c r="O90" i="11" l="1"/>
  <c r="O96" i="11" s="1"/>
  <c r="O95" i="11"/>
  <c r="BO35" i="7" l="1"/>
  <c r="H8" i="5"/>
  <c r="BZ17" i="1" l="1"/>
  <c r="G6" i="10"/>
  <c r="C127" i="11"/>
  <c r="C129" i="11" s="1"/>
  <c r="AA19" i="3"/>
  <c r="AA247" i="3" l="1"/>
  <c r="O25" i="11"/>
  <c r="G21" i="10" l="1"/>
  <c r="J68" i="4" l="1"/>
  <c r="AA25" i="3" l="1"/>
  <c r="BQ393" i="1"/>
  <c r="BU216" i="1"/>
  <c r="J70" i="4"/>
  <c r="G8" i="5" l="1"/>
  <c r="F8" i="5" l="1"/>
  <c r="BQ412" i="1"/>
  <c r="BZ13" i="1" l="1"/>
  <c r="BU17" i="1"/>
  <c r="F6" i="10"/>
  <c r="Z19" i="3"/>
  <c r="Z247" i="3" l="1"/>
  <c r="N25" i="11"/>
  <c r="T25" i="11" l="1"/>
  <c r="F21" i="10"/>
  <c r="C190" i="11" l="1"/>
  <c r="C161" i="11"/>
  <c r="C165" i="11" s="1"/>
  <c r="D165" i="11" s="1"/>
  <c r="C187" i="11" l="1"/>
  <c r="D187" i="11" s="1"/>
  <c r="C255" i="11"/>
  <c r="E8" i="5" l="1"/>
  <c r="BG258" i="1" l="1"/>
  <c r="BL258" i="1"/>
  <c r="BG412" i="1" l="1"/>
  <c r="BL412" i="1"/>
  <c r="BM412" i="1" l="1"/>
  <c r="BA13" i="1" l="1"/>
  <c r="B6" i="10"/>
  <c r="V19" i="3"/>
  <c r="V247" i="3" l="1"/>
  <c r="J25" i="11"/>
  <c r="B21" i="10" l="1"/>
  <c r="D8" i="5" l="1"/>
  <c r="P89" i="11" l="1"/>
  <c r="P90" i="11" s="1"/>
  <c r="Q89" i="11" l="1"/>
  <c r="Q90" i="11" s="1"/>
  <c r="R89" i="11" l="1"/>
  <c r="R90" i="11" s="1"/>
  <c r="C8" i="5" l="1"/>
  <c r="DC49" i="7" l="1"/>
  <c r="DC51" i="7" l="1"/>
  <c r="DC50" i="7"/>
  <c r="DE49" i="7" l="1"/>
  <c r="DD49" i="7"/>
  <c r="DD50" i="7"/>
  <c r="DD51" i="7"/>
  <c r="DE51" i="7" l="1"/>
  <c r="DE50" i="7"/>
  <c r="DF49" i="7"/>
  <c r="DF50" i="7" l="1"/>
  <c r="DF51" i="7"/>
  <c r="DG50" i="7" l="1"/>
  <c r="DG51" i="7"/>
  <c r="DG49" i="7"/>
  <c r="BZ134" i="1" l="1"/>
  <c r="BZ305" i="1"/>
  <c r="CE135" i="1" l="1"/>
  <c r="BZ323" i="1"/>
  <c r="BZ135" i="1"/>
  <c r="CJ219" i="1" l="1"/>
  <c r="CJ174" i="1" l="1"/>
  <c r="CO219" i="1"/>
  <c r="CO174" i="1" l="1"/>
  <c r="CO175" i="1" s="1"/>
  <c r="CO220" i="1"/>
  <c r="CP219" i="1"/>
  <c r="CQ219" i="1" l="1"/>
  <c r="CP174" i="1"/>
  <c r="CP175" i="1" s="1"/>
  <c r="CP220" i="1"/>
  <c r="CR219" i="1" l="1"/>
  <c r="CQ174" i="1"/>
  <c r="CQ175" i="1" s="1"/>
  <c r="CQ220" i="1"/>
  <c r="CS219" i="1" l="1"/>
  <c r="CR174" i="1"/>
  <c r="CR175" i="1" s="1"/>
  <c r="CR220" i="1"/>
  <c r="CT219" i="1"/>
  <c r="CS174" i="1" l="1"/>
  <c r="CS175" i="1" s="1"/>
  <c r="CS220" i="1"/>
  <c r="CT174" i="1"/>
  <c r="CT220" i="1"/>
  <c r="CT175" i="1" l="1"/>
  <c r="BZ249" i="1" l="1"/>
  <c r="BP47" i="7" l="1"/>
  <c r="BP48" i="7"/>
  <c r="BO47" i="7"/>
  <c r="BO48" i="7"/>
  <c r="BK48" i="7" l="1"/>
  <c r="BK47" i="7"/>
  <c r="BM48" i="7" l="1"/>
  <c r="BM47" i="7"/>
  <c r="BN47" i="7" l="1"/>
  <c r="BN48" i="7"/>
  <c r="BH48" i="7" l="1"/>
  <c r="BH47" i="7"/>
  <c r="BI48" i="7" l="1"/>
  <c r="BI47" i="7"/>
  <c r="BJ48" i="7" l="1"/>
  <c r="BJ47" i="7"/>
  <c r="BD48" i="7" l="1"/>
  <c r="BD47" i="7"/>
  <c r="BE48" i="7" l="1"/>
  <c r="BE47" i="7"/>
  <c r="BF48" i="7" l="1"/>
  <c r="BF47" i="7"/>
  <c r="BG48" i="7" l="1"/>
  <c r="BG47" i="7"/>
  <c r="BC47" i="7"/>
  <c r="BC48" i="7"/>
  <c r="BA47" i="7" l="1"/>
  <c r="BA48" i="7"/>
  <c r="AZ48" i="7" l="1"/>
  <c r="AZ47" i="7"/>
  <c r="BB48" i="7" l="1"/>
  <c r="BB47" i="7"/>
  <c r="AY47" i="7"/>
  <c r="AY48" i="7"/>
  <c r="C39" i="1" l="1"/>
  <c r="C46" i="1"/>
  <c r="C73" i="1"/>
  <c r="C79" i="1"/>
  <c r="C86" i="1"/>
  <c r="C93" i="1"/>
  <c r="C101" i="1"/>
  <c r="C113" i="1"/>
  <c r="C123" i="1"/>
  <c r="C131" i="1"/>
  <c r="C157" i="1"/>
  <c r="C178" i="1"/>
  <c r="C337" i="1"/>
  <c r="C364" i="1"/>
  <c r="H364" i="1" s="1"/>
  <c r="M364" i="1" s="1"/>
  <c r="R364" i="1" s="1"/>
  <c r="W364" i="1" s="1"/>
  <c r="AB364" i="1" s="1"/>
  <c r="AG364" i="1" s="1"/>
  <c r="AL364" i="1" s="1"/>
  <c r="AQ364" i="1" s="1"/>
  <c r="AV364" i="1" s="1"/>
  <c r="BA364" i="1" s="1"/>
  <c r="BF364" i="1" s="1"/>
  <c r="BK364" i="1" s="1"/>
  <c r="BP364" i="1" s="1"/>
  <c r="BU364" i="1" s="1"/>
  <c r="BZ364" i="1" s="1"/>
  <c r="C378" i="1"/>
  <c r="C417" i="1"/>
  <c r="C446" i="1"/>
  <c r="C458" i="1"/>
  <c r="D39" i="1"/>
  <c r="E39" i="1"/>
  <c r="F39" i="1"/>
  <c r="G39"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I39" i="1"/>
  <c r="AJ39" i="1"/>
  <c r="AK39" i="1"/>
  <c r="AL39" i="1"/>
  <c r="AM39" i="1"/>
  <c r="AN39" i="1"/>
  <c r="AO39" i="1"/>
  <c r="AP39" i="1"/>
  <c r="AQ39" i="1"/>
  <c r="AR39" i="1"/>
  <c r="AS39" i="1"/>
  <c r="AT39" i="1"/>
  <c r="AU39" i="1"/>
  <c r="AV39" i="1"/>
  <c r="AW39" i="1"/>
  <c r="AX39" i="1"/>
  <c r="AY39" i="1"/>
  <c r="AZ39" i="1"/>
  <c r="BA39" i="1"/>
  <c r="BB39" i="1"/>
  <c r="BC39" i="1"/>
  <c r="BD39" i="1"/>
  <c r="BE39" i="1"/>
  <c r="BF39" i="1"/>
  <c r="BG39" i="1"/>
  <c r="BH39" i="1"/>
  <c r="BI39" i="1"/>
  <c r="BJ39" i="1"/>
  <c r="BK39" i="1"/>
  <c r="BL39" i="1"/>
  <c r="BM39" i="1"/>
  <c r="BN39" i="1"/>
  <c r="BO39" i="1"/>
  <c r="BP39" i="1"/>
  <c r="BQ39" i="1"/>
  <c r="BR39" i="1"/>
  <c r="BS39" i="1"/>
  <c r="BT39" i="1"/>
  <c r="BU39" i="1"/>
  <c r="BV39" i="1"/>
  <c r="BW39" i="1"/>
  <c r="BX39" i="1"/>
  <c r="BY39" i="1"/>
  <c r="BZ39" i="1"/>
  <c r="CA39" i="1"/>
  <c r="CB39" i="1"/>
  <c r="CJ39" i="1"/>
  <c r="CO39" i="1"/>
  <c r="CP39" i="1"/>
  <c r="CQ39" i="1"/>
  <c r="CR39" i="1"/>
  <c r="CS39" i="1"/>
  <c r="CT39" i="1"/>
  <c r="D46" i="1"/>
  <c r="E46" i="1"/>
  <c r="F46" i="1"/>
  <c r="G46" i="1"/>
  <c r="H46" i="1"/>
  <c r="I46" i="1"/>
  <c r="J46" i="1"/>
  <c r="K46" i="1"/>
  <c r="L46" i="1"/>
  <c r="M46" i="1"/>
  <c r="N46" i="1"/>
  <c r="O46" i="1"/>
  <c r="P46" i="1"/>
  <c r="Q46" i="1"/>
  <c r="R46" i="1"/>
  <c r="S46" i="1"/>
  <c r="T46" i="1"/>
  <c r="U46" i="1"/>
  <c r="V46" i="1"/>
  <c r="W46" i="1"/>
  <c r="X46" i="1"/>
  <c r="Y46" i="1"/>
  <c r="Z46" i="1"/>
  <c r="AA46" i="1"/>
  <c r="AB46" i="1"/>
  <c r="AC46" i="1"/>
  <c r="AD46" i="1"/>
  <c r="AE46" i="1"/>
  <c r="AF46" i="1"/>
  <c r="AG46" i="1"/>
  <c r="AH46" i="1"/>
  <c r="AI46" i="1"/>
  <c r="AJ46" i="1"/>
  <c r="AK46" i="1"/>
  <c r="AL46" i="1"/>
  <c r="AM46" i="1"/>
  <c r="AN46" i="1"/>
  <c r="AO46" i="1"/>
  <c r="AP46" i="1"/>
  <c r="AQ46" i="1"/>
  <c r="AR46" i="1"/>
  <c r="AS46" i="1"/>
  <c r="AT46" i="1"/>
  <c r="AU46" i="1"/>
  <c r="AV46" i="1"/>
  <c r="AW46" i="1"/>
  <c r="AX46" i="1"/>
  <c r="AY46" i="1"/>
  <c r="AZ46" i="1"/>
  <c r="BA46" i="1"/>
  <c r="BB46" i="1"/>
  <c r="BC46" i="1"/>
  <c r="BD46" i="1"/>
  <c r="BE46" i="1"/>
  <c r="BF46" i="1"/>
  <c r="BG46" i="1"/>
  <c r="BH46" i="1"/>
  <c r="BI46" i="1"/>
  <c r="BJ46" i="1"/>
  <c r="BK46" i="1"/>
  <c r="BL46" i="1"/>
  <c r="BM46" i="1"/>
  <c r="BN46" i="1"/>
  <c r="BO46" i="1"/>
  <c r="BP46" i="1"/>
  <c r="BQ46" i="1"/>
  <c r="BR46" i="1"/>
  <c r="BS46" i="1"/>
  <c r="BT46" i="1"/>
  <c r="BU46" i="1"/>
  <c r="BV46" i="1"/>
  <c r="BW46" i="1"/>
  <c r="BX46" i="1"/>
  <c r="BY46" i="1"/>
  <c r="BZ46" i="1"/>
  <c r="CA46" i="1"/>
  <c r="CB46" i="1"/>
  <c r="CJ46" i="1"/>
  <c r="CO46" i="1"/>
  <c r="CP46" i="1"/>
  <c r="CQ46" i="1"/>
  <c r="CR46" i="1"/>
  <c r="CS46" i="1"/>
  <c r="CT46" i="1"/>
  <c r="D73" i="1"/>
  <c r="E73" i="1"/>
  <c r="F73" i="1"/>
  <c r="G73" i="1"/>
  <c r="H73" i="1"/>
  <c r="I73" i="1"/>
  <c r="J73" i="1"/>
  <c r="K73" i="1"/>
  <c r="L73" i="1"/>
  <c r="M73" i="1"/>
  <c r="N73" i="1"/>
  <c r="O73" i="1"/>
  <c r="P73" i="1"/>
  <c r="Q73" i="1"/>
  <c r="R73" i="1"/>
  <c r="S73" i="1"/>
  <c r="T73" i="1"/>
  <c r="U73" i="1"/>
  <c r="V73" i="1"/>
  <c r="W73" i="1"/>
  <c r="X73" i="1"/>
  <c r="Y73" i="1"/>
  <c r="Z73" i="1"/>
  <c r="AA73" i="1"/>
  <c r="AB73" i="1"/>
  <c r="AC73" i="1"/>
  <c r="AD73" i="1"/>
  <c r="AE73" i="1"/>
  <c r="AF73" i="1"/>
  <c r="AG73" i="1"/>
  <c r="AH73" i="1"/>
  <c r="AI73" i="1"/>
  <c r="AJ73" i="1"/>
  <c r="AK73" i="1"/>
  <c r="AL73" i="1"/>
  <c r="AM73" i="1"/>
  <c r="AN73" i="1"/>
  <c r="AO73" i="1"/>
  <c r="AP73" i="1"/>
  <c r="AQ73" i="1"/>
  <c r="AR73" i="1"/>
  <c r="AS73" i="1"/>
  <c r="AT73" i="1"/>
  <c r="AU73" i="1"/>
  <c r="AV73" i="1"/>
  <c r="AW73" i="1"/>
  <c r="AX73" i="1"/>
  <c r="AY73" i="1"/>
  <c r="AZ73" i="1"/>
  <c r="BA73" i="1"/>
  <c r="BB73" i="1"/>
  <c r="BC73" i="1"/>
  <c r="BD73" i="1"/>
  <c r="BE73" i="1"/>
  <c r="BF73" i="1"/>
  <c r="BG73" i="1"/>
  <c r="BH73" i="1"/>
  <c r="BI73" i="1"/>
  <c r="BJ73" i="1"/>
  <c r="BK73" i="1"/>
  <c r="BL73" i="1"/>
  <c r="BM73" i="1"/>
  <c r="BN73" i="1"/>
  <c r="BO73" i="1"/>
  <c r="BP73" i="1"/>
  <c r="BQ73" i="1"/>
  <c r="BR73" i="1"/>
  <c r="BS73" i="1"/>
  <c r="BT73" i="1"/>
  <c r="BU73" i="1"/>
  <c r="BV73" i="1"/>
  <c r="BW73" i="1"/>
  <c r="BX73" i="1"/>
  <c r="BY73" i="1"/>
  <c r="BZ73" i="1"/>
  <c r="CA73" i="1"/>
  <c r="CB73" i="1"/>
  <c r="CJ73" i="1"/>
  <c r="CO73" i="1"/>
  <c r="CP73" i="1"/>
  <c r="CQ73" i="1"/>
  <c r="CR73" i="1"/>
  <c r="CS73" i="1"/>
  <c r="CT73" i="1"/>
  <c r="D79" i="1"/>
  <c r="E79" i="1"/>
  <c r="F79" i="1"/>
  <c r="G79" i="1"/>
  <c r="H79" i="1"/>
  <c r="I79" i="1"/>
  <c r="J79" i="1"/>
  <c r="K79" i="1"/>
  <c r="L79" i="1"/>
  <c r="M79" i="1"/>
  <c r="N79" i="1"/>
  <c r="O79" i="1"/>
  <c r="P79" i="1"/>
  <c r="Q79" i="1"/>
  <c r="R79" i="1"/>
  <c r="S79" i="1"/>
  <c r="T79" i="1"/>
  <c r="U79" i="1"/>
  <c r="V79" i="1"/>
  <c r="W79" i="1"/>
  <c r="X79" i="1"/>
  <c r="Y79" i="1"/>
  <c r="Z79" i="1"/>
  <c r="AA79" i="1"/>
  <c r="AB79" i="1"/>
  <c r="AC79" i="1"/>
  <c r="AD79" i="1"/>
  <c r="AE79" i="1"/>
  <c r="AF79" i="1"/>
  <c r="AG79" i="1"/>
  <c r="AH79" i="1"/>
  <c r="AI79" i="1"/>
  <c r="AJ79" i="1"/>
  <c r="AK79" i="1"/>
  <c r="AL79" i="1"/>
  <c r="AM79" i="1"/>
  <c r="AN79" i="1"/>
  <c r="AO79" i="1"/>
  <c r="AP79" i="1"/>
  <c r="AQ79" i="1"/>
  <c r="AR79" i="1"/>
  <c r="AS79" i="1"/>
  <c r="AT79" i="1"/>
  <c r="AU79" i="1"/>
  <c r="AV79" i="1"/>
  <c r="AW79" i="1"/>
  <c r="AX79" i="1"/>
  <c r="AY79" i="1"/>
  <c r="AZ79" i="1"/>
  <c r="BA79" i="1"/>
  <c r="BB79" i="1"/>
  <c r="BC79" i="1"/>
  <c r="BD79" i="1"/>
  <c r="BE79" i="1"/>
  <c r="BF79" i="1"/>
  <c r="BG79" i="1"/>
  <c r="BH79" i="1"/>
  <c r="BI79" i="1"/>
  <c r="BJ79" i="1"/>
  <c r="BK79" i="1"/>
  <c r="BL79" i="1"/>
  <c r="BM79" i="1"/>
  <c r="BN79" i="1"/>
  <c r="BO79" i="1"/>
  <c r="BP79" i="1"/>
  <c r="BQ79" i="1"/>
  <c r="BR79" i="1"/>
  <c r="BS79" i="1"/>
  <c r="BT79" i="1"/>
  <c r="BU79" i="1"/>
  <c r="BV79" i="1"/>
  <c r="BW79" i="1"/>
  <c r="BX79" i="1"/>
  <c r="BY79" i="1"/>
  <c r="BZ79" i="1"/>
  <c r="CA79" i="1"/>
  <c r="CB79" i="1"/>
  <c r="CO79" i="1"/>
  <c r="CP79" i="1"/>
  <c r="CQ79" i="1"/>
  <c r="CR79" i="1"/>
  <c r="CS79" i="1"/>
  <c r="CT79" i="1"/>
  <c r="D86" i="1"/>
  <c r="E86" i="1"/>
  <c r="F86" i="1"/>
  <c r="G86" i="1"/>
  <c r="H86" i="1"/>
  <c r="I86" i="1"/>
  <c r="J86" i="1"/>
  <c r="K86" i="1"/>
  <c r="L86" i="1"/>
  <c r="M86" i="1"/>
  <c r="N86" i="1"/>
  <c r="O86" i="1"/>
  <c r="P86" i="1"/>
  <c r="Q86" i="1"/>
  <c r="R86" i="1"/>
  <c r="S86" i="1"/>
  <c r="T86" i="1"/>
  <c r="U86" i="1"/>
  <c r="V86" i="1"/>
  <c r="W86" i="1"/>
  <c r="X86" i="1"/>
  <c r="Y86" i="1"/>
  <c r="Z86" i="1"/>
  <c r="AA86" i="1"/>
  <c r="AB86" i="1"/>
  <c r="AC86" i="1"/>
  <c r="AD86" i="1"/>
  <c r="AE86" i="1"/>
  <c r="AF86" i="1"/>
  <c r="AG86" i="1"/>
  <c r="AH86" i="1"/>
  <c r="AI86" i="1"/>
  <c r="AJ86" i="1"/>
  <c r="AK86" i="1"/>
  <c r="AL86" i="1"/>
  <c r="AM86" i="1"/>
  <c r="AN86" i="1"/>
  <c r="AO86" i="1"/>
  <c r="AP86" i="1"/>
  <c r="AQ86" i="1"/>
  <c r="AR86" i="1"/>
  <c r="AS86" i="1"/>
  <c r="AT86" i="1"/>
  <c r="AU86" i="1"/>
  <c r="AV86" i="1"/>
  <c r="AW86" i="1"/>
  <c r="AX86" i="1"/>
  <c r="AY86" i="1"/>
  <c r="AZ86" i="1"/>
  <c r="BA86" i="1"/>
  <c r="BB86" i="1"/>
  <c r="BC86" i="1"/>
  <c r="BD86" i="1"/>
  <c r="BE86" i="1"/>
  <c r="BF86" i="1"/>
  <c r="BG86" i="1"/>
  <c r="BH86" i="1"/>
  <c r="BI86" i="1"/>
  <c r="BJ86" i="1"/>
  <c r="BK86" i="1"/>
  <c r="BL86" i="1"/>
  <c r="BM86" i="1"/>
  <c r="BN86" i="1"/>
  <c r="BO86" i="1"/>
  <c r="BP86" i="1"/>
  <c r="BQ86" i="1"/>
  <c r="BR86" i="1"/>
  <c r="BS86" i="1"/>
  <c r="BT86" i="1"/>
  <c r="BU86" i="1"/>
  <c r="BV86" i="1"/>
  <c r="BW86" i="1"/>
  <c r="BX86" i="1"/>
  <c r="BY86" i="1"/>
  <c r="BZ86" i="1"/>
  <c r="CA86" i="1"/>
  <c r="CB86" i="1"/>
  <c r="CO86" i="1"/>
  <c r="CP86" i="1"/>
  <c r="CQ86" i="1"/>
  <c r="CR86" i="1"/>
  <c r="CS86" i="1"/>
  <c r="CT86" i="1"/>
  <c r="D93" i="1"/>
  <c r="E93" i="1"/>
  <c r="F93" i="1"/>
  <c r="G93" i="1"/>
  <c r="H93" i="1"/>
  <c r="I93" i="1"/>
  <c r="J93" i="1"/>
  <c r="K93" i="1"/>
  <c r="L93" i="1"/>
  <c r="M93" i="1"/>
  <c r="N93" i="1"/>
  <c r="O93" i="1"/>
  <c r="P93" i="1"/>
  <c r="Q93" i="1"/>
  <c r="R93" i="1"/>
  <c r="S93" i="1"/>
  <c r="T93" i="1"/>
  <c r="U93" i="1"/>
  <c r="V93" i="1"/>
  <c r="W93" i="1"/>
  <c r="X93" i="1"/>
  <c r="Y93" i="1"/>
  <c r="Z93" i="1"/>
  <c r="AA93" i="1"/>
  <c r="AB93" i="1"/>
  <c r="AC93" i="1"/>
  <c r="AD93" i="1"/>
  <c r="AE93" i="1"/>
  <c r="AF93" i="1"/>
  <c r="AG93" i="1"/>
  <c r="AH93" i="1"/>
  <c r="AI93" i="1"/>
  <c r="AJ93" i="1"/>
  <c r="AK93" i="1"/>
  <c r="AL93" i="1"/>
  <c r="AM93" i="1"/>
  <c r="AN93" i="1"/>
  <c r="AO93" i="1"/>
  <c r="AP93" i="1"/>
  <c r="AQ93" i="1"/>
  <c r="AR93" i="1"/>
  <c r="AS93" i="1"/>
  <c r="AT93" i="1"/>
  <c r="AU93" i="1"/>
  <c r="AV93" i="1"/>
  <c r="AW93" i="1"/>
  <c r="AX93" i="1"/>
  <c r="AY93" i="1"/>
  <c r="AZ93" i="1"/>
  <c r="BA93" i="1"/>
  <c r="BB93" i="1"/>
  <c r="BC93" i="1"/>
  <c r="BD93" i="1"/>
  <c r="BE93" i="1"/>
  <c r="BF93" i="1"/>
  <c r="BG93" i="1"/>
  <c r="BH93" i="1"/>
  <c r="BI93" i="1"/>
  <c r="BJ93" i="1"/>
  <c r="BK93" i="1"/>
  <c r="BL93" i="1"/>
  <c r="BM93" i="1"/>
  <c r="BN93" i="1"/>
  <c r="BO93" i="1"/>
  <c r="BP93" i="1"/>
  <c r="BQ93" i="1"/>
  <c r="BR93" i="1"/>
  <c r="BS93" i="1"/>
  <c r="BT93" i="1"/>
  <c r="BU93" i="1"/>
  <c r="BV93" i="1"/>
  <c r="BW93" i="1"/>
  <c r="BX93" i="1"/>
  <c r="BY93" i="1"/>
  <c r="BZ93" i="1"/>
  <c r="CA93" i="1"/>
  <c r="CB93" i="1"/>
  <c r="CO93" i="1"/>
  <c r="CP93" i="1"/>
  <c r="CQ93" i="1"/>
  <c r="CR93" i="1"/>
  <c r="CS93" i="1"/>
  <c r="CT93" i="1"/>
  <c r="D101" i="1"/>
  <c r="E101" i="1"/>
  <c r="F101" i="1"/>
  <c r="G101" i="1"/>
  <c r="H101" i="1"/>
  <c r="I101" i="1"/>
  <c r="J101" i="1"/>
  <c r="K101" i="1"/>
  <c r="L101" i="1"/>
  <c r="M101" i="1"/>
  <c r="N101" i="1"/>
  <c r="O101" i="1"/>
  <c r="P101" i="1"/>
  <c r="Q101" i="1"/>
  <c r="R101" i="1"/>
  <c r="S101" i="1"/>
  <c r="T101" i="1"/>
  <c r="U101" i="1"/>
  <c r="V101" i="1"/>
  <c r="W101" i="1"/>
  <c r="X101" i="1"/>
  <c r="Y101" i="1"/>
  <c r="Z101" i="1"/>
  <c r="AA101" i="1"/>
  <c r="AB101" i="1"/>
  <c r="AC101" i="1"/>
  <c r="AD101" i="1"/>
  <c r="AE101" i="1"/>
  <c r="AF101" i="1"/>
  <c r="AG101" i="1"/>
  <c r="AH101" i="1"/>
  <c r="AI101" i="1"/>
  <c r="AJ101" i="1"/>
  <c r="AK101" i="1"/>
  <c r="AL101" i="1"/>
  <c r="AM101" i="1"/>
  <c r="AN101" i="1"/>
  <c r="AO101" i="1"/>
  <c r="AP101" i="1"/>
  <c r="AQ101" i="1"/>
  <c r="AR101" i="1"/>
  <c r="AS101" i="1"/>
  <c r="AT101" i="1"/>
  <c r="AU101" i="1"/>
  <c r="AV101" i="1"/>
  <c r="AW101" i="1"/>
  <c r="AX101" i="1"/>
  <c r="AY101" i="1"/>
  <c r="AZ101" i="1"/>
  <c r="BA101" i="1"/>
  <c r="BB101" i="1"/>
  <c r="BC101" i="1"/>
  <c r="BD101" i="1"/>
  <c r="BE101" i="1"/>
  <c r="BF101" i="1"/>
  <c r="BG101" i="1"/>
  <c r="BH101" i="1"/>
  <c r="BI101" i="1"/>
  <c r="BJ101" i="1"/>
  <c r="BK101" i="1"/>
  <c r="BL101" i="1"/>
  <c r="BM101" i="1"/>
  <c r="BN101" i="1"/>
  <c r="BO101" i="1"/>
  <c r="BP101" i="1"/>
  <c r="BQ101" i="1"/>
  <c r="BR101" i="1"/>
  <c r="BS101" i="1"/>
  <c r="BT101" i="1"/>
  <c r="BU101" i="1"/>
  <c r="BV101" i="1"/>
  <c r="BW101" i="1"/>
  <c r="BX101" i="1"/>
  <c r="BY101" i="1"/>
  <c r="BZ101" i="1"/>
  <c r="CA101" i="1"/>
  <c r="CB101" i="1"/>
  <c r="CJ101" i="1"/>
  <c r="CO101" i="1"/>
  <c r="CP101" i="1"/>
  <c r="CQ101" i="1"/>
  <c r="CR101" i="1"/>
  <c r="CS101" i="1"/>
  <c r="CT101" i="1"/>
  <c r="D113" i="1"/>
  <c r="E113" i="1"/>
  <c r="F113" i="1"/>
  <c r="G113" i="1"/>
  <c r="H113" i="1"/>
  <c r="I113" i="1"/>
  <c r="J113" i="1"/>
  <c r="K113" i="1"/>
  <c r="L113" i="1"/>
  <c r="M113" i="1"/>
  <c r="N113" i="1"/>
  <c r="O113" i="1"/>
  <c r="P113" i="1"/>
  <c r="Q113" i="1"/>
  <c r="R113" i="1"/>
  <c r="S113" i="1"/>
  <c r="T113" i="1"/>
  <c r="U113" i="1"/>
  <c r="V113" i="1"/>
  <c r="W113" i="1"/>
  <c r="X113" i="1"/>
  <c r="Y113" i="1"/>
  <c r="Z113" i="1"/>
  <c r="AA113" i="1"/>
  <c r="AB113" i="1"/>
  <c r="AC113" i="1"/>
  <c r="AD113" i="1"/>
  <c r="AE113" i="1"/>
  <c r="AF113" i="1"/>
  <c r="AG113" i="1"/>
  <c r="AH113" i="1"/>
  <c r="AI113" i="1"/>
  <c r="AJ113" i="1"/>
  <c r="AK113" i="1"/>
  <c r="AL113" i="1"/>
  <c r="AM113" i="1"/>
  <c r="AN113" i="1"/>
  <c r="AO113" i="1"/>
  <c r="AP113" i="1"/>
  <c r="AQ113" i="1"/>
  <c r="AR113" i="1"/>
  <c r="AS113" i="1"/>
  <c r="AT113" i="1"/>
  <c r="AU113" i="1"/>
  <c r="AV113" i="1"/>
  <c r="AW113" i="1"/>
  <c r="AX113" i="1"/>
  <c r="AY113" i="1"/>
  <c r="AZ113" i="1"/>
  <c r="BA113" i="1"/>
  <c r="BB113" i="1"/>
  <c r="BC113" i="1"/>
  <c r="BD113" i="1"/>
  <c r="BE113" i="1"/>
  <c r="BF113" i="1"/>
  <c r="BG113" i="1"/>
  <c r="BH113" i="1"/>
  <c r="BI113" i="1"/>
  <c r="BJ113" i="1"/>
  <c r="BK113" i="1"/>
  <c r="BL113" i="1"/>
  <c r="BM113" i="1"/>
  <c r="BN113" i="1"/>
  <c r="BO113" i="1"/>
  <c r="BP113" i="1"/>
  <c r="BQ113" i="1"/>
  <c r="BR113" i="1"/>
  <c r="BS113" i="1"/>
  <c r="BT113" i="1"/>
  <c r="BU113" i="1"/>
  <c r="BV113" i="1"/>
  <c r="BW113" i="1"/>
  <c r="BX113" i="1"/>
  <c r="BY113" i="1"/>
  <c r="BZ113" i="1"/>
  <c r="CA113" i="1"/>
  <c r="CB113" i="1"/>
  <c r="CJ113" i="1"/>
  <c r="CO113" i="1"/>
  <c r="CP113" i="1"/>
  <c r="CQ113" i="1"/>
  <c r="CR113" i="1"/>
  <c r="CS113" i="1"/>
  <c r="CT113" i="1"/>
  <c r="D123" i="1"/>
  <c r="E123" i="1"/>
  <c r="F123" i="1"/>
  <c r="G123" i="1"/>
  <c r="H123" i="1"/>
  <c r="I123" i="1"/>
  <c r="J123" i="1"/>
  <c r="K123" i="1"/>
  <c r="L123" i="1"/>
  <c r="M123" i="1"/>
  <c r="N123" i="1"/>
  <c r="O123" i="1"/>
  <c r="P123" i="1"/>
  <c r="Q123" i="1"/>
  <c r="R123" i="1"/>
  <c r="S123" i="1"/>
  <c r="T123" i="1"/>
  <c r="U123" i="1"/>
  <c r="V123" i="1"/>
  <c r="W123" i="1"/>
  <c r="X123" i="1"/>
  <c r="Y123" i="1"/>
  <c r="Z123" i="1"/>
  <c r="AA123" i="1"/>
  <c r="AB123" i="1"/>
  <c r="AC123" i="1"/>
  <c r="AD123" i="1"/>
  <c r="AE123" i="1"/>
  <c r="AF123" i="1"/>
  <c r="AG123" i="1"/>
  <c r="AH123" i="1"/>
  <c r="AI123" i="1"/>
  <c r="AJ123" i="1"/>
  <c r="AK123" i="1"/>
  <c r="AL123" i="1"/>
  <c r="AM123" i="1"/>
  <c r="AN123" i="1"/>
  <c r="AO123" i="1"/>
  <c r="AP123" i="1"/>
  <c r="AQ123" i="1"/>
  <c r="AR123" i="1"/>
  <c r="AS123" i="1"/>
  <c r="AT123" i="1"/>
  <c r="AU123" i="1"/>
  <c r="AV123" i="1"/>
  <c r="AW123" i="1"/>
  <c r="AX123" i="1"/>
  <c r="AY123" i="1"/>
  <c r="AZ123" i="1"/>
  <c r="BA123" i="1"/>
  <c r="BB123" i="1"/>
  <c r="BC123" i="1"/>
  <c r="BD123" i="1"/>
  <c r="BE123" i="1"/>
  <c r="BF123" i="1"/>
  <c r="BG123" i="1"/>
  <c r="BH123" i="1"/>
  <c r="BI123" i="1"/>
  <c r="BJ123" i="1"/>
  <c r="BK123" i="1"/>
  <c r="BL123" i="1"/>
  <c r="BM123" i="1"/>
  <c r="BN123" i="1"/>
  <c r="BO123" i="1"/>
  <c r="BP123" i="1"/>
  <c r="BQ123" i="1"/>
  <c r="BR123" i="1"/>
  <c r="BS123" i="1"/>
  <c r="BT123" i="1"/>
  <c r="BU123" i="1"/>
  <c r="BV123" i="1"/>
  <c r="BW123" i="1"/>
  <c r="BX123" i="1"/>
  <c r="BY123" i="1"/>
  <c r="BZ123" i="1"/>
  <c r="CA123" i="1"/>
  <c r="CB123" i="1"/>
  <c r="CJ123" i="1"/>
  <c r="CO123" i="1"/>
  <c r="CP123" i="1"/>
  <c r="CQ123" i="1"/>
  <c r="CR123" i="1"/>
  <c r="CS123" i="1"/>
  <c r="CT123" i="1"/>
  <c r="D131" i="1"/>
  <c r="E131" i="1"/>
  <c r="F131" i="1"/>
  <c r="G131" i="1"/>
  <c r="H131" i="1"/>
  <c r="I131" i="1"/>
  <c r="J131" i="1"/>
  <c r="K131" i="1"/>
  <c r="L131" i="1"/>
  <c r="M131" i="1"/>
  <c r="N131" i="1"/>
  <c r="O131" i="1"/>
  <c r="P131" i="1"/>
  <c r="Q131" i="1"/>
  <c r="R131" i="1"/>
  <c r="S131" i="1"/>
  <c r="T131" i="1"/>
  <c r="U131" i="1"/>
  <c r="V131" i="1"/>
  <c r="W131" i="1"/>
  <c r="X131" i="1"/>
  <c r="Y131" i="1"/>
  <c r="Z131" i="1"/>
  <c r="AA131" i="1"/>
  <c r="AB131" i="1"/>
  <c r="AC131" i="1"/>
  <c r="AD131" i="1"/>
  <c r="AE131" i="1"/>
  <c r="AF131" i="1"/>
  <c r="AG131" i="1"/>
  <c r="AH131" i="1"/>
  <c r="AI131" i="1"/>
  <c r="AJ131" i="1"/>
  <c r="AK131" i="1"/>
  <c r="AL131" i="1"/>
  <c r="AM131" i="1"/>
  <c r="AN131" i="1"/>
  <c r="AO131" i="1"/>
  <c r="AP131" i="1"/>
  <c r="AQ131" i="1"/>
  <c r="AR131" i="1"/>
  <c r="AS131" i="1"/>
  <c r="AT131" i="1"/>
  <c r="AU131" i="1"/>
  <c r="AV131" i="1"/>
  <c r="AW131" i="1"/>
  <c r="AX131" i="1"/>
  <c r="AY131" i="1"/>
  <c r="AZ131" i="1"/>
  <c r="BA131" i="1"/>
  <c r="BB131" i="1"/>
  <c r="BC131" i="1"/>
  <c r="BD131" i="1"/>
  <c r="BE131" i="1"/>
  <c r="BF131" i="1"/>
  <c r="BG131" i="1"/>
  <c r="BH131" i="1"/>
  <c r="BI131" i="1"/>
  <c r="BJ131" i="1"/>
  <c r="BK131" i="1"/>
  <c r="BL131" i="1"/>
  <c r="BM131" i="1"/>
  <c r="BN131" i="1"/>
  <c r="BO131" i="1"/>
  <c r="BP131" i="1"/>
  <c r="BQ131" i="1"/>
  <c r="BR131" i="1"/>
  <c r="BS131" i="1"/>
  <c r="BT131" i="1"/>
  <c r="BU131" i="1"/>
  <c r="BV131" i="1"/>
  <c r="BW131" i="1"/>
  <c r="BX131" i="1"/>
  <c r="BY131" i="1"/>
  <c r="BZ131" i="1"/>
  <c r="CA131" i="1"/>
  <c r="CB131" i="1"/>
  <c r="CJ131" i="1"/>
  <c r="CO131" i="1"/>
  <c r="CP131" i="1"/>
  <c r="CQ131" i="1"/>
  <c r="CR131" i="1"/>
  <c r="CS131" i="1"/>
  <c r="CT131" i="1"/>
  <c r="D157" i="1"/>
  <c r="E157" i="1"/>
  <c r="F157" i="1"/>
  <c r="G157" i="1"/>
  <c r="H157" i="1"/>
  <c r="I157" i="1"/>
  <c r="J157" i="1"/>
  <c r="K157" i="1"/>
  <c r="L157" i="1"/>
  <c r="M157" i="1"/>
  <c r="N157" i="1"/>
  <c r="O157" i="1"/>
  <c r="P157" i="1"/>
  <c r="Q157" i="1"/>
  <c r="R157" i="1"/>
  <c r="S157" i="1"/>
  <c r="T157" i="1"/>
  <c r="U157" i="1"/>
  <c r="V157" i="1"/>
  <c r="W157" i="1"/>
  <c r="X157" i="1"/>
  <c r="Y157" i="1"/>
  <c r="Z157" i="1"/>
  <c r="AA157" i="1"/>
  <c r="AB157" i="1"/>
  <c r="AC157" i="1"/>
  <c r="AD157" i="1"/>
  <c r="AE157" i="1"/>
  <c r="AF157" i="1"/>
  <c r="AG157" i="1"/>
  <c r="AH157" i="1"/>
  <c r="AI157" i="1"/>
  <c r="AJ157" i="1"/>
  <c r="AK157" i="1"/>
  <c r="AL157" i="1"/>
  <c r="AM157" i="1"/>
  <c r="AN157" i="1"/>
  <c r="AO157" i="1"/>
  <c r="AP157" i="1"/>
  <c r="AQ157" i="1"/>
  <c r="AR157" i="1"/>
  <c r="AS157" i="1"/>
  <c r="AT157" i="1"/>
  <c r="AU157" i="1"/>
  <c r="AV157" i="1"/>
  <c r="AW157" i="1"/>
  <c r="AX157" i="1"/>
  <c r="AY157" i="1"/>
  <c r="AZ157" i="1"/>
  <c r="BA157" i="1"/>
  <c r="BB157" i="1"/>
  <c r="BC157" i="1"/>
  <c r="BD157" i="1"/>
  <c r="BE157" i="1"/>
  <c r="BF157" i="1"/>
  <c r="BG157" i="1"/>
  <c r="BH157" i="1"/>
  <c r="BI157" i="1"/>
  <c r="BJ157" i="1"/>
  <c r="BK157" i="1"/>
  <c r="BL157" i="1"/>
  <c r="BM157" i="1"/>
  <c r="BN157" i="1"/>
  <c r="BO157" i="1"/>
  <c r="BP157" i="1"/>
  <c r="BQ157" i="1"/>
  <c r="BR157" i="1"/>
  <c r="BS157" i="1"/>
  <c r="BT157" i="1"/>
  <c r="BU157" i="1"/>
  <c r="BV157" i="1"/>
  <c r="BW157" i="1"/>
  <c r="BX157" i="1"/>
  <c r="BY157" i="1"/>
  <c r="BZ157" i="1"/>
  <c r="CA157" i="1"/>
  <c r="CB157" i="1"/>
  <c r="CJ157" i="1"/>
  <c r="CO157" i="1"/>
  <c r="CP157" i="1"/>
  <c r="CQ157" i="1"/>
  <c r="CR157" i="1"/>
  <c r="CS157" i="1"/>
  <c r="CT157" i="1"/>
  <c r="D178" i="1"/>
  <c r="E178" i="1"/>
  <c r="F178" i="1"/>
  <c r="G178" i="1"/>
  <c r="H178" i="1"/>
  <c r="I178" i="1"/>
  <c r="J178" i="1"/>
  <c r="K178" i="1"/>
  <c r="L178" i="1"/>
  <c r="M178" i="1"/>
  <c r="N178" i="1"/>
  <c r="O178" i="1"/>
  <c r="P178" i="1"/>
  <c r="Q178" i="1"/>
  <c r="R178" i="1"/>
  <c r="S178" i="1"/>
  <c r="T178" i="1"/>
  <c r="U178" i="1"/>
  <c r="V178" i="1"/>
  <c r="W178" i="1"/>
  <c r="X178" i="1"/>
  <c r="Y178" i="1"/>
  <c r="Z178" i="1"/>
  <c r="AA178" i="1"/>
  <c r="AB178" i="1"/>
  <c r="AC178" i="1"/>
  <c r="AD178" i="1"/>
  <c r="AE178" i="1"/>
  <c r="AF178" i="1"/>
  <c r="AG178" i="1"/>
  <c r="AH178" i="1"/>
  <c r="AI178" i="1"/>
  <c r="AJ178" i="1"/>
  <c r="AK178" i="1"/>
  <c r="AL178" i="1"/>
  <c r="AM178" i="1"/>
  <c r="AN178" i="1"/>
  <c r="AO178" i="1"/>
  <c r="AP178" i="1"/>
  <c r="AQ178" i="1"/>
  <c r="AR178" i="1"/>
  <c r="AS178" i="1"/>
  <c r="AT178" i="1"/>
  <c r="AU178" i="1"/>
  <c r="AV178" i="1"/>
  <c r="AW178" i="1"/>
  <c r="AX178" i="1"/>
  <c r="AY178" i="1"/>
  <c r="AZ178" i="1"/>
  <c r="BA178" i="1"/>
  <c r="BB178" i="1"/>
  <c r="BC178" i="1"/>
  <c r="BD178" i="1"/>
  <c r="BE178" i="1"/>
  <c r="BF178" i="1"/>
  <c r="BG178" i="1"/>
  <c r="BH178" i="1"/>
  <c r="BI178" i="1"/>
  <c r="BJ178" i="1"/>
  <c r="BK178" i="1"/>
  <c r="BL178" i="1"/>
  <c r="BM178" i="1"/>
  <c r="BN178" i="1"/>
  <c r="BO178" i="1"/>
  <c r="BP178" i="1"/>
  <c r="BQ178" i="1"/>
  <c r="BR178" i="1"/>
  <c r="BS178" i="1"/>
  <c r="BT178" i="1"/>
  <c r="BU178" i="1"/>
  <c r="BV178" i="1"/>
  <c r="BW178" i="1"/>
  <c r="BX178" i="1"/>
  <c r="BY178" i="1"/>
  <c r="BZ178" i="1"/>
  <c r="CA178" i="1"/>
  <c r="CB178" i="1"/>
  <c r="CJ178" i="1"/>
  <c r="CO178" i="1"/>
  <c r="CP178" i="1"/>
  <c r="CQ178" i="1"/>
  <c r="CR178" i="1"/>
  <c r="CS178" i="1"/>
  <c r="CT178" i="1"/>
  <c r="D337" i="1"/>
  <c r="E337" i="1"/>
  <c r="F337" i="1"/>
  <c r="G337" i="1"/>
  <c r="H337" i="1"/>
  <c r="I337" i="1"/>
  <c r="J337" i="1"/>
  <c r="K337" i="1"/>
  <c r="L337" i="1"/>
  <c r="M337" i="1"/>
  <c r="N337" i="1"/>
  <c r="O337" i="1"/>
  <c r="P337" i="1"/>
  <c r="Q337" i="1"/>
  <c r="R337" i="1"/>
  <c r="S337" i="1"/>
  <c r="T337" i="1"/>
  <c r="U337" i="1"/>
  <c r="V337" i="1"/>
  <c r="W337" i="1"/>
  <c r="X337" i="1"/>
  <c r="Y337" i="1"/>
  <c r="Z337" i="1"/>
  <c r="AA337" i="1"/>
  <c r="AB337" i="1"/>
  <c r="AC337" i="1"/>
  <c r="AD337" i="1"/>
  <c r="AE337" i="1"/>
  <c r="AF337" i="1"/>
  <c r="AG337" i="1"/>
  <c r="AH337" i="1"/>
  <c r="AI337" i="1"/>
  <c r="AJ337" i="1"/>
  <c r="AK337" i="1"/>
  <c r="AL337" i="1"/>
  <c r="AM337" i="1"/>
  <c r="AN337" i="1"/>
  <c r="AO337" i="1"/>
  <c r="AP337" i="1"/>
  <c r="AQ337" i="1"/>
  <c r="AR337" i="1"/>
  <c r="AS337" i="1"/>
  <c r="AT337" i="1"/>
  <c r="AU337" i="1"/>
  <c r="AV337" i="1"/>
  <c r="AW337" i="1"/>
  <c r="AX337" i="1"/>
  <c r="AY337" i="1"/>
  <c r="AZ337" i="1"/>
  <c r="BA337" i="1"/>
  <c r="BB337" i="1"/>
  <c r="BC337" i="1"/>
  <c r="BD337" i="1"/>
  <c r="BE337" i="1"/>
  <c r="BF337" i="1"/>
  <c r="BG337" i="1"/>
  <c r="BH337" i="1"/>
  <c r="BI337" i="1"/>
  <c r="BJ337" i="1"/>
  <c r="BK337" i="1"/>
  <c r="BL337" i="1"/>
  <c r="BM337" i="1"/>
  <c r="BN337" i="1"/>
  <c r="BP337" i="1"/>
  <c r="BU337" i="1"/>
  <c r="BZ337" i="1"/>
  <c r="CO337" i="1"/>
  <c r="CP337" i="1"/>
  <c r="CQ337" i="1"/>
  <c r="CR337" i="1"/>
  <c r="CS337" i="1"/>
  <c r="CT337" i="1"/>
  <c r="D378" i="1"/>
  <c r="E378" i="1"/>
  <c r="F378" i="1"/>
  <c r="G378" i="1"/>
  <c r="H378" i="1"/>
  <c r="I378" i="1"/>
  <c r="J378" i="1"/>
  <c r="K378" i="1"/>
  <c r="L378" i="1"/>
  <c r="M378" i="1"/>
  <c r="N378" i="1"/>
  <c r="O378" i="1"/>
  <c r="P378" i="1"/>
  <c r="Q378" i="1"/>
  <c r="R378" i="1"/>
  <c r="S378" i="1"/>
  <c r="T378" i="1"/>
  <c r="U378" i="1"/>
  <c r="V378" i="1"/>
  <c r="W378" i="1"/>
  <c r="X378" i="1"/>
  <c r="Y378" i="1"/>
  <c r="Z378" i="1"/>
  <c r="AA378" i="1"/>
  <c r="AB378" i="1"/>
  <c r="AC378" i="1"/>
  <c r="AD378" i="1"/>
  <c r="AE378" i="1"/>
  <c r="AF378" i="1"/>
  <c r="AG378" i="1"/>
  <c r="AH378" i="1"/>
  <c r="AI378" i="1"/>
  <c r="AJ378" i="1"/>
  <c r="AK378" i="1"/>
  <c r="AL378" i="1"/>
  <c r="AM378" i="1"/>
  <c r="AN378" i="1"/>
  <c r="AO378" i="1"/>
  <c r="AP378" i="1"/>
  <c r="AQ378" i="1"/>
  <c r="AR378" i="1"/>
  <c r="AS378" i="1"/>
  <c r="AT378" i="1"/>
  <c r="AU378" i="1"/>
  <c r="AV378" i="1"/>
  <c r="AW378" i="1"/>
  <c r="AX378" i="1"/>
  <c r="AY378" i="1"/>
  <c r="AZ378" i="1"/>
  <c r="BA378" i="1"/>
  <c r="BB378" i="1"/>
  <c r="BC378" i="1"/>
  <c r="BD378" i="1"/>
  <c r="BE378" i="1"/>
  <c r="BF378" i="1"/>
  <c r="BG378" i="1"/>
  <c r="BH378" i="1"/>
  <c r="BI378" i="1"/>
  <c r="BJ378" i="1"/>
  <c r="BK378" i="1"/>
  <c r="BL378" i="1"/>
  <c r="BM378" i="1"/>
  <c r="BN378" i="1"/>
  <c r="BO378" i="1"/>
  <c r="BP378" i="1"/>
  <c r="BQ378" i="1"/>
  <c r="BR378" i="1"/>
  <c r="BS378" i="1"/>
  <c r="BT378" i="1"/>
  <c r="BU378" i="1"/>
  <c r="BV378" i="1"/>
  <c r="BW378" i="1"/>
  <c r="BX378" i="1"/>
  <c r="BY378" i="1"/>
  <c r="BZ378" i="1"/>
  <c r="CA378" i="1"/>
  <c r="CB378" i="1"/>
  <c r="CJ378" i="1"/>
  <c r="CO378" i="1"/>
  <c r="CP378" i="1"/>
  <c r="CQ378" i="1"/>
  <c r="CR378" i="1"/>
  <c r="CS378" i="1"/>
  <c r="CT378" i="1"/>
  <c r="D417" i="1"/>
  <c r="E417" i="1"/>
  <c r="F417" i="1"/>
  <c r="G417" i="1"/>
  <c r="H417" i="1"/>
  <c r="I417" i="1"/>
  <c r="J417" i="1"/>
  <c r="K417" i="1"/>
  <c r="L417" i="1"/>
  <c r="M417" i="1"/>
  <c r="N417" i="1"/>
  <c r="O417" i="1"/>
  <c r="P417" i="1"/>
  <c r="Q417" i="1"/>
  <c r="R417" i="1"/>
  <c r="S417" i="1"/>
  <c r="T417" i="1"/>
  <c r="U417" i="1"/>
  <c r="V417" i="1"/>
  <c r="W417" i="1"/>
  <c r="X417" i="1"/>
  <c r="Y417" i="1"/>
  <c r="Z417" i="1"/>
  <c r="AA417" i="1"/>
  <c r="AB417" i="1"/>
  <c r="AC417" i="1"/>
  <c r="AD417" i="1"/>
  <c r="AE417" i="1"/>
  <c r="AF417" i="1"/>
  <c r="AG417" i="1"/>
  <c r="AH417" i="1"/>
  <c r="AI417" i="1"/>
  <c r="AJ417" i="1"/>
  <c r="AK417" i="1"/>
  <c r="AL417" i="1"/>
  <c r="AM417" i="1"/>
  <c r="AN417" i="1"/>
  <c r="AO417" i="1"/>
  <c r="AP417" i="1"/>
  <c r="AQ417" i="1"/>
  <c r="AR417" i="1"/>
  <c r="AS417" i="1"/>
  <c r="AT417" i="1"/>
  <c r="AU417" i="1"/>
  <c r="AV417" i="1"/>
  <c r="AW417" i="1"/>
  <c r="AX417" i="1"/>
  <c r="AY417" i="1"/>
  <c r="AZ417" i="1"/>
  <c r="BA417" i="1"/>
  <c r="BB417" i="1"/>
  <c r="BC417" i="1"/>
  <c r="BD417" i="1"/>
  <c r="BE417" i="1"/>
  <c r="BF417" i="1"/>
  <c r="BG417" i="1"/>
  <c r="BH417" i="1"/>
  <c r="BI417" i="1"/>
  <c r="BJ417" i="1"/>
  <c r="BK417" i="1"/>
  <c r="BL417" i="1"/>
  <c r="BM417" i="1"/>
  <c r="BN417" i="1"/>
  <c r="BO417" i="1"/>
  <c r="BP417" i="1"/>
  <c r="BQ417" i="1"/>
  <c r="BR417" i="1"/>
  <c r="BS417" i="1"/>
  <c r="BT417" i="1"/>
  <c r="BU417" i="1"/>
  <c r="BV417" i="1"/>
  <c r="BW417" i="1"/>
  <c r="BX417" i="1"/>
  <c r="BY417" i="1"/>
  <c r="BZ417" i="1"/>
  <c r="CA417" i="1"/>
  <c r="CB417" i="1"/>
  <c r="CJ417" i="1"/>
  <c r="CO417" i="1"/>
  <c r="CP417" i="1"/>
  <c r="CQ417" i="1"/>
  <c r="CR417" i="1"/>
  <c r="CS417" i="1"/>
  <c r="CT417" i="1"/>
  <c r="D446" i="1"/>
  <c r="E446" i="1"/>
  <c r="F446" i="1"/>
  <c r="G446" i="1"/>
  <c r="H446" i="1"/>
  <c r="I446" i="1"/>
  <c r="J446" i="1"/>
  <c r="K446" i="1"/>
  <c r="L446" i="1"/>
  <c r="M446" i="1"/>
  <c r="N446" i="1"/>
  <c r="O446" i="1"/>
  <c r="P446" i="1"/>
  <c r="Q446" i="1"/>
  <c r="R446" i="1"/>
  <c r="S446" i="1"/>
  <c r="T446" i="1"/>
  <c r="U446" i="1"/>
  <c r="V446" i="1"/>
  <c r="W446" i="1"/>
  <c r="X446" i="1"/>
  <c r="Y446" i="1"/>
  <c r="Z446" i="1"/>
  <c r="AA446" i="1"/>
  <c r="AB446" i="1"/>
  <c r="AC446" i="1"/>
  <c r="AD446" i="1"/>
  <c r="AE446" i="1"/>
  <c r="AF446" i="1"/>
  <c r="AG446" i="1"/>
  <c r="AH446" i="1"/>
  <c r="AI446" i="1"/>
  <c r="AJ446" i="1"/>
  <c r="AK446" i="1"/>
  <c r="AL446" i="1"/>
  <c r="AM446" i="1"/>
  <c r="AN446" i="1"/>
  <c r="AO446" i="1"/>
  <c r="AP446" i="1"/>
  <c r="AQ446" i="1"/>
  <c r="AR446" i="1"/>
  <c r="AS446" i="1"/>
  <c r="AT446" i="1"/>
  <c r="AU446" i="1"/>
  <c r="AV446" i="1"/>
  <c r="AW446" i="1"/>
  <c r="AX446" i="1"/>
  <c r="AY446" i="1"/>
  <c r="AZ446" i="1"/>
  <c r="BA446" i="1"/>
  <c r="BB446" i="1"/>
  <c r="BC446" i="1"/>
  <c r="BD446" i="1"/>
  <c r="BE446" i="1"/>
  <c r="BF446" i="1"/>
  <c r="BG446" i="1"/>
  <c r="BH446" i="1"/>
  <c r="BI446" i="1"/>
  <c r="BJ446" i="1"/>
  <c r="BK446" i="1"/>
  <c r="BL446" i="1"/>
  <c r="BM446" i="1"/>
  <c r="BN446" i="1"/>
  <c r="BO446" i="1"/>
  <c r="BP446" i="1"/>
  <c r="BQ446" i="1"/>
  <c r="BR446" i="1"/>
  <c r="BS446" i="1"/>
  <c r="BT446" i="1"/>
  <c r="BU446" i="1"/>
  <c r="BV446" i="1"/>
  <c r="BW446" i="1"/>
  <c r="BX446" i="1"/>
  <c r="BY446" i="1"/>
  <c r="BZ446" i="1"/>
  <c r="CA446" i="1"/>
  <c r="CB446" i="1"/>
  <c r="CJ446" i="1"/>
  <c r="CO446" i="1"/>
  <c r="CP446" i="1"/>
  <c r="CQ446" i="1"/>
  <c r="CR446" i="1"/>
  <c r="CS446" i="1"/>
  <c r="CT446" i="1"/>
  <c r="D458" i="1"/>
  <c r="E458" i="1"/>
  <c r="F458" i="1"/>
  <c r="G458" i="1"/>
  <c r="H458" i="1"/>
  <c r="I458" i="1"/>
  <c r="J458" i="1"/>
  <c r="K458" i="1"/>
  <c r="L458" i="1"/>
  <c r="M458" i="1"/>
  <c r="N458" i="1"/>
  <c r="O458" i="1"/>
  <c r="P458" i="1"/>
  <c r="Q458" i="1"/>
  <c r="R458" i="1"/>
  <c r="S458" i="1"/>
  <c r="T458" i="1"/>
  <c r="U458" i="1"/>
  <c r="V458" i="1"/>
  <c r="W458" i="1"/>
  <c r="X458" i="1"/>
  <c r="Y458" i="1"/>
  <c r="Z458" i="1"/>
  <c r="AA458" i="1"/>
  <c r="AB458" i="1"/>
  <c r="AC458" i="1"/>
  <c r="AD458" i="1"/>
  <c r="AE458" i="1"/>
  <c r="AF458" i="1"/>
  <c r="AG458" i="1"/>
  <c r="AH458" i="1"/>
  <c r="AI458" i="1"/>
  <c r="AJ458" i="1"/>
  <c r="AK458" i="1"/>
  <c r="AL458" i="1"/>
  <c r="AM458" i="1"/>
  <c r="AN458" i="1"/>
  <c r="AO458" i="1"/>
  <c r="AP458" i="1"/>
  <c r="AQ458" i="1"/>
  <c r="AR458" i="1"/>
  <c r="AS458" i="1"/>
  <c r="AT458" i="1"/>
  <c r="AU458" i="1"/>
  <c r="AV458" i="1"/>
  <c r="AW458" i="1"/>
  <c r="AX458" i="1"/>
  <c r="AY458" i="1"/>
  <c r="AZ458" i="1"/>
  <c r="BA458" i="1"/>
  <c r="BB458" i="1"/>
  <c r="BC458" i="1"/>
  <c r="BD458" i="1"/>
  <c r="BE458" i="1"/>
  <c r="BF458" i="1"/>
  <c r="BG458" i="1"/>
  <c r="BH458" i="1"/>
  <c r="BI458" i="1"/>
  <c r="BJ458" i="1"/>
  <c r="BK458" i="1"/>
  <c r="BL458" i="1"/>
  <c r="BM458" i="1"/>
  <c r="BN458" i="1"/>
  <c r="BO458" i="1"/>
  <c r="BP458" i="1"/>
  <c r="BQ458" i="1"/>
  <c r="BR458" i="1"/>
  <c r="BS458" i="1"/>
  <c r="BT458" i="1"/>
  <c r="BU458" i="1"/>
  <c r="BV458" i="1"/>
  <c r="BW458" i="1"/>
  <c r="BX458" i="1"/>
  <c r="BY458" i="1"/>
  <c r="BZ458" i="1"/>
  <c r="CA458" i="1"/>
  <c r="CB458" i="1"/>
  <c r="CJ458" i="1"/>
  <c r="CO458" i="1"/>
  <c r="CP458" i="1"/>
  <c r="CQ458" i="1"/>
  <c r="CR458" i="1"/>
  <c r="CS458" i="1"/>
  <c r="CT458" i="1"/>
  <c r="B1" i="10"/>
  <c r="C1" i="10"/>
  <c r="D1" i="10"/>
  <c r="E1" i="10"/>
  <c r="F1" i="10"/>
  <c r="G1" i="10"/>
  <c r="H1" i="10"/>
  <c r="I1" i="10"/>
  <c r="J1" i="10"/>
  <c r="K1" i="10"/>
  <c r="L1" i="10"/>
  <c r="M1" i="10"/>
  <c r="CE364" i="1" l="1"/>
  <c r="C17" i="3"/>
  <c r="D17" i="3"/>
  <c r="E17" i="3"/>
  <c r="F17" i="3"/>
  <c r="G17" i="3"/>
  <c r="H17" i="3"/>
  <c r="I17" i="3"/>
  <c r="J17" i="3"/>
  <c r="K17" i="3"/>
  <c r="L17" i="3"/>
  <c r="M17" i="3"/>
  <c r="N17" i="3"/>
  <c r="O17" i="3"/>
  <c r="P17" i="3"/>
  <c r="Q17" i="3"/>
  <c r="R17" i="3"/>
  <c r="S17" i="3"/>
  <c r="T17" i="3"/>
  <c r="U17" i="3"/>
  <c r="V17" i="3"/>
  <c r="W17" i="3"/>
  <c r="X17" i="3"/>
  <c r="Y17" i="3"/>
  <c r="Z17" i="3"/>
  <c r="AA17" i="3"/>
  <c r="AB17" i="3"/>
  <c r="AC17" i="3"/>
  <c r="AD17" i="3"/>
  <c r="AE17" i="3"/>
  <c r="AF17" i="3"/>
  <c r="AG17" i="3"/>
  <c r="AH17" i="3"/>
  <c r="AI17" i="3"/>
  <c r="AJ17" i="3"/>
  <c r="AK17" i="3"/>
  <c r="AL17" i="3"/>
  <c r="AM17" i="3"/>
  <c r="AN17" i="3"/>
  <c r="C89" i="3"/>
  <c r="D89" i="3"/>
  <c r="E89" i="3"/>
  <c r="F89" i="3"/>
  <c r="G89" i="3"/>
  <c r="H89" i="3"/>
  <c r="I89" i="3"/>
  <c r="J89" i="3"/>
  <c r="K89" i="3"/>
  <c r="L89" i="3"/>
  <c r="M89" i="3"/>
  <c r="N89" i="3"/>
  <c r="O89" i="3"/>
  <c r="P89" i="3"/>
  <c r="Q89" i="3"/>
  <c r="R89" i="3"/>
  <c r="S89" i="3"/>
  <c r="T89" i="3"/>
  <c r="U89" i="3"/>
  <c r="V89" i="3"/>
  <c r="W89" i="3"/>
  <c r="X89" i="3"/>
  <c r="Y89" i="3"/>
  <c r="Z89" i="3"/>
  <c r="AA89" i="3"/>
  <c r="AB89" i="3"/>
  <c r="AC89" i="3"/>
  <c r="AD89" i="3"/>
  <c r="AE89" i="3"/>
  <c r="AF89" i="3"/>
  <c r="AG89" i="3"/>
  <c r="AH89" i="3"/>
  <c r="AI89" i="3"/>
  <c r="AJ89" i="3"/>
  <c r="AK89" i="3"/>
  <c r="AL89" i="3"/>
  <c r="AM89" i="3"/>
  <c r="AN89" i="3"/>
  <c r="C126" i="3"/>
  <c r="D126" i="3"/>
  <c r="E126" i="3"/>
  <c r="F126" i="3"/>
  <c r="G126" i="3"/>
  <c r="H126" i="3"/>
  <c r="I126" i="3"/>
  <c r="J126" i="3"/>
  <c r="K126" i="3"/>
  <c r="L126" i="3"/>
  <c r="M126" i="3"/>
  <c r="N126" i="3"/>
  <c r="O126" i="3"/>
  <c r="P126" i="3"/>
  <c r="Q126" i="3"/>
  <c r="R126" i="3"/>
  <c r="S126" i="3"/>
  <c r="T126" i="3"/>
  <c r="U126" i="3"/>
  <c r="V126" i="3"/>
  <c r="W126" i="3"/>
  <c r="X126" i="3"/>
  <c r="Y126" i="3"/>
  <c r="Z126" i="3"/>
  <c r="AA126" i="3"/>
  <c r="AB126" i="3"/>
  <c r="AC126" i="3"/>
  <c r="AD126" i="3"/>
  <c r="AE126" i="3"/>
  <c r="AF126" i="3"/>
  <c r="AG126" i="3"/>
  <c r="AH126" i="3"/>
  <c r="AI126" i="3"/>
  <c r="AJ126" i="3"/>
  <c r="AK126" i="3"/>
  <c r="AL126" i="3"/>
  <c r="AM126" i="3"/>
  <c r="AN126" i="3"/>
  <c r="C140" i="3"/>
  <c r="D140" i="3"/>
  <c r="E140" i="3"/>
  <c r="F140" i="3"/>
  <c r="G140" i="3"/>
  <c r="H140" i="3"/>
  <c r="I140" i="3"/>
  <c r="J140" i="3"/>
  <c r="K140" i="3"/>
  <c r="L140" i="3"/>
  <c r="M140" i="3"/>
  <c r="N140" i="3"/>
  <c r="O140" i="3"/>
  <c r="P140" i="3"/>
  <c r="Q140" i="3"/>
  <c r="R140" i="3"/>
  <c r="S140" i="3"/>
  <c r="T140" i="3"/>
  <c r="U140" i="3"/>
  <c r="V140" i="3"/>
  <c r="W140" i="3"/>
  <c r="X140" i="3"/>
  <c r="Y140" i="3"/>
  <c r="Z140" i="3"/>
  <c r="AA140" i="3"/>
  <c r="AB140" i="3"/>
  <c r="AC140" i="3"/>
  <c r="AD140" i="3"/>
  <c r="AE140" i="3"/>
  <c r="AF140" i="3"/>
  <c r="AG140" i="3"/>
  <c r="AH140" i="3"/>
  <c r="AI140" i="3"/>
  <c r="AJ140" i="3"/>
  <c r="AK140" i="3"/>
  <c r="AL140" i="3"/>
  <c r="AM140" i="3"/>
  <c r="AN140" i="3"/>
  <c r="C148" i="3"/>
  <c r="D148" i="3"/>
  <c r="E148" i="3"/>
  <c r="F148" i="3"/>
  <c r="G148" i="3"/>
  <c r="H148" i="3"/>
  <c r="I148" i="3"/>
  <c r="J148" i="3"/>
  <c r="K148" i="3"/>
  <c r="L148" i="3"/>
  <c r="M148" i="3"/>
  <c r="N148" i="3"/>
  <c r="O148" i="3"/>
  <c r="P148" i="3"/>
  <c r="Q148" i="3"/>
  <c r="R148" i="3"/>
  <c r="S148" i="3"/>
  <c r="T148" i="3"/>
  <c r="U148" i="3"/>
  <c r="V148" i="3"/>
  <c r="W148" i="3"/>
  <c r="X148" i="3"/>
  <c r="Y148" i="3"/>
  <c r="Z148" i="3"/>
  <c r="AA148" i="3"/>
  <c r="AB148" i="3"/>
  <c r="AC148" i="3"/>
  <c r="AD148" i="3"/>
  <c r="AE148" i="3"/>
  <c r="AF148" i="3"/>
  <c r="AG148" i="3"/>
  <c r="AH148" i="3"/>
  <c r="AI148" i="3"/>
  <c r="AJ148" i="3"/>
  <c r="AK148" i="3"/>
  <c r="AL148" i="3"/>
  <c r="AM148" i="3"/>
  <c r="AN148" i="3"/>
  <c r="C190" i="3"/>
  <c r="D190" i="3"/>
  <c r="E190" i="3"/>
  <c r="F190" i="3"/>
  <c r="G190" i="3"/>
  <c r="H190" i="3"/>
  <c r="I190" i="3"/>
  <c r="J190" i="3"/>
  <c r="K190" i="3"/>
  <c r="L190" i="3"/>
  <c r="M190" i="3"/>
  <c r="N190" i="3"/>
  <c r="O190" i="3"/>
  <c r="P190" i="3"/>
  <c r="Q190" i="3"/>
  <c r="R190" i="3"/>
  <c r="S190" i="3"/>
  <c r="T190" i="3"/>
  <c r="U190" i="3"/>
  <c r="V190" i="3"/>
  <c r="W190" i="3"/>
  <c r="X190" i="3"/>
  <c r="Y190" i="3"/>
  <c r="Z190" i="3"/>
  <c r="AA190" i="3"/>
  <c r="AB190" i="3"/>
  <c r="AC190" i="3"/>
  <c r="AD190" i="3"/>
  <c r="AE190" i="3"/>
  <c r="AF190" i="3"/>
  <c r="AG190" i="3"/>
  <c r="AH190" i="3"/>
  <c r="AI190" i="3"/>
  <c r="AJ190" i="3"/>
  <c r="AK190" i="3"/>
  <c r="AL190" i="3"/>
  <c r="AM190" i="3"/>
  <c r="AN190" i="3"/>
  <c r="C240" i="3"/>
  <c r="D240" i="3"/>
  <c r="E240" i="3"/>
  <c r="F240" i="3"/>
  <c r="G240" i="3"/>
  <c r="H240" i="3"/>
  <c r="I240" i="3"/>
  <c r="J240" i="3"/>
  <c r="K240" i="3"/>
  <c r="L240" i="3"/>
  <c r="M240" i="3"/>
  <c r="N240" i="3"/>
  <c r="O240" i="3"/>
  <c r="P240" i="3"/>
  <c r="Q240" i="3"/>
  <c r="R240" i="3"/>
  <c r="S240" i="3"/>
  <c r="T240" i="3"/>
  <c r="U240" i="3"/>
  <c r="V240" i="3"/>
  <c r="W240" i="3"/>
  <c r="X240" i="3"/>
  <c r="Y240" i="3"/>
  <c r="Z240" i="3"/>
  <c r="AA240" i="3"/>
  <c r="AB240" i="3"/>
  <c r="AC240" i="3"/>
  <c r="AD240" i="3"/>
  <c r="AE240" i="3"/>
  <c r="AF240" i="3"/>
  <c r="AG240" i="3"/>
  <c r="AH240" i="3"/>
  <c r="AI240" i="3"/>
  <c r="AJ240" i="3"/>
  <c r="AK240" i="3"/>
  <c r="AL240" i="3"/>
  <c r="AM240" i="3"/>
  <c r="AN240" i="3"/>
  <c r="CJ364" i="1" l="1"/>
  <c r="CO364" i="1" s="1"/>
  <c r="CP364" i="1" s="1"/>
  <c r="CQ364" i="1" s="1"/>
  <c r="CR364" i="1" s="1"/>
  <c r="CS364" i="1" s="1"/>
  <c r="CT364" i="1" s="1"/>
  <c r="BL294" i="1" l="1"/>
  <c r="BC7" i="7"/>
  <c r="BC8" i="7" s="1"/>
  <c r="BO294" i="1"/>
  <c r="BF7" i="7"/>
  <c r="BF8" i="7" s="1"/>
  <c r="BM294" i="1"/>
  <c r="BD7" i="7"/>
  <c r="BD8" i="7" s="1"/>
  <c r="BG294" i="1"/>
  <c r="AY7" i="7"/>
  <c r="AY8" i="7" s="1"/>
  <c r="BB294" i="1"/>
  <c r="AU7" i="7"/>
  <c r="AU8" i="7" s="1"/>
  <c r="BN294" i="1"/>
  <c r="BE7" i="7"/>
  <c r="BE8" i="7" s="1"/>
  <c r="BE294" i="1"/>
  <c r="AX7" i="7"/>
  <c r="AX8" i="7" s="1"/>
  <c r="BI294" i="1"/>
  <c r="BA7" i="7"/>
  <c r="BA8" i="7" s="1"/>
  <c r="BJ294" i="1"/>
  <c r="BB7" i="7"/>
  <c r="BB8" i="7" s="1"/>
  <c r="BH294" i="1"/>
  <c r="AZ7" i="7"/>
  <c r="AZ8" i="7" s="1"/>
  <c r="BK314" i="1"/>
  <c r="BK294" i="1" s="1"/>
  <c r="BP314" i="1"/>
  <c r="BP294" i="1" s="1"/>
  <c r="BN301" i="1" l="1"/>
  <c r="BM301" i="1"/>
  <c r="CP7" i="9"/>
  <c r="BO301" i="1"/>
  <c r="BJ301" i="1"/>
  <c r="BL301" i="1"/>
  <c r="CB294" i="1"/>
  <c r="BP7" i="7"/>
  <c r="BP8" i="7" s="1"/>
  <c r="BV294" i="1"/>
  <c r="BV293" i="1" s="1"/>
  <c r="BK7" i="7"/>
  <c r="BK8" i="7" s="1"/>
  <c r="BG301" i="1"/>
  <c r="BP301" i="1"/>
  <c r="CB447" i="1"/>
  <c r="CJ7" i="9"/>
  <c r="BV419" i="1"/>
  <c r="BV447" i="1"/>
  <c r="CB293" i="1" l="1"/>
  <c r="CB455" i="1"/>
  <c r="BV455" i="1"/>
  <c r="BV425" i="1"/>
  <c r="BV426" i="1" s="1"/>
  <c r="BV442" i="1"/>
  <c r="BV443" i="1" s="1"/>
  <c r="BV421" i="1"/>
  <c r="BV423" i="1"/>
  <c r="BP30" i="7" l="1"/>
  <c r="CB430" i="1"/>
  <c r="CB431" i="1"/>
  <c r="CB459" i="1"/>
  <c r="BV430" i="1"/>
  <c r="BK30" i="7"/>
  <c r="BV459" i="1"/>
  <c r="BV431" i="1"/>
  <c r="BO7" i="7" l="1"/>
  <c r="BO8" i="7" s="1"/>
  <c r="CO7" i="9" l="1"/>
  <c r="CA294" i="1"/>
  <c r="CA226" i="1"/>
  <c r="CA419" i="1"/>
  <c r="CA447" i="1"/>
  <c r="CA293" i="1" l="1"/>
  <c r="CA301" i="1"/>
  <c r="CA420" i="1"/>
  <c r="CA425" i="1"/>
  <c r="CA426" i="1" s="1"/>
  <c r="CA442" i="1"/>
  <c r="CA421" i="1"/>
  <c r="CA423" i="1"/>
  <c r="CA455" i="1"/>
  <c r="CA448" i="1"/>
  <c r="CA300" i="1" l="1"/>
  <c r="CA443" i="1"/>
  <c r="CA431" i="1"/>
  <c r="BO30" i="7"/>
  <c r="CA456" i="1"/>
  <c r="CA430" i="1"/>
  <c r="CA459" i="1"/>
  <c r="CA460" i="1" l="1"/>
  <c r="BY294" i="1" l="1"/>
  <c r="BY293" i="1" s="1"/>
  <c r="BN7" i="7"/>
  <c r="BN8" i="7" s="1"/>
  <c r="BQ294" i="1"/>
  <c r="BQ301" i="1" s="1"/>
  <c r="BG7" i="7"/>
  <c r="BG8" i="7" s="1"/>
  <c r="BS294" i="1"/>
  <c r="BS301" i="1" s="1"/>
  <c r="BI7" i="7"/>
  <c r="BI8" i="7" s="1"/>
  <c r="BT294" i="1"/>
  <c r="BT301" i="1" s="1"/>
  <c r="BJ7" i="7"/>
  <c r="BJ8" i="7" s="1"/>
  <c r="BY447" i="1"/>
  <c r="CM7" i="9"/>
  <c r="BS293" i="1" l="1"/>
  <c r="BT293" i="1"/>
  <c r="BY300" i="1" s="1"/>
  <c r="BY301" i="1"/>
  <c r="BV301" i="1"/>
  <c r="BY455" i="1"/>
  <c r="BY430" i="1" l="1"/>
  <c r="BY431" i="1"/>
  <c r="BY459" i="1"/>
  <c r="BN30" i="7"/>
  <c r="BR294" i="1" l="1"/>
  <c r="BR293" i="1" s="1"/>
  <c r="BH7" i="7"/>
  <c r="BH8" i="7" s="1"/>
  <c r="BU314" i="1"/>
  <c r="BU294" i="1" s="1"/>
  <c r="BR301" i="1" l="1"/>
  <c r="BU301" i="1"/>
  <c r="BW294" i="1" l="1"/>
  <c r="BW293" i="1" s="1"/>
  <c r="BL7" i="7"/>
  <c r="BL8" i="7" s="1"/>
  <c r="BW447" i="1"/>
  <c r="CK7" i="9"/>
  <c r="CB226" i="1"/>
  <c r="CB301" i="1" l="1"/>
  <c r="BW301" i="1"/>
  <c r="BX294" i="1"/>
  <c r="BX293" i="1" s="1"/>
  <c r="BX300" i="1" s="1"/>
  <c r="BM7" i="7"/>
  <c r="BM8" i="7" s="1"/>
  <c r="BW300" i="1"/>
  <c r="CB300" i="1"/>
  <c r="BZ314" i="1"/>
  <c r="BZ294" i="1" s="1"/>
  <c r="BW455" i="1"/>
  <c r="CB448" i="1"/>
  <c r="CL7" i="9"/>
  <c r="BX447" i="1"/>
  <c r="BX301" i="1" l="1"/>
  <c r="BZ293" i="1"/>
  <c r="BZ301" i="1"/>
  <c r="BX455" i="1"/>
  <c r="BW431" i="1"/>
  <c r="BW459" i="1"/>
  <c r="BW430" i="1"/>
  <c r="BL30" i="7"/>
  <c r="CB456" i="1"/>
  <c r="CB460" i="1" l="1"/>
  <c r="BM30" i="7"/>
  <c r="BX431" i="1"/>
  <c r="BX430" i="1"/>
  <c r="BX459" i="1"/>
  <c r="AW294" i="1" l="1"/>
  <c r="AW301" i="1" s="1"/>
  <c r="AQ7" i="7"/>
  <c r="AQ8" i="7" s="1"/>
  <c r="BB301" i="1" l="1"/>
  <c r="BC294" i="1"/>
  <c r="BH301" i="1" s="1"/>
  <c r="AV7" i="7"/>
  <c r="AV8" i="7" s="1"/>
  <c r="AX294" i="1" l="1"/>
  <c r="AX301" i="1" s="1"/>
  <c r="AR7" i="7"/>
  <c r="AR8" i="7" s="1"/>
  <c r="BC301" i="1" l="1"/>
  <c r="AY294" i="1"/>
  <c r="AY301" i="1" s="1"/>
  <c r="AS7" i="7"/>
  <c r="AS8" i="7" s="1"/>
  <c r="AT7" i="7"/>
  <c r="AT8" i="7" s="1"/>
  <c r="BA314" i="1" l="1"/>
  <c r="BA294" i="1" s="1"/>
  <c r="AZ294" i="1"/>
  <c r="AZ301" i="1" l="1"/>
  <c r="BE301" i="1"/>
  <c r="BA301" i="1"/>
  <c r="AW7" i="7" l="1"/>
  <c r="AW8" i="7" s="1"/>
  <c r="BF314" i="1" l="1"/>
  <c r="BF294" i="1" s="1"/>
  <c r="BD294" i="1"/>
  <c r="BD301" i="1" l="1"/>
  <c r="BI301" i="1"/>
  <c r="BF301" i="1"/>
  <c r="BK301" i="1"/>
  <c r="S345" i="2" l="1"/>
  <c r="S396" i="2" l="1"/>
  <c r="AB86" i="3"/>
  <c r="S325" i="2"/>
  <c r="CJ222" i="1" l="1"/>
  <c r="CJ223" i="1" l="1"/>
  <c r="CO222" i="1"/>
  <c r="CP222" i="1" l="1"/>
  <c r="CO223" i="1"/>
  <c r="CQ222" i="1" l="1"/>
  <c r="CP223" i="1"/>
  <c r="CR222" i="1" l="1"/>
  <c r="CQ223" i="1"/>
  <c r="CR223" i="1" l="1"/>
  <c r="CS222" i="1"/>
  <c r="CT222" i="1" l="1"/>
  <c r="CS223" i="1"/>
  <c r="CT223" i="1" l="1"/>
  <c r="CB52" i="1" l="1"/>
  <c r="CA52" i="1"/>
  <c r="CA51" i="1" l="1"/>
  <c r="CC52" i="1" l="1"/>
  <c r="CB51" i="1"/>
  <c r="DB40" i="7"/>
  <c r="CC51" i="1" l="1"/>
  <c r="AB251" i="3" l="1"/>
  <c r="E57" i="14"/>
  <c r="CS6" i="9"/>
  <c r="DB38" i="7"/>
  <c r="AD57" i="14" l="1"/>
  <c r="E58" i="14"/>
  <c r="AB245" i="3" l="1"/>
  <c r="AB131" i="3" l="1"/>
  <c r="CS8" i="9" l="1"/>
  <c r="DB9" i="7"/>
  <c r="DB33" i="7" s="1"/>
  <c r="E28" i="14"/>
  <c r="AD28" i="14" s="1"/>
  <c r="AB33" i="3"/>
  <c r="K90" i="4" l="1"/>
  <c r="K92" i="4" s="1"/>
  <c r="AB19" i="3"/>
  <c r="H6" i="10"/>
  <c r="E29" i="14"/>
  <c r="H21" i="10" l="1"/>
  <c r="AB247" i="3"/>
  <c r="P25" i="11"/>
  <c r="AB130" i="3" l="1"/>
  <c r="AB13" i="3" l="1"/>
  <c r="AB27" i="3" l="1"/>
  <c r="AB134" i="3" l="1"/>
  <c r="K68" i="4" l="1"/>
  <c r="K70" i="4" s="1"/>
  <c r="AB25" i="3" l="1"/>
  <c r="CS15" i="9" l="1"/>
  <c r="P83" i="11"/>
  <c r="AB28" i="3"/>
  <c r="AB128" i="3" s="1"/>
  <c r="P84" i="11" l="1"/>
  <c r="P96" i="11" s="1"/>
  <c r="P95" i="11"/>
  <c r="CE53" i="1" l="1"/>
  <c r="CE52" i="1"/>
  <c r="BZ53" i="1"/>
  <c r="BZ52" i="1"/>
  <c r="BZ51" i="1"/>
  <c r="BU53" i="1"/>
  <c r="BU52" i="1"/>
  <c r="BU51" i="1"/>
  <c r="BP52" i="1"/>
  <c r="BP53" i="1"/>
  <c r="BP51" i="1"/>
  <c r="BK52" i="1"/>
  <c r="BK60" i="1" s="1"/>
  <c r="BK51" i="1"/>
  <c r="BK59" i="1" s="1"/>
  <c r="E52" i="1"/>
  <c r="C52" i="1"/>
  <c r="H60" i="1" s="1"/>
  <c r="H63" i="1" s="1"/>
  <c r="D54" i="1"/>
  <c r="E54" i="1"/>
  <c r="G54" i="1"/>
  <c r="G52" i="1"/>
  <c r="AB49" i="1"/>
  <c r="AB55" i="1" s="1"/>
  <c r="D51" i="1"/>
  <c r="E51" i="1"/>
  <c r="D52" i="1"/>
  <c r="CE49" i="1"/>
  <c r="H47" i="1"/>
  <c r="H49" i="1"/>
  <c r="C54" i="1"/>
  <c r="H62" i="1" s="1"/>
  <c r="I47" i="1"/>
  <c r="BP59" i="1" l="1"/>
  <c r="BP49" i="1"/>
  <c r="BP55" i="1" s="1"/>
  <c r="BP42" i="1" s="1"/>
  <c r="BP60" i="1"/>
  <c r="BU59" i="1"/>
  <c r="BU60" i="1"/>
  <c r="M47" i="1"/>
  <c r="AQ49" i="1"/>
  <c r="AQ55" i="1" s="1"/>
  <c r="E47" i="1"/>
  <c r="BK49" i="1"/>
  <c r="BK55" i="1" s="1"/>
  <c r="G47" i="1"/>
  <c r="AL49" i="1"/>
  <c r="AL55" i="1" s="1"/>
  <c r="BF49" i="1"/>
  <c r="BF55" i="1" s="1"/>
  <c r="D47" i="1"/>
  <c r="M55" i="3"/>
  <c r="M242" i="3" s="1"/>
  <c r="H55" i="1"/>
  <c r="AV49" i="1"/>
  <c r="AV55" i="1" s="1"/>
  <c r="H402" i="2"/>
  <c r="AB43" i="1"/>
  <c r="AB42" i="1"/>
  <c r="H400" i="2" s="1"/>
  <c r="G53" i="1"/>
  <c r="G42" i="1" s="1"/>
  <c r="G51" i="1"/>
  <c r="AF49" i="1"/>
  <c r="AE49" i="1"/>
  <c r="AD49" i="1"/>
  <c r="AC49" i="1"/>
  <c r="AA49" i="1"/>
  <c r="Z49" i="1"/>
  <c r="Y49" i="1"/>
  <c r="X49" i="1"/>
  <c r="V49" i="1"/>
  <c r="U49" i="1"/>
  <c r="T49" i="1"/>
  <c r="S49" i="1"/>
  <c r="BP61" i="1"/>
  <c r="C182" i="11"/>
  <c r="C244" i="11"/>
  <c r="C169" i="11"/>
  <c r="C173" i="11" s="1"/>
  <c r="BU61" i="1"/>
  <c r="BZ59" i="1"/>
  <c r="CE60" i="1"/>
  <c r="BZ60" i="1"/>
  <c r="D169" i="11"/>
  <c r="BZ61" i="1"/>
  <c r="D182" i="11"/>
  <c r="CE47" i="1"/>
  <c r="CE51" i="1"/>
  <c r="CE59" i="1" s="1"/>
  <c r="CE61" i="1"/>
  <c r="CE57" i="1"/>
  <c r="H67" i="1"/>
  <c r="H68" i="1"/>
  <c r="D401" i="2" s="1"/>
  <c r="H70" i="1"/>
  <c r="H69" i="1"/>
  <c r="H66" i="1"/>
  <c r="E49" i="1"/>
  <c r="R47" i="1"/>
  <c r="AG49" i="1"/>
  <c r="AG55" i="1" s="1"/>
  <c r="W47" i="1"/>
  <c r="BP63" i="1" l="1"/>
  <c r="BP66" i="1" s="1"/>
  <c r="BP56" i="1"/>
  <c r="BU49" i="1"/>
  <c r="BU55" i="1" s="1"/>
  <c r="F47" i="1"/>
  <c r="G49" i="1"/>
  <c r="R49" i="1"/>
  <c r="R55" i="1" s="1"/>
  <c r="L47" i="1"/>
  <c r="P55" i="3"/>
  <c r="P242" i="3" s="1"/>
  <c r="J49" i="1"/>
  <c r="K47" i="1"/>
  <c r="BA49" i="1"/>
  <c r="BA55" i="1" s="1"/>
  <c r="BA63" i="1" s="1"/>
  <c r="I49" i="1"/>
  <c r="I402" i="2"/>
  <c r="I404" i="2" s="1"/>
  <c r="AG42" i="1"/>
  <c r="AG43" i="1"/>
  <c r="AG63" i="1"/>
  <c r="AG56" i="1"/>
  <c r="J47" i="1"/>
  <c r="O55" i="3"/>
  <c r="O242" i="3" s="1"/>
  <c r="S405" i="2"/>
  <c r="AB55" i="3"/>
  <c r="AB242" i="3" s="1"/>
  <c r="D183" i="11"/>
  <c r="D184" i="11"/>
  <c r="D171" i="11"/>
  <c r="D170" i="11"/>
  <c r="C179" i="11"/>
  <c r="D179" i="11" s="1"/>
  <c r="C248" i="11"/>
  <c r="D248" i="11" s="1"/>
  <c r="D244" i="11"/>
  <c r="P400" i="2"/>
  <c r="Y244" i="3"/>
  <c r="BP43" i="1"/>
  <c r="C55" i="1"/>
  <c r="H56" i="1" s="1"/>
  <c r="L55" i="3"/>
  <c r="L242" i="3" s="1"/>
  <c r="AV56" i="1"/>
  <c r="AV63" i="1"/>
  <c r="AV42" i="1"/>
  <c r="D402" i="2"/>
  <c r="H42" i="1"/>
  <c r="D400" i="2" s="1"/>
  <c r="H43" i="1"/>
  <c r="BF42" i="1"/>
  <c r="AQ56" i="1"/>
  <c r="J402" i="2"/>
  <c r="AL43" i="1"/>
  <c r="AL42" i="1"/>
  <c r="AL56" i="1"/>
  <c r="AL63" i="1"/>
  <c r="BK56" i="1"/>
  <c r="BK42" i="1"/>
  <c r="BK63" i="1"/>
  <c r="AQ43" i="1"/>
  <c r="AQ42" i="1"/>
  <c r="K402" i="2"/>
  <c r="AQ63" i="1"/>
  <c r="BP70" i="1"/>
  <c r="M55" i="1"/>
  <c r="N55" i="3"/>
  <c r="N242" i="3" s="1"/>
  <c r="D49" i="1"/>
  <c r="BP67" i="1" l="1"/>
  <c r="BP68" i="1"/>
  <c r="P401" i="2" s="1"/>
  <c r="BF63" i="1"/>
  <c r="BF70" i="1" s="1"/>
  <c r="BF56" i="1"/>
  <c r="C253" i="11"/>
  <c r="C254" i="11" s="1"/>
  <c r="D254" i="11" s="1"/>
  <c r="C220" i="11"/>
  <c r="BK66" i="1"/>
  <c r="BK67" i="1"/>
  <c r="BU63" i="1"/>
  <c r="BU56" i="1"/>
  <c r="BU42" i="1"/>
  <c r="K49" i="1"/>
  <c r="W49" i="1"/>
  <c r="W55" i="1" s="1"/>
  <c r="W42" i="1" s="1"/>
  <c r="G400" i="2" s="1"/>
  <c r="L49" i="1"/>
  <c r="F49" i="1"/>
  <c r="M56" i="1"/>
  <c r="E402" i="2"/>
  <c r="M43" i="1"/>
  <c r="M42" i="1"/>
  <c r="E400" i="2" s="1"/>
  <c r="AQ69" i="1"/>
  <c r="AQ66" i="1"/>
  <c r="AQ67" i="1"/>
  <c r="AQ70" i="1"/>
  <c r="AQ68" i="1"/>
  <c r="K401" i="2" s="1"/>
  <c r="T244" i="3"/>
  <c r="K400" i="2"/>
  <c r="BK68" i="1"/>
  <c r="O401" i="2" s="1"/>
  <c r="BK70" i="1"/>
  <c r="O400" i="2"/>
  <c r="BK43" i="1"/>
  <c r="X244" i="3"/>
  <c r="AL68" i="1"/>
  <c r="J401" i="2" s="1"/>
  <c r="AL67" i="1"/>
  <c r="AL66" i="1"/>
  <c r="AL69" i="1"/>
  <c r="AL70" i="1"/>
  <c r="J400" i="2"/>
  <c r="S244" i="3"/>
  <c r="N400" i="2"/>
  <c r="BF43" i="1"/>
  <c r="W244" i="3"/>
  <c r="L400" i="2"/>
  <c r="AV43" i="1"/>
  <c r="U244" i="3"/>
  <c r="AV67" i="1"/>
  <c r="AV66" i="1"/>
  <c r="AV69" i="1"/>
  <c r="AV70" i="1"/>
  <c r="AV68" i="1"/>
  <c r="L401" i="2" s="1"/>
  <c r="BA67" i="1"/>
  <c r="BA66" i="1"/>
  <c r="BA70" i="1"/>
  <c r="C42" i="1"/>
  <c r="C400" i="2" s="1"/>
  <c r="C402" i="2"/>
  <c r="C43" i="1"/>
  <c r="E234" i="11"/>
  <c r="D253" i="11"/>
  <c r="D245" i="11"/>
  <c r="C206" i="11"/>
  <c r="C225" i="11"/>
  <c r="C212" i="11"/>
  <c r="D186" i="11"/>
  <c r="S402" i="2"/>
  <c r="S406" i="2"/>
  <c r="R42" i="1"/>
  <c r="F400" i="2" s="1"/>
  <c r="F402" i="2"/>
  <c r="R43" i="1"/>
  <c r="R56" i="1"/>
  <c r="AG70" i="1"/>
  <c r="AG69" i="1"/>
  <c r="AL80" i="1" s="1"/>
  <c r="AG68" i="1"/>
  <c r="I401" i="2" s="1"/>
  <c r="AG66" i="1"/>
  <c r="AG67" i="1"/>
  <c r="I400" i="2"/>
  <c r="R244" i="3"/>
  <c r="BA56" i="1"/>
  <c r="BF66" i="1" l="1"/>
  <c r="W63" i="1"/>
  <c r="W67" i="1" s="1"/>
  <c r="W56" i="1"/>
  <c r="W43" i="1"/>
  <c r="G402" i="2"/>
  <c r="D255" i="11"/>
  <c r="BF67" i="1"/>
  <c r="AB63" i="1"/>
  <c r="AB56" i="1"/>
  <c r="Z244" i="3"/>
  <c r="BU43" i="1"/>
  <c r="Q400" i="2"/>
  <c r="BU67" i="1"/>
  <c r="BU66" i="1"/>
  <c r="BU68" i="1"/>
  <c r="Q401" i="2" s="1"/>
  <c r="BU70" i="1"/>
  <c r="AL81" i="1"/>
  <c r="AL83" i="1"/>
  <c r="AL319" i="1" s="1"/>
  <c r="C208" i="11"/>
  <c r="D206" i="11" s="1"/>
  <c r="D190" i="11"/>
  <c r="D191" i="11" s="1"/>
  <c r="W69" i="1" l="1"/>
  <c r="W68" i="1"/>
  <c r="G401" i="2" s="1"/>
  <c r="W70" i="1"/>
  <c r="W66" i="1"/>
  <c r="AB67" i="1"/>
  <c r="AB69" i="1"/>
  <c r="AB68" i="1"/>
  <c r="H401" i="2" s="1"/>
  <c r="AB66" i="1"/>
  <c r="AB70" i="1"/>
  <c r="D220" i="11"/>
  <c r="C221" i="11"/>
  <c r="C219" i="11" s="1"/>
  <c r="D219" i="11" s="1"/>
  <c r="C207" i="11"/>
  <c r="D207" i="11" s="1"/>
  <c r="CO87" i="1" l="1"/>
  <c r="CO80" i="1"/>
  <c r="CW324" i="1" l="1"/>
  <c r="CH162" i="1" l="1"/>
  <c r="CF163" i="1" l="1"/>
  <c r="BR57" i="7"/>
  <c r="CD162" i="1"/>
  <c r="CD163" i="1"/>
  <c r="BQ57" i="7"/>
  <c r="CC163" i="1"/>
  <c r="CC162" i="1"/>
  <c r="CF162" i="1"/>
  <c r="BS57" i="7"/>
  <c r="DB57" i="7" l="1"/>
  <c r="CE163" i="1"/>
  <c r="CE162" i="1"/>
  <c r="K94" i="4" l="1"/>
  <c r="K71" i="4" l="1"/>
  <c r="K107" i="4" s="1"/>
  <c r="K102" i="4"/>
  <c r="K72" i="4" l="1"/>
  <c r="AC20" i="3" l="1"/>
  <c r="Q30" i="11" s="1"/>
  <c r="T135" i="2"/>
  <c r="T140" i="2"/>
  <c r="T79" i="2" l="1"/>
  <c r="J94" i="4" l="1"/>
  <c r="J71" i="4"/>
  <c r="J107" i="4" s="1"/>
  <c r="J102" i="4" l="1"/>
  <c r="J72" i="4" l="1"/>
  <c r="I71" i="4" l="1"/>
  <c r="H70" i="4" l="1"/>
  <c r="I72" i="4" l="1"/>
  <c r="H71" i="4" l="1"/>
  <c r="H72" i="4" l="1"/>
  <c r="G71" i="4" l="1"/>
  <c r="G70" i="4"/>
  <c r="G72" i="4" l="1"/>
  <c r="F70" i="4"/>
  <c r="F71" i="4" l="1"/>
  <c r="F72" i="4" l="1"/>
  <c r="E71" i="4" l="1"/>
  <c r="E72" i="4" l="1"/>
  <c r="D72" i="4" l="1"/>
  <c r="CV11" i="9" l="1"/>
  <c r="CI278" i="1" l="1"/>
  <c r="CR11" i="9" l="1"/>
  <c r="CI61" i="1" l="1"/>
  <c r="CH42" i="1" l="1"/>
  <c r="CG42" i="1" l="1"/>
  <c r="CG61" i="1"/>
  <c r="CH61" i="1"/>
  <c r="CF61" i="1"/>
  <c r="CF42" i="1"/>
  <c r="DC38" i="7" l="1"/>
  <c r="M17" i="18"/>
  <c r="CJ105" i="1"/>
  <c r="F57" i="14"/>
  <c r="AC251" i="3"/>
  <c r="AE57" i="14" l="1"/>
  <c r="F58" i="14"/>
  <c r="CJ106" i="1"/>
  <c r="DC40" i="7" l="1"/>
  <c r="T356" i="2" l="1"/>
  <c r="T418" i="2"/>
  <c r="V41" i="27" s="1"/>
  <c r="F28" i="14"/>
  <c r="CJ12" i="1"/>
  <c r="AC19" i="3" s="1"/>
  <c r="Q25" i="11" s="1"/>
  <c r="Q35" i="11" s="1"/>
  <c r="Q45" i="11" s="1"/>
  <c r="M10" i="18"/>
  <c r="DC9" i="7"/>
  <c r="DC33" i="7" s="1"/>
  <c r="F27" i="16"/>
  <c r="Y27" i="16" s="1"/>
  <c r="N681" i="21"/>
  <c r="N291" i="21" s="1"/>
  <c r="AE28" i="14" l="1"/>
  <c r="N28" i="14"/>
  <c r="CJ17" i="1"/>
  <c r="T420" i="2"/>
  <c r="T378" i="2"/>
  <c r="AC72" i="3" s="1"/>
  <c r="N295" i="21"/>
  <c r="N297" i="21" s="1"/>
  <c r="N331" i="21"/>
  <c r="N615" i="21"/>
  <c r="N618" i="21" s="1"/>
  <c r="N553" i="21" s="1"/>
  <c r="G6" i="23"/>
  <c r="I6" i="10"/>
  <c r="I21" i="10" s="1"/>
  <c r="CJ13" i="1"/>
  <c r="F28" i="16"/>
  <c r="Y28" i="16" s="1"/>
  <c r="Q46" i="11"/>
  <c r="N346" i="21"/>
  <c r="F29" i="14"/>
  <c r="AC130" i="3"/>
  <c r="AC247" i="3"/>
  <c r="C12" i="25" l="1"/>
  <c r="N330" i="21"/>
  <c r="N321" i="21" s="1"/>
  <c r="N182" i="21"/>
  <c r="G30" i="23"/>
  <c r="E45" i="17"/>
  <c r="N347" i="21"/>
  <c r="N415" i="21"/>
  <c r="N541" i="21"/>
  <c r="M615" i="21"/>
  <c r="M618" i="21" s="1"/>
  <c r="I6" i="23"/>
  <c r="N375" i="21"/>
  <c r="D39" i="22"/>
  <c r="N573" i="21"/>
  <c r="N595" i="21"/>
  <c r="AC13" i="3"/>
  <c r="T345" i="2"/>
  <c r="I30" i="23" l="1"/>
  <c r="L6" i="23"/>
  <c r="K6" i="23"/>
  <c r="G45" i="17"/>
  <c r="E51" i="17"/>
  <c r="T396" i="2"/>
  <c r="AC86" i="3"/>
  <c r="AC134" i="3"/>
  <c r="T325" i="2"/>
  <c r="M7" i="23" l="1"/>
  <c r="G51" i="17"/>
  <c r="CJ132" i="1"/>
  <c r="CJ318" i="1" s="1"/>
  <c r="CJ134" i="1"/>
  <c r="CJ323" i="1" s="1"/>
  <c r="CW323" i="1" s="1"/>
  <c r="CJ228" i="1"/>
  <c r="F10" i="14" s="1"/>
  <c r="CJ229" i="1"/>
  <c r="F12" i="14" s="1"/>
  <c r="N12" i="14" l="1"/>
  <c r="AE12" i="14"/>
  <c r="N10" i="14"/>
  <c r="AE10" i="14"/>
  <c r="F11" i="14"/>
  <c r="F13" i="14"/>
  <c r="F9" i="16"/>
  <c r="F78" i="16" s="1"/>
  <c r="F11" i="16"/>
  <c r="CO134" i="1"/>
  <c r="CO132" i="1"/>
  <c r="CJ135" i="1"/>
  <c r="CJ133" i="1"/>
  <c r="F10" i="16" l="1"/>
  <c r="CO323" i="1"/>
  <c r="CP134" i="1"/>
  <c r="CO318" i="1"/>
  <c r="CP132" i="1"/>
  <c r="F12" i="16"/>
  <c r="F79" i="16"/>
  <c r="CP318" i="1" l="1"/>
  <c r="CQ132" i="1"/>
  <c r="CP323" i="1"/>
  <c r="CQ134" i="1"/>
  <c r="CX323" i="1"/>
  <c r="CR134" i="1" l="1"/>
  <c r="CQ323" i="1"/>
  <c r="CY323" i="1"/>
  <c r="CQ318" i="1"/>
  <c r="CR132" i="1"/>
  <c r="CS132" i="1" l="1"/>
  <c r="CR318" i="1"/>
  <c r="CS134" i="1"/>
  <c r="CR323" i="1"/>
  <c r="CS323" i="1" l="1"/>
  <c r="CT134" i="1"/>
  <c r="CT323" i="1" s="1"/>
  <c r="CT132" i="1"/>
  <c r="CT318" i="1" s="1"/>
  <c r="CS318" i="1"/>
  <c r="V125" i="2" l="1"/>
  <c r="V103" i="2" s="1"/>
  <c r="M98" i="4" l="1"/>
  <c r="N98" i="4" l="1"/>
  <c r="O98" i="4" l="1"/>
  <c r="P98" i="4" l="1"/>
  <c r="R98" i="4" l="1"/>
  <c r="Q98" i="4"/>
  <c r="T193" i="2" l="1"/>
  <c r="AC28" i="3" l="1"/>
  <c r="AC128" i="3" s="1"/>
  <c r="T60" i="2"/>
  <c r="T386" i="2" s="1"/>
  <c r="T342" i="2"/>
  <c r="AC80" i="3" l="1"/>
  <c r="AE83" i="3" l="1"/>
  <c r="AI83" i="3" l="1"/>
  <c r="AH83" i="3"/>
  <c r="AG83" i="3"/>
  <c r="AF83" i="3"/>
  <c r="D126" i="17" l="1"/>
  <c r="N320" i="21" l="1"/>
  <c r="CJ47" i="1" l="1"/>
  <c r="AC55" i="3" l="1"/>
  <c r="AC242" i="3" s="1"/>
  <c r="T405" i="2"/>
  <c r="T402" i="2" l="1"/>
  <c r="T406" i="2"/>
  <c r="AA25" i="22" l="1"/>
  <c r="R38" i="22"/>
  <c r="AA26" i="22" s="1"/>
  <c r="C42" i="17" l="1"/>
  <c r="CJ51" i="1" l="1"/>
  <c r="CJ59" i="1" s="1"/>
  <c r="CJ53" i="1"/>
  <c r="CJ52" i="1"/>
  <c r="CJ60" i="1" s="1"/>
  <c r="CJ57" i="1" l="1"/>
  <c r="CJ61" i="1"/>
  <c r="BZ55" i="1" l="1"/>
  <c r="BZ56" i="1" l="1"/>
  <c r="BZ42" i="1"/>
  <c r="BZ54" i="1"/>
  <c r="BZ62" i="1" s="1"/>
  <c r="BZ63" i="1"/>
  <c r="CJ49" i="1"/>
  <c r="CE55" i="1"/>
  <c r="AD55" i="3" l="1"/>
  <c r="AD242" i="3" s="1"/>
  <c r="V405" i="2"/>
  <c r="BZ68" i="1"/>
  <c r="R401" i="2" s="1"/>
  <c r="BZ70" i="1"/>
  <c r="BZ67" i="1"/>
  <c r="BZ66" i="1"/>
  <c r="CE63" i="1"/>
  <c r="CE56" i="1"/>
  <c r="CE42" i="1"/>
  <c r="CE54" i="1"/>
  <c r="CE62" i="1" s="1"/>
  <c r="BZ43" i="1"/>
  <c r="AA244" i="3"/>
  <c r="R400" i="2"/>
  <c r="CJ55" i="1"/>
  <c r="CE69" i="1" l="1"/>
  <c r="W405" i="2"/>
  <c r="AE55" i="3"/>
  <c r="AE242" i="3" s="1"/>
  <c r="CJ56" i="1"/>
  <c r="CJ54" i="1"/>
  <c r="CJ62" i="1" s="1"/>
  <c r="CJ63" i="1"/>
  <c r="CJ42" i="1"/>
  <c r="S400" i="2"/>
  <c r="CE43" i="1"/>
  <c r="AB244" i="3"/>
  <c r="CE66" i="1"/>
  <c r="CE68" i="1"/>
  <c r="S401" i="2" s="1"/>
  <c r="CE70" i="1"/>
  <c r="CE67" i="1"/>
  <c r="V406" i="2"/>
  <c r="V402" i="2"/>
  <c r="X405" i="2" l="1"/>
  <c r="AF55" i="3"/>
  <c r="AF242" i="3" s="1"/>
  <c r="T400" i="2"/>
  <c r="CJ43" i="1"/>
  <c r="AC244" i="3"/>
  <c r="CJ70" i="1"/>
  <c r="CJ67" i="1"/>
  <c r="CJ66" i="1"/>
  <c r="CJ68" i="1"/>
  <c r="T401" i="2" s="1"/>
  <c r="CJ69" i="1"/>
  <c r="CO63" i="1"/>
  <c r="CO70" i="1" s="1"/>
  <c r="CO56" i="1"/>
  <c r="W402" i="2"/>
  <c r="W406" i="2"/>
  <c r="Z405" i="2" l="1"/>
  <c r="AH55" i="3"/>
  <c r="AH242" i="3" s="1"/>
  <c r="CP56" i="1"/>
  <c r="CP63" i="1"/>
  <c r="CP70" i="1" s="1"/>
  <c r="CO60" i="1"/>
  <c r="CO67" i="1" s="1"/>
  <c r="AG55" i="3"/>
  <c r="AG242" i="3" s="1"/>
  <c r="Y405" i="2"/>
  <c r="X402" i="2"/>
  <c r="X406" i="2"/>
  <c r="CP60" i="1" l="1"/>
  <c r="CP67" i="1" s="1"/>
  <c r="CQ63" i="1"/>
  <c r="CQ70" i="1" s="1"/>
  <c r="CQ56" i="1"/>
  <c r="Y402" i="2"/>
  <c r="Y406" i="2"/>
  <c r="Z406" i="2"/>
  <c r="Z402" i="2"/>
  <c r="CO59" i="1"/>
  <c r="CO66" i="1" s="1"/>
  <c r="AI55" i="3"/>
  <c r="AI242" i="3" s="1"/>
  <c r="AA405" i="2"/>
  <c r="CQ60" i="1"/>
  <c r="CQ67" i="1" l="1"/>
  <c r="CQ59" i="1"/>
  <c r="CQ66" i="1" s="1"/>
  <c r="CP59" i="1"/>
  <c r="CP66" i="1" s="1"/>
  <c r="CR56" i="1"/>
  <c r="CR63" i="1"/>
  <c r="CR70" i="1" s="1"/>
  <c r="AA402" i="2"/>
  <c r="AA406" i="2"/>
  <c r="CR60" i="1"/>
  <c r="CR67" i="1" s="1"/>
  <c r="CR59" i="1"/>
  <c r="CR66" i="1" l="1"/>
  <c r="CS56" i="1"/>
  <c r="CS63" i="1"/>
  <c r="CS70" i="1" s="1"/>
  <c r="CS59" i="1"/>
  <c r="CS60" i="1"/>
  <c r="CS67" i="1" l="1"/>
  <c r="CS66" i="1"/>
  <c r="CT56" i="1"/>
  <c r="CT63" i="1"/>
  <c r="CT70" i="1" s="1"/>
  <c r="CT60" i="1"/>
  <c r="CT59" i="1"/>
  <c r="CT66" i="1" l="1"/>
  <c r="CT67" i="1"/>
  <c r="BW35" i="7" l="1"/>
  <c r="CK233" i="1" l="1"/>
  <c r="BV41" i="7" l="1"/>
  <c r="AR16" i="18"/>
  <c r="CI165" i="1"/>
  <c r="CW3" i="9"/>
  <c r="CI190" i="1"/>
  <c r="CJ96" i="1"/>
  <c r="CK330" i="1"/>
  <c r="CK235" i="1"/>
  <c r="AS7" i="18" s="1"/>
  <c r="CI233" i="1"/>
  <c r="BW51" i="7"/>
  <c r="BW48" i="7" s="1"/>
  <c r="BW50" i="7"/>
  <c r="BW47" i="7" s="1"/>
  <c r="BV50" i="7"/>
  <c r="BV47" i="7" s="1"/>
  <c r="BV51" i="7"/>
  <c r="BV48" i="7" s="1"/>
  <c r="BW23" i="7"/>
  <c r="BW26" i="7"/>
  <c r="BW46" i="7"/>
  <c r="BV46" i="7"/>
  <c r="CL94" i="1" l="1"/>
  <c r="CL97" i="1" s="1"/>
  <c r="CK53" i="1"/>
  <c r="BW28" i="7"/>
  <c r="AS16" i="18"/>
  <c r="CK190" i="1"/>
  <c r="BW41" i="7"/>
  <c r="CK165" i="1"/>
  <c r="CL168" i="1" s="1"/>
  <c r="CK171" i="1"/>
  <c r="BW45" i="7" s="1"/>
  <c r="BV16" i="7"/>
  <c r="BV19" i="7"/>
  <c r="CI171" i="1"/>
  <c r="CX3" i="9"/>
  <c r="M16" i="18"/>
  <c r="AC51" i="3"/>
  <c r="AC243" i="3" s="1"/>
  <c r="N388" i="21"/>
  <c r="DC41" i="7"/>
  <c r="CJ165" i="1"/>
  <c r="F51" i="14"/>
  <c r="CO94" i="1"/>
  <c r="CJ190" i="1"/>
  <c r="T399" i="2"/>
  <c r="F55" i="16"/>
  <c r="CK94" i="1"/>
  <c r="CK97" i="1" s="1"/>
  <c r="CK203" i="1" s="1"/>
  <c r="CK205" i="1" s="1"/>
  <c r="BV44" i="7"/>
  <c r="CI292" i="1"/>
  <c r="CI299" i="1" s="1"/>
  <c r="CI326" i="1"/>
  <c r="CI298" i="1"/>
  <c r="CK419" i="1"/>
  <c r="CK447" i="1"/>
  <c r="BW7" i="7"/>
  <c r="CK294" i="1"/>
  <c r="CK223" i="1"/>
  <c r="CK174" i="1"/>
  <c r="CK298" i="1"/>
  <c r="CK326" i="1"/>
  <c r="CK292" i="1"/>
  <c r="CK299" i="1" s="1"/>
  <c r="CK266" i="1"/>
  <c r="CL95" i="1" l="1"/>
  <c r="CL61" i="1"/>
  <c r="CK42" i="1"/>
  <c r="CK61" i="1"/>
  <c r="CL138" i="1"/>
  <c r="CL203" i="1"/>
  <c r="CJ171" i="1"/>
  <c r="DC45" i="7" s="1"/>
  <c r="BV45" i="7"/>
  <c r="Y55" i="16"/>
  <c r="BW16" i="7"/>
  <c r="BW19" i="7"/>
  <c r="CK168" i="1"/>
  <c r="CJ167" i="1"/>
  <c r="CO167" i="1" s="1"/>
  <c r="CP167" i="1" s="1"/>
  <c r="CQ167" i="1" s="1"/>
  <c r="CR167" i="1" s="1"/>
  <c r="CS167" i="1" s="1"/>
  <c r="CT167" i="1" s="1"/>
  <c r="DC44" i="7"/>
  <c r="CK95" i="1"/>
  <c r="N390" i="21"/>
  <c r="N396" i="21" s="1"/>
  <c r="O396" i="21" s="1"/>
  <c r="P396" i="21" s="1"/>
  <c r="Q396" i="21" s="1"/>
  <c r="R396" i="21" s="1"/>
  <c r="S396" i="21" s="1"/>
  <c r="T396" i="21" s="1"/>
  <c r="BW44" i="7"/>
  <c r="CO125" i="1"/>
  <c r="AE51" i="14"/>
  <c r="CK138" i="1"/>
  <c r="CK293" i="1"/>
  <c r="CK328" i="1"/>
  <c r="CK312" i="1"/>
  <c r="CK289" i="1"/>
  <c r="CK306" i="1"/>
  <c r="CK230" i="1" s="1"/>
  <c r="CK231" i="1" s="1"/>
  <c r="CK234" i="1" s="1"/>
  <c r="BW8" i="7"/>
  <c r="BW30" i="7"/>
  <c r="CK423" i="1"/>
  <c r="CK425" i="1"/>
  <c r="CK426" i="1" s="1"/>
  <c r="CK421" i="1"/>
  <c r="CK442" i="1"/>
  <c r="CK271" i="1"/>
  <c r="CK20" i="1" s="1"/>
  <c r="CK269" i="1"/>
  <c r="CK455" i="1"/>
  <c r="CL205" i="1" l="1"/>
  <c r="CI94" i="1"/>
  <c r="BU41" i="7"/>
  <c r="CV3" i="9"/>
  <c r="CH190" i="1"/>
  <c r="CH165" i="1"/>
  <c r="CM166" i="1" s="1"/>
  <c r="AQ16" i="18"/>
  <c r="O390" i="21"/>
  <c r="N273" i="21"/>
  <c r="BU50" i="7"/>
  <c r="BU47" i="7" s="1"/>
  <c r="BU51" i="7"/>
  <c r="BU48" i="7" s="1"/>
  <c r="CK443" i="1"/>
  <c r="CK445" i="1"/>
  <c r="AS6" i="18"/>
  <c r="CK236" i="1"/>
  <c r="CK459" i="1"/>
  <c r="CK430" i="1"/>
  <c r="CK431" i="1"/>
  <c r="CK465" i="1"/>
  <c r="CK275" i="1"/>
  <c r="BW10" i="7"/>
  <c r="BW34" i="7" s="1"/>
  <c r="CK282" i="1"/>
  <c r="CK285" i="1" s="1"/>
  <c r="AS11" i="18"/>
  <c r="BU46" i="7"/>
  <c r="CH171" i="1" l="1"/>
  <c r="BU45" i="7" s="1"/>
  <c r="BU44" i="7"/>
  <c r="CI168" i="1"/>
  <c r="N285" i="21"/>
  <c r="N274" i="21"/>
  <c r="CI97" i="1"/>
  <c r="CI203" i="1" s="1"/>
  <c r="CI95" i="1"/>
  <c r="P390" i="21"/>
  <c r="O273" i="21"/>
  <c r="CH292" i="1"/>
  <c r="CH326" i="1"/>
  <c r="CH298" i="1"/>
  <c r="CK245" i="1"/>
  <c r="CK246" i="1" s="1"/>
  <c r="AS8" i="18"/>
  <c r="CK5" i="1"/>
  <c r="CK413" i="1" s="1"/>
  <c r="CK250" i="1"/>
  <c r="CK279" i="1"/>
  <c r="CK259" i="1"/>
  <c r="CK273" i="1"/>
  <c r="CH299" i="1" l="1"/>
  <c r="CM299" i="1"/>
  <c r="N286" i="21"/>
  <c r="N288" i="21" s="1"/>
  <c r="O280" i="21"/>
  <c r="V274" i="21"/>
  <c r="BU16" i="7"/>
  <c r="BU19" i="7"/>
  <c r="Q390" i="21"/>
  <c r="P273" i="21"/>
  <c r="O279" i="21"/>
  <c r="O276" i="21"/>
  <c r="CK408" i="1"/>
  <c r="CK400" i="1"/>
  <c r="CK14" i="1"/>
  <c r="CK8" i="1"/>
  <c r="CK396" i="1"/>
  <c r="CK391" i="1"/>
  <c r="CK28" i="1"/>
  <c r="CK404" i="1"/>
  <c r="CK22" i="1"/>
  <c r="CL297" i="1"/>
  <c r="CG94" i="1" l="1"/>
  <c r="CF165" i="1"/>
  <c r="CF190" i="1"/>
  <c r="AO16" i="18"/>
  <c r="CT3" i="9"/>
  <c r="BS41" i="7"/>
  <c r="C223" i="17" s="1"/>
  <c r="C225" i="17" s="1"/>
  <c r="C230" i="17" s="1"/>
  <c r="CK98" i="1"/>
  <c r="O285" i="21"/>
  <c r="O287" i="21"/>
  <c r="O326" i="21"/>
  <c r="O320" i="21" s="1"/>
  <c r="O343" i="21" s="1"/>
  <c r="D11" i="25" s="1"/>
  <c r="O327" i="21"/>
  <c r="O282" i="21"/>
  <c r="O286" i="21"/>
  <c r="P279" i="21"/>
  <c r="P276" i="21"/>
  <c r="P285" i="21" s="1"/>
  <c r="AP12" i="18"/>
  <c r="BT11" i="7"/>
  <c r="CU13" i="9"/>
  <c r="CU14" i="9" s="1"/>
  <c r="K694" i="21"/>
  <c r="CG31" i="1"/>
  <c r="R390" i="21"/>
  <c r="Q273" i="21"/>
  <c r="CL98" i="1"/>
  <c r="CD165" i="1"/>
  <c r="CD53" i="1"/>
  <c r="CR3" i="9"/>
  <c r="AN16" i="18"/>
  <c r="BR41" i="7"/>
  <c r="CD190" i="1"/>
  <c r="CE96" i="1"/>
  <c r="CI98" i="1"/>
  <c r="BQ41" i="7"/>
  <c r="CC165" i="1"/>
  <c r="CQ3" i="9"/>
  <c r="AM16" i="18"/>
  <c r="CC53" i="1"/>
  <c r="CD94" i="1"/>
  <c r="CD97" i="1" s="1"/>
  <c r="CD203" i="1" s="1"/>
  <c r="CC190" i="1"/>
  <c r="CH98" i="1"/>
  <c r="BS50" i="7"/>
  <c r="BS47" i="7" s="1"/>
  <c r="CF209" i="1"/>
  <c r="BS51" i="7"/>
  <c r="BS48" i="7" s="1"/>
  <c r="CK209" i="1"/>
  <c r="BS23" i="7"/>
  <c r="J691" i="21"/>
  <c r="CT11" i="9"/>
  <c r="CK278" i="1"/>
  <c r="CL409" i="1"/>
  <c r="CF235" i="1"/>
  <c r="AO7" i="18" s="1"/>
  <c r="CF330" i="1"/>
  <c r="CK375" i="1" s="1"/>
  <c r="CD209" i="1"/>
  <c r="BR51" i="7"/>
  <c r="BR48" i="7" s="1"/>
  <c r="BR50" i="7"/>
  <c r="BR47" i="7" s="1"/>
  <c r="CI209" i="1"/>
  <c r="CL392" i="1"/>
  <c r="CC232" i="1"/>
  <c r="CG232" i="1"/>
  <c r="CL397" i="1"/>
  <c r="CE208" i="1"/>
  <c r="BQ50" i="7"/>
  <c r="BQ47" i="7" s="1"/>
  <c r="CC209" i="1"/>
  <c r="BQ51" i="7"/>
  <c r="BQ48" i="7" s="1"/>
  <c r="CH209" i="1"/>
  <c r="CF233" i="1"/>
  <c r="J688" i="21"/>
  <c r="BS26" i="7"/>
  <c r="CG297" i="1"/>
  <c r="CG161" i="1"/>
  <c r="CL162" i="1" s="1"/>
  <c r="CJ290" i="1"/>
  <c r="CH232" i="1"/>
  <c r="CD232" i="1"/>
  <c r="CF328" i="1"/>
  <c r="BT46" i="7"/>
  <c r="CL278" i="1"/>
  <c r="BR46" i="7"/>
  <c r="BQ46" i="7"/>
  <c r="AD292" i="1"/>
  <c r="AD293" i="1" s="1"/>
  <c r="AE292" i="1"/>
  <c r="AE293" i="1" s="1"/>
  <c r="AF292" i="1"/>
  <c r="AF293" i="1" s="1"/>
  <c r="CL402" i="1" l="1"/>
  <c r="CL405" i="1"/>
  <c r="O288" i="21"/>
  <c r="BQ44" i="7"/>
  <c r="CH166" i="1"/>
  <c r="Q276" i="21"/>
  <c r="Q279" i="21"/>
  <c r="BR16" i="7"/>
  <c r="BR19" i="7"/>
  <c r="BS46" i="7"/>
  <c r="CJ172" i="1"/>
  <c r="DC46" i="7" s="1"/>
  <c r="S390" i="21"/>
  <c r="R273" i="21"/>
  <c r="BS16" i="7"/>
  <c r="BS19" i="7"/>
  <c r="CD171" i="1"/>
  <c r="CD95" i="1"/>
  <c r="K646" i="21"/>
  <c r="K649" i="21" s="1"/>
  <c r="K567" i="21" s="1"/>
  <c r="CE190" i="1"/>
  <c r="CJ97" i="1"/>
  <c r="S399" i="2"/>
  <c r="T408" i="2" s="1"/>
  <c r="L16" i="18"/>
  <c r="CE165" i="1"/>
  <c r="DB41" i="7"/>
  <c r="AB51" i="3"/>
  <c r="AB243" i="3" s="1"/>
  <c r="I388" i="21"/>
  <c r="E55" i="16"/>
  <c r="CS3" i="9"/>
  <c r="CJ94" i="1"/>
  <c r="CF94" i="1"/>
  <c r="E51" i="14"/>
  <c r="CJ98" i="1"/>
  <c r="BT24" i="7"/>
  <c r="BT35" i="7"/>
  <c r="CF171" i="1"/>
  <c r="BS45" i="7" s="1"/>
  <c r="CC171" i="1"/>
  <c r="BQ45" i="7" s="1"/>
  <c r="C231" i="17"/>
  <c r="C239" i="17" s="1"/>
  <c r="BQ16" i="7"/>
  <c r="BQ19" i="7"/>
  <c r="CI204" i="1"/>
  <c r="P326" i="21"/>
  <c r="P320" i="21" s="1"/>
  <c r="P343" i="21" s="1"/>
  <c r="P286" i="21"/>
  <c r="P282" i="21"/>
  <c r="P287" i="21"/>
  <c r="P327" i="21"/>
  <c r="BU11" i="7"/>
  <c r="CV13" i="9"/>
  <c r="CV14" i="9" s="1"/>
  <c r="AQ12" i="18"/>
  <c r="L694" i="21"/>
  <c r="L646" i="21" s="1"/>
  <c r="L649" i="21" s="1"/>
  <c r="L567" i="21" s="1"/>
  <c r="CH31" i="1"/>
  <c r="CC42" i="1"/>
  <c r="CD42" i="1"/>
  <c r="CD61" i="1"/>
  <c r="CD168" i="1"/>
  <c r="BR44" i="7"/>
  <c r="CI166" i="1"/>
  <c r="BS44" i="7"/>
  <c r="CK166" i="1"/>
  <c r="BT41" i="7"/>
  <c r="CG165" i="1"/>
  <c r="CL166" i="1" s="1"/>
  <c r="CH94" i="1"/>
  <c r="CU3" i="9"/>
  <c r="CG190" i="1"/>
  <c r="AP16" i="18"/>
  <c r="CG95" i="1"/>
  <c r="CG171" i="1"/>
  <c r="BT45" i="7" s="1"/>
  <c r="CG97" i="1"/>
  <c r="CG203" i="1" s="1"/>
  <c r="CL204" i="1" s="1"/>
  <c r="BS28" i="7"/>
  <c r="CH243" i="1"/>
  <c r="L677" i="21" s="1"/>
  <c r="AM292" i="1"/>
  <c r="AQ291" i="1"/>
  <c r="AM298" i="1"/>
  <c r="CF201" i="1"/>
  <c r="CF220" i="1"/>
  <c r="CL209" i="1"/>
  <c r="CH241" i="1"/>
  <c r="L675" i="21" s="1"/>
  <c r="CU9" i="9"/>
  <c r="CG252" i="1"/>
  <c r="CG439" i="1"/>
  <c r="CG35" i="1"/>
  <c r="BT12" i="7" s="1"/>
  <c r="CG242" i="1"/>
  <c r="K676" i="21" s="1"/>
  <c r="CT10" i="9"/>
  <c r="BT23" i="7"/>
  <c r="K691" i="21"/>
  <c r="K636" i="21" s="1"/>
  <c r="K638" i="21" s="1"/>
  <c r="K561" i="21" s="1"/>
  <c r="CF306" i="1"/>
  <c r="CF230" i="1" s="1"/>
  <c r="CF231" i="1" s="1"/>
  <c r="CF234" i="1" s="1"/>
  <c r="CF289" i="1"/>
  <c r="CF312" i="1"/>
  <c r="CK308" i="1"/>
  <c r="CH240" i="1"/>
  <c r="CH411" i="1"/>
  <c r="CM412" i="1" s="1"/>
  <c r="CH393" i="1"/>
  <c r="CG241" i="1"/>
  <c r="K675" i="21" s="1"/>
  <c r="E10" i="17"/>
  <c r="CE310" i="1"/>
  <c r="CE232" i="1" s="1"/>
  <c r="J684" i="21"/>
  <c r="CF266" i="1"/>
  <c r="CK258" i="1"/>
  <c r="CG243" i="1"/>
  <c r="K677" i="21" s="1"/>
  <c r="E12" i="17"/>
  <c r="CC330" i="1"/>
  <c r="CC235" i="1"/>
  <c r="AM7" i="18" s="1"/>
  <c r="E11" i="17"/>
  <c r="CH242" i="1"/>
  <c r="L676" i="21" s="1"/>
  <c r="CF223" i="1"/>
  <c r="CK220" i="1"/>
  <c r="BE298" i="1"/>
  <c r="BE292" i="1"/>
  <c r="BE326" i="1"/>
  <c r="AJ292" i="1"/>
  <c r="AJ298" i="1"/>
  <c r="CJ161" i="1"/>
  <c r="CJ297" i="1"/>
  <c r="AC245" i="3"/>
  <c r="AY298" i="1"/>
  <c r="AY292" i="1"/>
  <c r="AY326" i="1"/>
  <c r="AH298" i="1"/>
  <c r="AH292" i="1"/>
  <c r="AL291" i="1"/>
  <c r="BT298" i="1"/>
  <c r="BO326" i="1"/>
  <c r="BO298" i="1"/>
  <c r="BO292" i="1"/>
  <c r="BT326" i="1"/>
  <c r="AX298" i="1"/>
  <c r="AX292" i="1"/>
  <c r="AX326" i="1"/>
  <c r="BN326" i="1"/>
  <c r="BN292" i="1"/>
  <c r="BS326" i="1"/>
  <c r="BS298" i="1"/>
  <c r="BN298" i="1"/>
  <c r="BA291" i="1"/>
  <c r="AW292" i="1"/>
  <c r="AW298" i="1"/>
  <c r="AW326" i="1"/>
  <c r="CG393" i="1"/>
  <c r="CG411" i="1"/>
  <c r="CG240" i="1"/>
  <c r="E9" i="17"/>
  <c r="CF174" i="1"/>
  <c r="CK175" i="1" s="1"/>
  <c r="CK201" i="1"/>
  <c r="AZ292" i="1"/>
  <c r="AZ326" i="1"/>
  <c r="AZ298" i="1"/>
  <c r="CL226" i="1"/>
  <c r="CH163" i="1"/>
  <c r="BT57" i="7"/>
  <c r="CG163" i="1"/>
  <c r="CG162" i="1"/>
  <c r="BM298" i="1"/>
  <c r="BR298" i="1"/>
  <c r="BM292" i="1"/>
  <c r="BM326" i="1"/>
  <c r="BR326" i="1"/>
  <c r="AU326" i="1"/>
  <c r="AU298" i="1"/>
  <c r="AU292" i="1"/>
  <c r="J626" i="21"/>
  <c r="J628" i="21" s="1"/>
  <c r="J557" i="21" s="1"/>
  <c r="CG244" i="1"/>
  <c r="K678" i="21" s="1"/>
  <c r="E13" i="17"/>
  <c r="AT292" i="1"/>
  <c r="AT298" i="1"/>
  <c r="AT326" i="1"/>
  <c r="CL220" i="1"/>
  <c r="CL201" i="1"/>
  <c r="J636" i="21"/>
  <c r="J638" i="21" s="1"/>
  <c r="J561" i="21" s="1"/>
  <c r="BG326" i="1"/>
  <c r="BG298" i="1"/>
  <c r="BK291" i="1"/>
  <c r="BG292" i="1"/>
  <c r="AK292" i="1"/>
  <c r="AK298" i="1"/>
  <c r="BL326" i="1"/>
  <c r="BL292" i="1"/>
  <c r="BP291" i="1"/>
  <c r="BL298" i="1"/>
  <c r="AS292" i="1"/>
  <c r="AS298" i="1"/>
  <c r="AS326" i="1"/>
  <c r="CL258" i="1"/>
  <c r="BI292" i="1"/>
  <c r="AR298" i="1"/>
  <c r="AR292" i="1"/>
  <c r="AV291" i="1"/>
  <c r="AR326" i="1"/>
  <c r="CV9" i="9"/>
  <c r="CH439" i="1"/>
  <c r="CH252" i="1"/>
  <c r="CH35" i="1"/>
  <c r="BU12" i="7" s="1"/>
  <c r="BH292" i="1"/>
  <c r="AP298" i="1"/>
  <c r="AP292" i="1"/>
  <c r="CF447" i="1"/>
  <c r="CF226" i="1"/>
  <c r="CF419" i="1"/>
  <c r="CT7" i="9"/>
  <c r="CK226" i="1"/>
  <c r="CU11" i="9"/>
  <c r="CG330" i="1"/>
  <c r="CL375" i="1" s="1"/>
  <c r="CG235" i="1"/>
  <c r="AP7" i="18" s="1"/>
  <c r="CH244" i="1"/>
  <c r="L678" i="21" s="1"/>
  <c r="CF294" i="1"/>
  <c r="BS7" i="7"/>
  <c r="AG291" i="1"/>
  <c r="AG292" i="1" s="1"/>
  <c r="AG293" i="1" s="1"/>
  <c r="AC292" i="1"/>
  <c r="AC293" i="1" s="1"/>
  <c r="K688" i="21"/>
  <c r="K626" i="21" s="1"/>
  <c r="K628" i="21" s="1"/>
  <c r="K557" i="21" s="1"/>
  <c r="BT26" i="7"/>
  <c r="AI292" i="1"/>
  <c r="AI298" i="1"/>
  <c r="CE209" i="1"/>
  <c r="DB51" i="7"/>
  <c r="BJ326" i="1"/>
  <c r="BJ298" i="1"/>
  <c r="BJ292" i="1"/>
  <c r="BH297" i="1"/>
  <c r="BC297" i="1"/>
  <c r="AO292" i="1"/>
  <c r="AO298" i="1"/>
  <c r="BB292" i="1"/>
  <c r="BB326" i="1"/>
  <c r="BB298" i="1"/>
  <c r="AN292" i="1"/>
  <c r="AN298" i="1"/>
  <c r="CJ277" i="1"/>
  <c r="CJ283" i="1" s="1"/>
  <c r="CJ395" i="1"/>
  <c r="CI232" i="1"/>
  <c r="BH326" i="1"/>
  <c r="BF290" i="1"/>
  <c r="CL412" i="1" l="1"/>
  <c r="CL298" i="1"/>
  <c r="CL326" i="1"/>
  <c r="P288" i="21"/>
  <c r="P55" i="16"/>
  <c r="X55" i="16" s="1"/>
  <c r="F58" i="16"/>
  <c r="BT16" i="7"/>
  <c r="BT19" i="7"/>
  <c r="I390" i="21"/>
  <c r="N391" i="21" s="1"/>
  <c r="R279" i="21"/>
  <c r="R276" i="21"/>
  <c r="C234" i="17"/>
  <c r="C238" i="17"/>
  <c r="C237" i="17"/>
  <c r="T390" i="21"/>
  <c r="T273" i="21" s="1"/>
  <c r="S273" i="21"/>
  <c r="DB44" i="7"/>
  <c r="CE167" i="1"/>
  <c r="CJ166" i="1"/>
  <c r="CF168" i="1"/>
  <c r="BU24" i="7"/>
  <c r="BU35" i="7"/>
  <c r="CJ138" i="1"/>
  <c r="CJ143" i="1"/>
  <c r="CJ104" i="1"/>
  <c r="CJ142" i="1"/>
  <c r="Q285" i="21"/>
  <c r="Q287" i="21"/>
  <c r="Q326" i="21"/>
  <c r="Q320" i="21" s="1"/>
  <c r="Q343" i="21" s="1"/>
  <c r="Q327" i="21"/>
  <c r="Q286" i="21"/>
  <c r="Q282" i="21"/>
  <c r="CI31" i="1"/>
  <c r="BV11" i="7"/>
  <c r="CW13" i="9"/>
  <c r="CW14" i="9" s="1"/>
  <c r="AR12" i="18"/>
  <c r="CJ27" i="1"/>
  <c r="BU7" i="7"/>
  <c r="CI169" i="1"/>
  <c r="P344" i="21"/>
  <c r="P374" i="21"/>
  <c r="E11" i="25"/>
  <c r="AD51" i="14"/>
  <c r="F54" i="14"/>
  <c r="AE54" i="14" s="1"/>
  <c r="CH97" i="1"/>
  <c r="CH203" i="1" s="1"/>
  <c r="CM204" i="1" s="1"/>
  <c r="CH95" i="1"/>
  <c r="CF97" i="1"/>
  <c r="CF95" i="1"/>
  <c r="CG168" i="1"/>
  <c r="CL169" i="1" s="1"/>
  <c r="BT44" i="7"/>
  <c r="CH168" i="1"/>
  <c r="CM169" i="1" s="1"/>
  <c r="CJ125" i="1"/>
  <c r="CJ95" i="1"/>
  <c r="CJ126" i="1" s="1"/>
  <c r="CE171" i="1"/>
  <c r="DB45" i="7" s="1"/>
  <c r="BR45" i="7"/>
  <c r="BT28" i="7"/>
  <c r="CJ241" i="1"/>
  <c r="BP298" i="1"/>
  <c r="BP326" i="1"/>
  <c r="BP292" i="1"/>
  <c r="G13" i="17"/>
  <c r="AX299" i="1"/>
  <c r="AX293" i="1"/>
  <c r="G12" i="17"/>
  <c r="CG326" i="1"/>
  <c r="CJ291" i="1"/>
  <c r="CG298" i="1"/>
  <c r="CG292" i="1"/>
  <c r="BL293" i="1"/>
  <c r="BL299" i="1"/>
  <c r="BR299" i="1"/>
  <c r="BM293" i="1"/>
  <c r="BM299" i="1"/>
  <c r="BT51" i="7"/>
  <c r="BT48" i="7" s="1"/>
  <c r="CG209" i="1"/>
  <c r="BT50" i="7"/>
  <c r="BT47" i="7" s="1"/>
  <c r="CJ403" i="1"/>
  <c r="CI243" i="1"/>
  <c r="AV292" i="1"/>
  <c r="AV298" i="1"/>
  <c r="AV326" i="1"/>
  <c r="CK163" i="1"/>
  <c r="CJ162" i="1"/>
  <c r="CJ163" i="1"/>
  <c r="CO161" i="1"/>
  <c r="DC57" i="7"/>
  <c r="AO6" i="18"/>
  <c r="CF236" i="1"/>
  <c r="CJ399" i="1"/>
  <c r="CI242" i="1"/>
  <c r="BJ299" i="1"/>
  <c r="BJ293" i="1"/>
  <c r="AR293" i="1"/>
  <c r="AR299" i="1"/>
  <c r="CJ310" i="1"/>
  <c r="BO293" i="1"/>
  <c r="BT299" i="1"/>
  <c r="BO299" i="1"/>
  <c r="K682" i="21"/>
  <c r="CG254" i="1"/>
  <c r="CL255" i="1" s="1"/>
  <c r="CA223" i="1"/>
  <c r="CF421" i="1"/>
  <c r="CF425" i="1"/>
  <c r="CF426" i="1" s="1"/>
  <c r="CF420" i="1"/>
  <c r="CF442" i="1"/>
  <c r="CF423" i="1"/>
  <c r="CK420" i="1"/>
  <c r="AK293" i="1"/>
  <c r="AK300" i="1" s="1"/>
  <c r="AK299" i="1"/>
  <c r="AJ299" i="1"/>
  <c r="AJ293" i="1"/>
  <c r="AJ300" i="1" s="1"/>
  <c r="G10" i="17"/>
  <c r="CA174" i="1"/>
  <c r="CD330" i="1"/>
  <c r="CD235" i="1"/>
  <c r="AN7" i="18" s="1"/>
  <c r="CJ390" i="1"/>
  <c r="CI411" i="1"/>
  <c r="CI393" i="1"/>
  <c r="CI240" i="1"/>
  <c r="AN293" i="1"/>
  <c r="AN299" i="1"/>
  <c r="CG174" i="1"/>
  <c r="CL175" i="1" s="1"/>
  <c r="CG205" i="1"/>
  <c r="CV7" i="9"/>
  <c r="CH447" i="1"/>
  <c r="CM448" i="1" s="1"/>
  <c r="CH419" i="1"/>
  <c r="CM420" i="1" s="1"/>
  <c r="CF448" i="1"/>
  <c r="CF455" i="1"/>
  <c r="CK448" i="1"/>
  <c r="CG138" i="1"/>
  <c r="CG223" i="1"/>
  <c r="AW299" i="1"/>
  <c r="AW293" i="1"/>
  <c r="BE299" i="1"/>
  <c r="BE293" i="1"/>
  <c r="CF271" i="1"/>
  <c r="CF20" i="1" s="1"/>
  <c r="CK21" i="1" s="1"/>
  <c r="J690" i="21"/>
  <c r="CF269" i="1"/>
  <c r="AQ292" i="1"/>
  <c r="AQ298" i="1"/>
  <c r="AQ326" i="1"/>
  <c r="AP293" i="1"/>
  <c r="AP299" i="1"/>
  <c r="BI293" i="1"/>
  <c r="G9" i="17"/>
  <c r="BA298" i="1"/>
  <c r="BA292" i="1"/>
  <c r="BA326" i="1"/>
  <c r="AL292" i="1"/>
  <c r="AL298" i="1"/>
  <c r="AM299" i="1"/>
  <c r="AM293" i="1"/>
  <c r="CI241" i="1"/>
  <c r="CU10" i="9"/>
  <c r="CG294" i="1"/>
  <c r="CL301" i="1" s="1"/>
  <c r="BT7" i="7"/>
  <c r="K674" i="21"/>
  <c r="AH299" i="1"/>
  <c r="AH293" i="1"/>
  <c r="AH300" i="1" s="1"/>
  <c r="G11" i="17"/>
  <c r="E17" i="16"/>
  <c r="E18" i="14"/>
  <c r="CI244" i="1"/>
  <c r="BB299" i="1"/>
  <c r="BB293" i="1"/>
  <c r="CG266" i="1"/>
  <c r="K684" i="21"/>
  <c r="CG447" i="1"/>
  <c r="CL448" i="1" s="1"/>
  <c r="CG419" i="1"/>
  <c r="CL420" i="1" s="1"/>
  <c r="CU7" i="9"/>
  <c r="CG226" i="1"/>
  <c r="BH293" i="1"/>
  <c r="AT299" i="1"/>
  <c r="AT293" i="1"/>
  <c r="AU299" i="1"/>
  <c r="AU293" i="1"/>
  <c r="L674" i="21"/>
  <c r="BF297" i="1"/>
  <c r="W245" i="3"/>
  <c r="BK297" i="1"/>
  <c r="BN299" i="1"/>
  <c r="BN293" i="1"/>
  <c r="BS299" i="1"/>
  <c r="AY299" i="1"/>
  <c r="AY293" i="1"/>
  <c r="AO293" i="1"/>
  <c r="AO299" i="1"/>
  <c r="AI299" i="1"/>
  <c r="AI293" i="1"/>
  <c r="AI300" i="1" s="1"/>
  <c r="BS8" i="7"/>
  <c r="BS30" i="7"/>
  <c r="BI297" i="1"/>
  <c r="BD297" i="1"/>
  <c r="CF293" i="1"/>
  <c r="CF301" i="1"/>
  <c r="CK301" i="1"/>
  <c r="CH254" i="1"/>
  <c r="CM255" i="1" s="1"/>
  <c r="L682" i="21"/>
  <c r="AS299" i="1"/>
  <c r="AS293" i="1"/>
  <c r="BG299" i="1"/>
  <c r="BG293" i="1"/>
  <c r="L688" i="21"/>
  <c r="BU26" i="7"/>
  <c r="CH330" i="1"/>
  <c r="CH235" i="1"/>
  <c r="AQ7" i="18" s="1"/>
  <c r="CX11" i="9"/>
  <c r="BH298" i="1"/>
  <c r="BC326" i="1"/>
  <c r="BC298" i="1"/>
  <c r="BU23" i="7"/>
  <c r="L691" i="21"/>
  <c r="BC292" i="1"/>
  <c r="BH299" i="1" s="1"/>
  <c r="BK292" i="1"/>
  <c r="BK293" i="1" s="1"/>
  <c r="CJ407" i="1"/>
  <c r="AZ293" i="1"/>
  <c r="AZ299" i="1"/>
  <c r="BV26" i="7"/>
  <c r="BD292" i="1"/>
  <c r="BI299" i="1" s="1"/>
  <c r="AI232" i="1"/>
  <c r="AJ232" i="1"/>
  <c r="AK232" i="1"/>
  <c r="AN232" i="1"/>
  <c r="AO232" i="1"/>
  <c r="AP232" i="1"/>
  <c r="BC232" i="1"/>
  <c r="BD232" i="1"/>
  <c r="AI233" i="1"/>
  <c r="AJ233" i="1"/>
  <c r="AK233" i="1"/>
  <c r="AN233" i="1"/>
  <c r="AO233" i="1"/>
  <c r="AP233" i="1"/>
  <c r="AS233" i="1"/>
  <c r="AT233" i="1"/>
  <c r="AU233" i="1"/>
  <c r="CH375" i="1" l="1"/>
  <c r="CM375" i="1"/>
  <c r="AS300" i="1"/>
  <c r="AW300" i="1"/>
  <c r="CG299" i="1"/>
  <c r="CL299" i="1"/>
  <c r="CH294" i="1"/>
  <c r="E19" i="14"/>
  <c r="AD18" i="14"/>
  <c r="C240" i="17"/>
  <c r="I396" i="21"/>
  <c r="N397" i="21" s="1"/>
  <c r="CX13" i="9"/>
  <c r="N694" i="21"/>
  <c r="T73" i="2"/>
  <c r="M12" i="18"/>
  <c r="I7" i="10"/>
  <c r="L11" i="4"/>
  <c r="L94" i="4" s="1"/>
  <c r="L96" i="4" s="1"/>
  <c r="AC22" i="3"/>
  <c r="CJ32" i="1"/>
  <c r="DC11" i="7"/>
  <c r="DC35" i="7" s="1"/>
  <c r="V273" i="21"/>
  <c r="T276" i="21"/>
  <c r="T279" i="21"/>
  <c r="CF203" i="1"/>
  <c r="CF138" i="1"/>
  <c r="DC52" i="7"/>
  <c r="DC39" i="7"/>
  <c r="CJ114" i="1"/>
  <c r="CJ115" i="1" s="1"/>
  <c r="BV24" i="7"/>
  <c r="BV35" i="7"/>
  <c r="DC53" i="7"/>
  <c r="DC54" i="7"/>
  <c r="R285" i="21"/>
  <c r="R282" i="21"/>
  <c r="R287" i="21"/>
  <c r="R326" i="21"/>
  <c r="R320" i="21" s="1"/>
  <c r="R343" i="21" s="1"/>
  <c r="R327" i="21"/>
  <c r="R286" i="21"/>
  <c r="CJ168" i="1"/>
  <c r="CK169" i="1"/>
  <c r="F11" i="25"/>
  <c r="Q374" i="21"/>
  <c r="Q344" i="21"/>
  <c r="CJ127" i="1"/>
  <c r="Q288" i="21"/>
  <c r="S279" i="21"/>
  <c r="S276" i="21"/>
  <c r="Q58" i="16"/>
  <c r="Y58" i="16" s="1"/>
  <c r="Q61" i="16"/>
  <c r="AZ300" i="1"/>
  <c r="AR300" i="1"/>
  <c r="BJ300" i="1"/>
  <c r="AU300" i="1"/>
  <c r="BU28" i="7"/>
  <c r="AO300" i="1"/>
  <c r="BG300" i="1"/>
  <c r="BU8" i="7"/>
  <c r="BU30" i="7"/>
  <c r="BL300" i="1"/>
  <c r="BV23" i="7"/>
  <c r="AN308" i="1"/>
  <c r="AN312" i="1"/>
  <c r="AT300" i="1"/>
  <c r="AG307" i="1"/>
  <c r="AC312" i="1"/>
  <c r="AH233" i="1"/>
  <c r="AL311" i="1"/>
  <c r="AL233" i="1" s="1"/>
  <c r="K690" i="21"/>
  <c r="K689" i="21" s="1"/>
  <c r="K631" i="21" s="1"/>
  <c r="K633" i="21" s="1"/>
  <c r="K560" i="21" s="1"/>
  <c r="CG271" i="1"/>
  <c r="CG269" i="1"/>
  <c r="E18" i="16"/>
  <c r="E82" i="16"/>
  <c r="CF431" i="1"/>
  <c r="CF456" i="1"/>
  <c r="CF459" i="1"/>
  <c r="CF430" i="1"/>
  <c r="CK456" i="1"/>
  <c r="CF465" i="1"/>
  <c r="AY300" i="1"/>
  <c r="AL293" i="1"/>
  <c r="AL300" i="1" s="1"/>
  <c r="AL299" i="1"/>
  <c r="CI294" i="1"/>
  <c r="BV7" i="7"/>
  <c r="CP161" i="1"/>
  <c r="DD57" i="7"/>
  <c r="AG310" i="1"/>
  <c r="AI312" i="1"/>
  <c r="AI308" i="1"/>
  <c r="AL307" i="1"/>
  <c r="AH308" i="1"/>
  <c r="AH312" i="1"/>
  <c r="AW233" i="1"/>
  <c r="AH232" i="1"/>
  <c r="AL310" i="1"/>
  <c r="AL232" i="1" s="1"/>
  <c r="AF312" i="1"/>
  <c r="CI447" i="1"/>
  <c r="CI419" i="1"/>
  <c r="CW7" i="9"/>
  <c r="AN300" i="1"/>
  <c r="CF443" i="1"/>
  <c r="CF445" i="1"/>
  <c r="AV293" i="1"/>
  <c r="AV299" i="1"/>
  <c r="CJ298" i="1"/>
  <c r="CJ326" i="1"/>
  <c r="CJ292" i="1"/>
  <c r="CJ299" i="1" s="1"/>
  <c r="BP299" i="1"/>
  <c r="BP293" i="1"/>
  <c r="BP300" i="1" s="1"/>
  <c r="CJ257" i="1"/>
  <c r="T426" i="2" s="1"/>
  <c r="V40" i="27" s="1"/>
  <c r="V50" i="27" s="1"/>
  <c r="AE312" i="1"/>
  <c r="CJ244" i="1"/>
  <c r="L626" i="21"/>
  <c r="L628" i="21" s="1"/>
  <c r="L557" i="21" s="1"/>
  <c r="BA293" i="1"/>
  <c r="BA299" i="1"/>
  <c r="BT300" i="1"/>
  <c r="BO300" i="1"/>
  <c r="AQ311" i="1"/>
  <c r="AQ233" i="1" s="1"/>
  <c r="AM233" i="1"/>
  <c r="AJ312" i="1"/>
  <c r="AJ308" i="1"/>
  <c r="AG311" i="1"/>
  <c r="AO308" i="1"/>
  <c r="AO312" i="1"/>
  <c r="CI235" i="1"/>
  <c r="AR7" i="18" s="1"/>
  <c r="CI330" i="1"/>
  <c r="CI375" i="1" s="1"/>
  <c r="BD299" i="1"/>
  <c r="BD293" i="1"/>
  <c r="BD300" i="1" s="1"/>
  <c r="CH266" i="1"/>
  <c r="L684" i="21"/>
  <c r="CI312" i="1"/>
  <c r="CI289" i="1"/>
  <c r="CI306" i="1"/>
  <c r="CI230" i="1" s="1"/>
  <c r="CI231" i="1" s="1"/>
  <c r="CI234" i="1" s="1"/>
  <c r="CI328" i="1"/>
  <c r="BS300" i="1"/>
  <c r="BN300" i="1"/>
  <c r="AP300" i="1"/>
  <c r="CJ232" i="1"/>
  <c r="BD326" i="1"/>
  <c r="BD298" i="1"/>
  <c r="BI298" i="1"/>
  <c r="BI326" i="1"/>
  <c r="L621" i="21"/>
  <c r="L623" i="21" s="1"/>
  <c r="L554" i="21" s="1"/>
  <c r="CI252" i="1"/>
  <c r="CI254" i="1" s="1"/>
  <c r="CI35" i="1"/>
  <c r="BV12" i="7" s="1"/>
  <c r="CI439" i="1"/>
  <c r="CW9" i="9"/>
  <c r="CJ437" i="1"/>
  <c r="CG448" i="1"/>
  <c r="CG455" i="1"/>
  <c r="CL456" i="1" s="1"/>
  <c r="BB300" i="1"/>
  <c r="AQ293" i="1"/>
  <c r="AQ299" i="1"/>
  <c r="BM300" i="1"/>
  <c r="BR300" i="1"/>
  <c r="BV233" i="1"/>
  <c r="BC293" i="1"/>
  <c r="BC300" i="1" s="1"/>
  <c r="BC299" i="1"/>
  <c r="AD312" i="1"/>
  <c r="L636" i="21"/>
  <c r="L638" i="21" s="1"/>
  <c r="L561" i="21" s="1"/>
  <c r="CG442" i="1"/>
  <c r="CG423" i="1"/>
  <c r="CG421" i="1"/>
  <c r="CG425" i="1"/>
  <c r="CG426" i="1" s="1"/>
  <c r="AV311" i="1"/>
  <c r="AV233" i="1" s="1"/>
  <c r="AR233" i="1"/>
  <c r="BB232" i="1"/>
  <c r="AW308" i="1"/>
  <c r="AW312" i="1"/>
  <c r="CH256" i="1"/>
  <c r="CJ314" i="1"/>
  <c r="CJ294" i="1" s="1"/>
  <c r="BF291" i="1"/>
  <c r="N675" i="21"/>
  <c r="E38" i="17"/>
  <c r="AW232" i="1"/>
  <c r="AR308" i="1"/>
  <c r="AR312" i="1"/>
  <c r="CH138" i="1"/>
  <c r="CH223" i="1"/>
  <c r="AR232" i="1"/>
  <c r="AP308" i="1"/>
  <c r="AP312" i="1"/>
  <c r="CH174" i="1"/>
  <c r="CM175" i="1" s="1"/>
  <c r="CH205" i="1"/>
  <c r="CJ242" i="1"/>
  <c r="BT30" i="7"/>
  <c r="BT8" i="7"/>
  <c r="AM300" i="1"/>
  <c r="J689" i="21"/>
  <c r="CJ240" i="1"/>
  <c r="CJ393" i="1"/>
  <c r="CJ411" i="1"/>
  <c r="CF5" i="1"/>
  <c r="CF413" i="1" s="1"/>
  <c r="CF250" i="1"/>
  <c r="J672" i="21"/>
  <c r="CF245" i="1"/>
  <c r="AO8" i="18"/>
  <c r="CK237" i="1"/>
  <c r="CF279" i="1"/>
  <c r="CF259" i="1"/>
  <c r="CJ243" i="1"/>
  <c r="CJ268" i="1"/>
  <c r="CF175" i="1"/>
  <c r="CG256" i="1"/>
  <c r="AX300" i="1"/>
  <c r="CJ313" i="1"/>
  <c r="CG301" i="1"/>
  <c r="CG293" i="1"/>
  <c r="BS10" i="7"/>
  <c r="BS34" i="7" s="1"/>
  <c r="CF282" i="1"/>
  <c r="J692" i="21"/>
  <c r="CF273" i="1"/>
  <c r="AO11" i="18"/>
  <c r="CK272" i="1"/>
  <c r="CF275" i="1"/>
  <c r="CA233" i="1"/>
  <c r="AM308" i="1"/>
  <c r="AM312" i="1"/>
  <c r="AQ307" i="1"/>
  <c r="CF300" i="1"/>
  <c r="CK300" i="1"/>
  <c r="CV10" i="9"/>
  <c r="CH421" i="1"/>
  <c r="CH442" i="1"/>
  <c r="CH443" i="1" s="1"/>
  <c r="CH425" i="1"/>
  <c r="CH426" i="1" s="1"/>
  <c r="CH423" i="1"/>
  <c r="K621" i="21"/>
  <c r="K623" i="21" s="1"/>
  <c r="K554" i="21" s="1"/>
  <c r="AM232" i="1"/>
  <c r="AQ310" i="1"/>
  <c r="AQ232" i="1" s="1"/>
  <c r="AK308" i="1"/>
  <c r="AK312" i="1"/>
  <c r="BE300" i="1"/>
  <c r="CH455" i="1"/>
  <c r="CM456" i="1" s="1"/>
  <c r="CJ265" i="1"/>
  <c r="BV328" i="1"/>
  <c r="BH235" i="1"/>
  <c r="V7" i="18" s="1"/>
  <c r="BI235" i="1"/>
  <c r="W7" i="18" s="1"/>
  <c r="BJ235" i="1"/>
  <c r="X7" i="18" s="1"/>
  <c r="BM235" i="1"/>
  <c r="Z7" i="18" s="1"/>
  <c r="BN235" i="1"/>
  <c r="AA7" i="18" s="1"/>
  <c r="BO235" i="1"/>
  <c r="AB7" i="18" s="1"/>
  <c r="BR235" i="1"/>
  <c r="AD7" i="18" s="1"/>
  <c r="BS235" i="1"/>
  <c r="AE7" i="18" s="1"/>
  <c r="BT235" i="1"/>
  <c r="AF7" i="18" s="1"/>
  <c r="CH293" i="1" l="1"/>
  <c r="CM300" i="1" s="1"/>
  <c r="CM301" i="1"/>
  <c r="CL272" i="1"/>
  <c r="CG20" i="1"/>
  <c r="CL21" i="1" s="1"/>
  <c r="V56" i="27"/>
  <c r="CG300" i="1"/>
  <c r="CL300" i="1"/>
  <c r="CK204" i="1"/>
  <c r="CF205" i="1"/>
  <c r="AQ300" i="1"/>
  <c r="R288" i="21"/>
  <c r="T285" i="21"/>
  <c r="T286" i="21"/>
  <c r="T287" i="21"/>
  <c r="T326" i="21"/>
  <c r="T320" i="21" s="1"/>
  <c r="T343" i="21" s="1"/>
  <c r="T327" i="21"/>
  <c r="T282" i="21"/>
  <c r="V276" i="21"/>
  <c r="AC23" i="3"/>
  <c r="Q51" i="11"/>
  <c r="Q52" i="11" s="1"/>
  <c r="AC252" i="3"/>
  <c r="I8" i="10"/>
  <c r="I23" i="10" s="1"/>
  <c r="I22" i="10"/>
  <c r="R62" i="16"/>
  <c r="Q62" i="16"/>
  <c r="T139" i="2"/>
  <c r="T100" i="2"/>
  <c r="T75" i="2"/>
  <c r="C129" i="17"/>
  <c r="T113" i="2"/>
  <c r="T145" i="2"/>
  <c r="T341" i="2"/>
  <c r="T364" i="2" s="1"/>
  <c r="S285" i="21"/>
  <c r="S287" i="21"/>
  <c r="S286" i="21"/>
  <c r="S326" i="21"/>
  <c r="S320" i="21" s="1"/>
  <c r="S343" i="21" s="1"/>
  <c r="S327" i="21"/>
  <c r="S282" i="21"/>
  <c r="R374" i="21"/>
  <c r="G11" i="25"/>
  <c r="R344" i="21"/>
  <c r="N308" i="21"/>
  <c r="N646" i="21"/>
  <c r="N649" i="21" s="1"/>
  <c r="N567" i="21" s="1"/>
  <c r="N369" i="21"/>
  <c r="BV28" i="7"/>
  <c r="AG312" i="1"/>
  <c r="CF396" i="1"/>
  <c r="CF28" i="1"/>
  <c r="CF8" i="1"/>
  <c r="CF14" i="1"/>
  <c r="CF408" i="1"/>
  <c r="CF400" i="1"/>
  <c r="CF391" i="1"/>
  <c r="CF404" i="1"/>
  <c r="CK6" i="1"/>
  <c r="CF22" i="1"/>
  <c r="CI223" i="1"/>
  <c r="CI138" i="1"/>
  <c r="AL308" i="1"/>
  <c r="AL312" i="1"/>
  <c r="T82" i="2"/>
  <c r="N688" i="21"/>
  <c r="T358" i="2"/>
  <c r="BL235" i="1"/>
  <c r="Y7" i="18" s="1"/>
  <c r="BP313" i="1"/>
  <c r="BP235" i="1" s="1"/>
  <c r="I7" i="18" s="1"/>
  <c r="CJ235" i="1"/>
  <c r="CJ330" i="1"/>
  <c r="CO330" i="1" s="1"/>
  <c r="G38" i="17"/>
  <c r="BF326" i="1"/>
  <c r="BF298" i="1"/>
  <c r="BF292" i="1"/>
  <c r="BK298" i="1"/>
  <c r="BK326" i="1"/>
  <c r="BH300" i="1"/>
  <c r="CF460" i="1"/>
  <c r="CK460" i="1"/>
  <c r="N677" i="21"/>
  <c r="E40" i="17"/>
  <c r="L690" i="21"/>
  <c r="CH271" i="1"/>
  <c r="CH269" i="1"/>
  <c r="CJ266" i="1"/>
  <c r="CJ269" i="1" s="1"/>
  <c r="L6" i="4"/>
  <c r="M29" i="18"/>
  <c r="N684" i="21"/>
  <c r="N352" i="21" s="1"/>
  <c r="K555" i="21"/>
  <c r="J631" i="21"/>
  <c r="J633" i="21" s="1"/>
  <c r="J560" i="21" s="1"/>
  <c r="CJ439" i="1"/>
  <c r="CJ252" i="1"/>
  <c r="L9" i="4" s="1"/>
  <c r="CX9" i="9"/>
  <c r="T368" i="2"/>
  <c r="CJ35" i="1"/>
  <c r="CJ466" i="1"/>
  <c r="F18" i="14"/>
  <c r="F17" i="16"/>
  <c r="BV8" i="7"/>
  <c r="BV30" i="7"/>
  <c r="CH430" i="1"/>
  <c r="CH459" i="1"/>
  <c r="CM460" i="1" s="1"/>
  <c r="CH431" i="1"/>
  <c r="CI293" i="1"/>
  <c r="BG235" i="1"/>
  <c r="U7" i="18" s="1"/>
  <c r="BK313" i="1"/>
  <c r="BK235" i="1" s="1"/>
  <c r="H7" i="18" s="1"/>
  <c r="AQ308" i="1"/>
  <c r="AQ312" i="1"/>
  <c r="E39" i="17"/>
  <c r="N676" i="21"/>
  <c r="CJ293" i="1"/>
  <c r="AR6" i="18"/>
  <c r="CI236" i="1"/>
  <c r="CI259" i="1" s="1"/>
  <c r="AV300" i="1"/>
  <c r="CA235" i="1"/>
  <c r="AK7" i="18" s="1"/>
  <c r="CA330" i="1"/>
  <c r="CF375" i="1" s="1"/>
  <c r="BV235" i="1"/>
  <c r="AG7" i="18" s="1"/>
  <c r="CQ161" i="1"/>
  <c r="DE57" i="7"/>
  <c r="CI256" i="1"/>
  <c r="E41" i="17"/>
  <c r="N678" i="21"/>
  <c r="CI421" i="1"/>
  <c r="CI425" i="1"/>
  <c r="CI426" i="1" s="1"/>
  <c r="CI423" i="1"/>
  <c r="CI442" i="1"/>
  <c r="CI443" i="1" s="1"/>
  <c r="CI455" i="1"/>
  <c r="T359" i="2"/>
  <c r="CA308" i="1"/>
  <c r="CA289" i="1"/>
  <c r="CA312" i="1"/>
  <c r="CA306" i="1"/>
  <c r="CA230" i="1" s="1"/>
  <c r="CA231" i="1" s="1"/>
  <c r="CA234" i="1" s="1"/>
  <c r="CF308" i="1"/>
  <c r="J641" i="21"/>
  <c r="J643" i="21" s="1"/>
  <c r="J564" i="21" s="1"/>
  <c r="CG443" i="1"/>
  <c r="CG445" i="1"/>
  <c r="BI300" i="1"/>
  <c r="AP11" i="18"/>
  <c r="CG282" i="1"/>
  <c r="CG285" i="1" s="1"/>
  <c r="BT10" i="7"/>
  <c r="BT34" i="7" s="1"/>
  <c r="K692" i="21"/>
  <c r="K641" i="21" s="1"/>
  <c r="K643" i="21" s="1"/>
  <c r="K564" i="21" s="1"/>
  <c r="CG275" i="1"/>
  <c r="BV306" i="1"/>
  <c r="BV230" i="1" s="1"/>
  <c r="BV231" i="1" s="1"/>
  <c r="BV234" i="1" s="1"/>
  <c r="BV289" i="1"/>
  <c r="BV312" i="1"/>
  <c r="CA328" i="1"/>
  <c r="L555" i="21"/>
  <c r="CH445" i="1"/>
  <c r="CF285" i="1"/>
  <c r="CF246" i="1"/>
  <c r="J680" i="21" s="1"/>
  <c r="J679" i="21"/>
  <c r="BU313" i="1"/>
  <c r="BU235" i="1" s="1"/>
  <c r="J7" i="18" s="1"/>
  <c r="BQ235" i="1"/>
  <c r="AC7" i="18" s="1"/>
  <c r="CH465" i="1"/>
  <c r="T61" i="2"/>
  <c r="T380" i="2" s="1"/>
  <c r="AC74" i="3" s="1"/>
  <c r="N691" i="21"/>
  <c r="T343" i="2"/>
  <c r="T84" i="2"/>
  <c r="J609" i="21"/>
  <c r="J695" i="21"/>
  <c r="N674" i="21"/>
  <c r="E37" i="17"/>
  <c r="CI266" i="1"/>
  <c r="CG430" i="1"/>
  <c r="CG431" i="1"/>
  <c r="CG459" i="1"/>
  <c r="CG456" i="1"/>
  <c r="CG465" i="1"/>
  <c r="BA300" i="1"/>
  <c r="CW10" i="9"/>
  <c r="CI174" i="1"/>
  <c r="CI205" i="1"/>
  <c r="BF222" i="1"/>
  <c r="CH20" i="1" l="1"/>
  <c r="CM21" i="1" s="1"/>
  <c r="CM272" i="1"/>
  <c r="L7" i="4"/>
  <c r="L8" i="4" s="1"/>
  <c r="CG460" i="1"/>
  <c r="CL460" i="1"/>
  <c r="F19" i="14"/>
  <c r="AE18" i="14"/>
  <c r="T288" i="21"/>
  <c r="S288" i="21"/>
  <c r="AI323" i="1"/>
  <c r="AI135" i="1"/>
  <c r="AN318" i="1"/>
  <c r="AN316" i="1" s="1"/>
  <c r="AC127" i="3"/>
  <c r="AC248" i="3"/>
  <c r="AC24" i="3"/>
  <c r="AC249" i="3" s="1"/>
  <c r="AN323" i="1"/>
  <c r="BP41" i="7"/>
  <c r="CP3" i="9"/>
  <c r="AL16" i="18"/>
  <c r="CB165" i="1"/>
  <c r="CB190" i="1"/>
  <c r="CC94" i="1"/>
  <c r="CB53" i="1"/>
  <c r="CG98" i="1"/>
  <c r="N370" i="21"/>
  <c r="N418" i="21"/>
  <c r="C13" i="25"/>
  <c r="C14" i="25" s="1"/>
  <c r="AS318" i="1"/>
  <c r="AS316" i="1" s="1"/>
  <c r="AS323" i="1"/>
  <c r="AS135" i="1"/>
  <c r="N598" i="21"/>
  <c r="D40" i="22"/>
  <c r="C131" i="17"/>
  <c r="C139" i="17" s="1"/>
  <c r="D129" i="17"/>
  <c r="AX323" i="1"/>
  <c r="N310" i="21"/>
  <c r="N313" i="21" s="1"/>
  <c r="N339" i="21"/>
  <c r="T381" i="2"/>
  <c r="AC75" i="3" s="1"/>
  <c r="T370" i="2"/>
  <c r="T430" i="2"/>
  <c r="V43" i="27" s="1"/>
  <c r="F36" i="14"/>
  <c r="F35" i="16"/>
  <c r="T374" i="21"/>
  <c r="T344" i="21"/>
  <c r="T78" i="2"/>
  <c r="T136" i="2"/>
  <c r="T142" i="2"/>
  <c r="F694" i="21"/>
  <c r="F646" i="21" s="1"/>
  <c r="F649" i="21" s="1"/>
  <c r="F567" i="21" s="1"/>
  <c r="CP13" i="9"/>
  <c r="CP14" i="9" s="1"/>
  <c r="BP11" i="7"/>
  <c r="AL12" i="18"/>
  <c r="CB31" i="1"/>
  <c r="S374" i="21"/>
  <c r="S344" i="21"/>
  <c r="AX318" i="1"/>
  <c r="AX316" i="1" s="1"/>
  <c r="AI318" i="1"/>
  <c r="AI316" i="1" s="1"/>
  <c r="AM235" i="1"/>
  <c r="CI445" i="1"/>
  <c r="CB233" i="1"/>
  <c r="CE311" i="1"/>
  <c r="F82" i="16"/>
  <c r="F18" i="16"/>
  <c r="CB241" i="1"/>
  <c r="F675" i="21" s="1"/>
  <c r="CG397" i="1"/>
  <c r="CI5" i="1"/>
  <c r="CI413" i="1" s="1"/>
  <c r="CI250" i="1"/>
  <c r="CI245" i="1"/>
  <c r="CI246" i="1" s="1"/>
  <c r="CI279" i="1"/>
  <c r="AR8" i="18"/>
  <c r="BQ298" i="1"/>
  <c r="BU291" i="1"/>
  <c r="BQ326" i="1"/>
  <c r="BV326" i="1"/>
  <c r="BV298" i="1"/>
  <c r="AW235" i="1"/>
  <c r="CB252" i="1"/>
  <c r="CP9" i="9"/>
  <c r="CB35" i="1"/>
  <c r="BP12" i="7" s="1"/>
  <c r="CB439" i="1"/>
  <c r="CC233" i="1"/>
  <c r="N636" i="21"/>
  <c r="N638" i="21" s="1"/>
  <c r="N561" i="21" s="1"/>
  <c r="N362" i="21"/>
  <c r="N417" i="21" s="1"/>
  <c r="G15" i="23"/>
  <c r="CA236" i="1"/>
  <c r="AK6" i="18"/>
  <c r="G40" i="17"/>
  <c r="CB243" i="1"/>
  <c r="F677" i="21" s="1"/>
  <c r="CG405" i="1"/>
  <c r="CG402" i="1"/>
  <c r="CB242" i="1"/>
  <c r="F676" i="21" s="1"/>
  <c r="CB244" i="1"/>
  <c r="F678" i="21" s="1"/>
  <c r="CG409" i="1"/>
  <c r="CR161" i="1"/>
  <c r="DF57" i="7"/>
  <c r="CK11" i="9"/>
  <c r="BW278" i="1"/>
  <c r="CD233" i="1"/>
  <c r="N359" i="21"/>
  <c r="N421" i="21" s="1"/>
  <c r="C23" i="25" s="1"/>
  <c r="N626" i="21"/>
  <c r="N628" i="21" s="1"/>
  <c r="N557" i="21" s="1"/>
  <c r="BD306" i="1"/>
  <c r="BD230" i="1" s="1"/>
  <c r="BD231" i="1" s="1"/>
  <c r="G37" i="17"/>
  <c r="L90" i="4"/>
  <c r="N682" i="21"/>
  <c r="T357" i="2"/>
  <c r="CJ254" i="1"/>
  <c r="CP330" i="1"/>
  <c r="CO313" i="1"/>
  <c r="CO235" i="1" s="1"/>
  <c r="F22" i="16"/>
  <c r="M26" i="18"/>
  <c r="M7" i="18"/>
  <c r="F23" i="14"/>
  <c r="AE23" i="14" s="1"/>
  <c r="BF218" i="1"/>
  <c r="CI271" i="1"/>
  <c r="CI20" i="1" s="1"/>
  <c r="CI269" i="1"/>
  <c r="BI220" i="1"/>
  <c r="BD138" i="1"/>
  <c r="BH220" i="1"/>
  <c r="BC225" i="1"/>
  <c r="BH201" i="1"/>
  <c r="BC205" i="1"/>
  <c r="G41" i="17"/>
  <c r="AQ11" i="18"/>
  <c r="BU10" i="7"/>
  <c r="BU34" i="7" s="1"/>
  <c r="L692" i="21"/>
  <c r="CH282" i="1"/>
  <c r="CH275" i="1"/>
  <c r="BD205" i="1"/>
  <c r="BD174" i="1"/>
  <c r="BI201" i="1"/>
  <c r="BB308" i="1"/>
  <c r="J28" i="21"/>
  <c r="J612" i="21"/>
  <c r="J552" i="21" s="1"/>
  <c r="AG6" i="18"/>
  <c r="BV236" i="1"/>
  <c r="BG201" i="1"/>
  <c r="BB201" i="1"/>
  <c r="BB174" i="1"/>
  <c r="CI465" i="1"/>
  <c r="CI430" i="1"/>
  <c r="CI431" i="1"/>
  <c r="CI459" i="1"/>
  <c r="N190" i="21"/>
  <c r="N191" i="21" s="1"/>
  <c r="N192" i="21" s="1"/>
  <c r="N383" i="21"/>
  <c r="L689" i="21"/>
  <c r="BK299" i="1"/>
  <c r="BF299" i="1"/>
  <c r="BF293" i="1"/>
  <c r="BQ297" i="1"/>
  <c r="BV297" i="1"/>
  <c r="BQ161" i="1"/>
  <c r="BU290" i="1"/>
  <c r="BQ292" i="1"/>
  <c r="CB393" i="1"/>
  <c r="CB240" i="1"/>
  <c r="CB411" i="1"/>
  <c r="CG392" i="1"/>
  <c r="BC306" i="1"/>
  <c r="BC230" i="1" s="1"/>
  <c r="BC231" i="1" s="1"/>
  <c r="BB220" i="1"/>
  <c r="BG220" i="1"/>
  <c r="BB225" i="1"/>
  <c r="G39" i="17"/>
  <c r="V359" i="2"/>
  <c r="V68" i="2"/>
  <c r="T85" i="2"/>
  <c r="N690" i="21"/>
  <c r="CJ271" i="1"/>
  <c r="T83" i="2"/>
  <c r="T292" i="2" s="1"/>
  <c r="T296" i="2" s="1"/>
  <c r="BB312" i="1"/>
  <c r="BC233" i="1"/>
  <c r="BF307" i="1"/>
  <c r="AN235" i="1"/>
  <c r="BP46" i="7"/>
  <c r="T428" i="2" l="1"/>
  <c r="V42" i="27" s="1"/>
  <c r="V8" i="27" s="1"/>
  <c r="CJ20" i="1"/>
  <c r="CJ24" i="1" s="1"/>
  <c r="AT135" i="1"/>
  <c r="AT323" i="1"/>
  <c r="AS304" i="1"/>
  <c r="AS317" i="1"/>
  <c r="AS228" i="1"/>
  <c r="AI304" i="1"/>
  <c r="AI228" i="1"/>
  <c r="T143" i="2"/>
  <c r="T80" i="2"/>
  <c r="V130" i="2"/>
  <c r="AC33" i="3"/>
  <c r="C22" i="25"/>
  <c r="C15" i="25"/>
  <c r="D131" i="17"/>
  <c r="D139" i="17" s="1"/>
  <c r="F168" i="17"/>
  <c r="BP24" i="7"/>
  <c r="BP35" i="7"/>
  <c r="CC31" i="1"/>
  <c r="G694" i="21"/>
  <c r="G646" i="21" s="1"/>
  <c r="G649" i="21" s="1"/>
  <c r="G567" i="21" s="1"/>
  <c r="BQ11" i="7"/>
  <c r="CQ13" i="9"/>
  <c r="CQ14" i="9" s="1"/>
  <c r="AM12" i="18"/>
  <c r="AO318" i="1"/>
  <c r="AO316" i="1" s="1"/>
  <c r="BC317" i="1"/>
  <c r="AX304" i="1"/>
  <c r="AX228" i="1"/>
  <c r="AX317" i="1"/>
  <c r="E142" i="17"/>
  <c r="C142" i="17"/>
  <c r="CB171" i="1"/>
  <c r="BP45" i="7" s="1"/>
  <c r="N194" i="21"/>
  <c r="N314" i="21"/>
  <c r="N338" i="21"/>
  <c r="N323" i="21" s="1"/>
  <c r="AO323" i="1"/>
  <c r="AJ323" i="1"/>
  <c r="AJ135" i="1"/>
  <c r="CB42" i="1"/>
  <c r="CC61" i="1"/>
  <c r="F39" i="16"/>
  <c r="Y35" i="16"/>
  <c r="CC97" i="1"/>
  <c r="CC203" i="1" s="1"/>
  <c r="CC95" i="1"/>
  <c r="AN317" i="1"/>
  <c r="AN228" i="1"/>
  <c r="AN304" i="1"/>
  <c r="AJ318" i="1"/>
  <c r="AJ316" i="1" s="1"/>
  <c r="AE36" i="14"/>
  <c r="AT318" i="1"/>
  <c r="AT316" i="1" s="1"/>
  <c r="AY323" i="1"/>
  <c r="AY318" i="1"/>
  <c r="AY316" i="1" s="1"/>
  <c r="T433" i="2"/>
  <c r="T58" i="2"/>
  <c r="BP44" i="7"/>
  <c r="CC168" i="1"/>
  <c r="CG166" i="1"/>
  <c r="AI235" i="1"/>
  <c r="AJ235" i="1"/>
  <c r="AP235" i="1"/>
  <c r="AO235" i="1"/>
  <c r="AK235" i="1"/>
  <c r="CH285" i="1"/>
  <c r="CB235" i="1"/>
  <c r="AL7" i="18" s="1"/>
  <c r="CB330" i="1"/>
  <c r="CG375" i="1" s="1"/>
  <c r="CE313" i="1"/>
  <c r="L641" i="21"/>
  <c r="L643" i="21" s="1"/>
  <c r="L564" i="21" s="1"/>
  <c r="CD289" i="1"/>
  <c r="CD306" i="1"/>
  <c r="CD230" i="1" s="1"/>
  <c r="CD231" i="1" s="1"/>
  <c r="CD234" i="1" s="1"/>
  <c r="CD312" i="1"/>
  <c r="CI308" i="1"/>
  <c r="BP23" i="7"/>
  <c r="F691" i="21"/>
  <c r="F636" i="21" s="1"/>
  <c r="F638" i="21" s="1"/>
  <c r="F561" i="21" s="1"/>
  <c r="T360" i="2"/>
  <c r="V296" i="2"/>
  <c r="T91" i="2"/>
  <c r="BC312" i="1"/>
  <c r="CI8" i="1"/>
  <c r="CI22" i="1"/>
  <c r="CI14" i="1"/>
  <c r="CI28" i="1"/>
  <c r="CI408" i="1"/>
  <c r="CI404" i="1"/>
  <c r="CI396" i="1"/>
  <c r="CI400" i="1"/>
  <c r="CI391" i="1"/>
  <c r="CC241" i="1"/>
  <c r="G675" i="21" s="1"/>
  <c r="CH397" i="1"/>
  <c r="CB306" i="1"/>
  <c r="CB230" i="1" s="1"/>
  <c r="CB231" i="1" s="1"/>
  <c r="CB234" i="1" s="1"/>
  <c r="CB312" i="1"/>
  <c r="CB289" i="1"/>
  <c r="CE307" i="1"/>
  <c r="CE328" i="1" s="1"/>
  <c r="CC243" i="1"/>
  <c r="G677" i="21" s="1"/>
  <c r="CH402" i="1"/>
  <c r="CH405" i="1"/>
  <c r="CC306" i="1"/>
  <c r="CC230" i="1" s="1"/>
  <c r="CC231" i="1" s="1"/>
  <c r="CC234" i="1" s="1"/>
  <c r="CC312" i="1"/>
  <c r="CC289" i="1"/>
  <c r="M11" i="18"/>
  <c r="DC10" i="7"/>
  <c r="DC34" i="7" s="1"/>
  <c r="F31" i="16"/>
  <c r="F32" i="14"/>
  <c r="I9" i="10"/>
  <c r="I24" i="10" s="1"/>
  <c r="T324" i="2"/>
  <c r="AC29" i="3"/>
  <c r="N692" i="21"/>
  <c r="CJ275" i="1"/>
  <c r="T361" i="2" s="1"/>
  <c r="BC234" i="1"/>
  <c r="L631" i="21"/>
  <c r="L633" i="21" s="1"/>
  <c r="L560" i="21" s="1"/>
  <c r="N361" i="21"/>
  <c r="N268" i="21" s="1"/>
  <c r="G14" i="23"/>
  <c r="N689" i="21"/>
  <c r="BB175" i="1"/>
  <c r="BG175" i="1"/>
  <c r="G23" i="14"/>
  <c r="N26" i="18"/>
  <c r="N7" i="18"/>
  <c r="G22" i="16"/>
  <c r="G39" i="23"/>
  <c r="I15" i="23"/>
  <c r="I39" i="23" s="1"/>
  <c r="CC328" i="1"/>
  <c r="CQ330" i="1"/>
  <c r="CP313" i="1"/>
  <c r="CP235" i="1" s="1"/>
  <c r="C61" i="25"/>
  <c r="N420" i="21"/>
  <c r="N422" i="21" s="1"/>
  <c r="N424" i="21" s="1"/>
  <c r="N426" i="21" s="1"/>
  <c r="C25" i="25"/>
  <c r="BZ298" i="1"/>
  <c r="BZ326" i="1"/>
  <c r="BU298" i="1"/>
  <c r="BU326" i="1"/>
  <c r="CC244" i="1"/>
  <c r="G678" i="21" s="1"/>
  <c r="CH409" i="1"/>
  <c r="BE306" i="1"/>
  <c r="BE230" i="1" s="1"/>
  <c r="BE231" i="1" s="1"/>
  <c r="CC411" i="1"/>
  <c r="CC393" i="1"/>
  <c r="CC240" i="1"/>
  <c r="CH392" i="1"/>
  <c r="BI175" i="1"/>
  <c r="BV250" i="1"/>
  <c r="BV279" i="1"/>
  <c r="BV5" i="1"/>
  <c r="BV413" i="1" s="1"/>
  <c r="BV245" i="1"/>
  <c r="BV246" i="1" s="1"/>
  <c r="AG8" i="18"/>
  <c r="CI282" i="1"/>
  <c r="CI285" i="1" s="1"/>
  <c r="BV10" i="7"/>
  <c r="BV34" i="7" s="1"/>
  <c r="CI273" i="1"/>
  <c r="CI275" i="1"/>
  <c r="AR11" i="18"/>
  <c r="CJ256" i="1"/>
  <c r="BF300" i="1"/>
  <c r="BK300" i="1"/>
  <c r="AV31" i="7"/>
  <c r="BQ7" i="9"/>
  <c r="AV30" i="7"/>
  <c r="BC447" i="1"/>
  <c r="BF219" i="1"/>
  <c r="BE225" i="1"/>
  <c r="BE138" i="1"/>
  <c r="CS161" i="1"/>
  <c r="DG57" i="7"/>
  <c r="CB419" i="1"/>
  <c r="CG412" i="1"/>
  <c r="AR235" i="1"/>
  <c r="AU32" i="7"/>
  <c r="BP7" i="9"/>
  <c r="AU31" i="7"/>
  <c r="BB419" i="1"/>
  <c r="AU30" i="7"/>
  <c r="BB447" i="1"/>
  <c r="BB226" i="1"/>
  <c r="F674" i="21"/>
  <c r="N621" i="21"/>
  <c r="G8" i="23"/>
  <c r="N300" i="21"/>
  <c r="N302" i="21" s="1"/>
  <c r="N350" i="21"/>
  <c r="CE233" i="1"/>
  <c r="AH235" i="1"/>
  <c r="BB233" i="1"/>
  <c r="CQ275" i="1"/>
  <c r="X361" i="2" s="1"/>
  <c r="W68" i="2"/>
  <c r="W359" i="2"/>
  <c r="J34" i="21"/>
  <c r="J578" i="21"/>
  <c r="CB254" i="1"/>
  <c r="F682" i="21"/>
  <c r="F621" i="21" s="1"/>
  <c r="F623" i="21" s="1"/>
  <c r="F554" i="21" s="1"/>
  <c r="F555" i="21" s="1"/>
  <c r="CB328" i="1"/>
  <c r="BF200" i="1"/>
  <c r="BE205" i="1"/>
  <c r="BE174" i="1"/>
  <c r="BJ201" i="1"/>
  <c r="L92" i="4"/>
  <c r="L102" i="4"/>
  <c r="L104" i="4" s="1"/>
  <c r="CP11" i="9"/>
  <c r="CB278" i="1"/>
  <c r="CG278" i="1"/>
  <c r="CC439" i="1"/>
  <c r="CQ9" i="9"/>
  <c r="CC35" i="1"/>
  <c r="BQ12" i="7" s="1"/>
  <c r="CC252" i="1"/>
  <c r="BQ293" i="1"/>
  <c r="BQ299" i="1"/>
  <c r="BV299" i="1"/>
  <c r="CA245" i="1"/>
  <c r="E672" i="21"/>
  <c r="CA237" i="1"/>
  <c r="CA5" i="1"/>
  <c r="CA413" i="1" s="1"/>
  <c r="CA250" i="1"/>
  <c r="AK8" i="18"/>
  <c r="CF237" i="1"/>
  <c r="BU161" i="1"/>
  <c r="BU292" i="1"/>
  <c r="Z245" i="3"/>
  <c r="BZ297" i="1"/>
  <c r="BU297" i="1"/>
  <c r="CD328" i="1"/>
  <c r="CC242" i="1"/>
  <c r="G676" i="21" s="1"/>
  <c r="BR163" i="1"/>
  <c r="BQ163" i="1"/>
  <c r="BG57" i="7"/>
  <c r="BV162" i="1"/>
  <c r="BQ162" i="1"/>
  <c r="CE407" i="1"/>
  <c r="CE27" i="1"/>
  <c r="BE233" i="1"/>
  <c r="AQ132" i="1"/>
  <c r="BA132" i="1"/>
  <c r="AG134" i="1"/>
  <c r="AG132" i="1"/>
  <c r="G24" i="14" l="1"/>
  <c r="AF23" i="14"/>
  <c r="C28" i="25"/>
  <c r="C33" i="25" s="1"/>
  <c r="H7" i="10"/>
  <c r="I694" i="21"/>
  <c r="AB22" i="3"/>
  <c r="DB11" i="7"/>
  <c r="DB35" i="7" s="1"/>
  <c r="S73" i="2"/>
  <c r="CE31" i="1"/>
  <c r="K95" i="4" s="1"/>
  <c r="CS13" i="9"/>
  <c r="CS14" i="9" s="1"/>
  <c r="L12" i="18"/>
  <c r="CJ29" i="1"/>
  <c r="AQ318" i="1"/>
  <c r="BF133" i="1"/>
  <c r="BA318" i="1"/>
  <c r="CH204" i="1"/>
  <c r="AU318" i="1"/>
  <c r="AU316" i="1" s="1"/>
  <c r="AV316" i="1" s="1"/>
  <c r="CH169" i="1"/>
  <c r="AT304" i="1"/>
  <c r="AT317" i="1"/>
  <c r="AT228" i="1"/>
  <c r="BP16" i="7"/>
  <c r="BP19" i="7"/>
  <c r="AP318" i="1"/>
  <c r="AP316" i="1" s="1"/>
  <c r="AP323" i="1"/>
  <c r="AQ134" i="1"/>
  <c r="G168" i="17"/>
  <c r="F169" i="17"/>
  <c r="F192" i="17" s="1"/>
  <c r="AV134" i="1"/>
  <c r="AU135" i="1"/>
  <c r="AU323" i="1"/>
  <c r="C143" i="17"/>
  <c r="C154" i="17" s="1"/>
  <c r="E143" i="17"/>
  <c r="C156" i="17" s="1"/>
  <c r="D143" i="17"/>
  <c r="C155" i="17" s="1"/>
  <c r="D137" i="17"/>
  <c r="AL134" i="1"/>
  <c r="AK135" i="1"/>
  <c r="AK323" i="1"/>
  <c r="H694" i="21"/>
  <c r="BR11" i="7"/>
  <c r="AN12" i="18"/>
  <c r="CD31" i="1"/>
  <c r="CR13" i="9"/>
  <c r="CR14" i="9" s="1"/>
  <c r="AZ323" i="1"/>
  <c r="AJ304" i="1"/>
  <c r="AJ228" i="1"/>
  <c r="AY304" i="1"/>
  <c r="AY317" i="1"/>
  <c r="BD317" i="1"/>
  <c r="AY228" i="1"/>
  <c r="AO228" i="1"/>
  <c r="AO317" i="1"/>
  <c r="AO304" i="1"/>
  <c r="AK318" i="1"/>
  <c r="AK316" i="1" s="1"/>
  <c r="AD20" i="3"/>
  <c r="R30" i="11" s="1"/>
  <c r="V135" i="2"/>
  <c r="CO437" i="1"/>
  <c r="V140" i="2"/>
  <c r="V79" i="2" s="1"/>
  <c r="V131" i="2"/>
  <c r="BA134" i="1"/>
  <c r="AZ318" i="1"/>
  <c r="AZ316" i="1" s="1"/>
  <c r="AV132" i="1"/>
  <c r="BQ24" i="7"/>
  <c r="BQ35" i="7"/>
  <c r="AL132" i="1"/>
  <c r="AQ133" i="1" s="1"/>
  <c r="AG313" i="1"/>
  <c r="AL313" i="1"/>
  <c r="AL235" i="1" s="1"/>
  <c r="AQ313" i="1"/>
  <c r="AQ235" i="1" s="1"/>
  <c r="D7" i="18" s="1"/>
  <c r="BQ23" i="7"/>
  <c r="G691" i="21"/>
  <c r="G636" i="21" s="1"/>
  <c r="G638" i="21" s="1"/>
  <c r="G561" i="21" s="1"/>
  <c r="G16" i="23"/>
  <c r="N641" i="21"/>
  <c r="N363" i="21"/>
  <c r="CD241" i="1"/>
  <c r="H675" i="21" s="1"/>
  <c r="W675" i="21" s="1"/>
  <c r="CI397" i="1"/>
  <c r="G674" i="21"/>
  <c r="CD236" i="1"/>
  <c r="AN6" i="18"/>
  <c r="N263" i="21"/>
  <c r="P263" i="21" s="1"/>
  <c r="Q263" i="21" s="1"/>
  <c r="R263" i="21" s="1"/>
  <c r="S263" i="21" s="1"/>
  <c r="T263" i="21" s="1"/>
  <c r="N193" i="21"/>
  <c r="N195" i="21" s="1"/>
  <c r="BC455" i="1"/>
  <c r="BV28" i="1"/>
  <c r="BV404" i="1"/>
  <c r="BV396" i="1"/>
  <c r="BV408" i="1"/>
  <c r="BV400" i="1"/>
  <c r="BV14" i="1"/>
  <c r="BV8" i="1"/>
  <c r="BV391" i="1"/>
  <c r="G682" i="21"/>
  <c r="G621" i="21" s="1"/>
  <c r="G623" i="21" s="1"/>
  <c r="G554" i="21" s="1"/>
  <c r="G555" i="21" s="1"/>
  <c r="CC254" i="1"/>
  <c r="CR275" i="1"/>
  <c r="Y361" i="2" s="1"/>
  <c r="X359" i="2"/>
  <c r="X68" i="2"/>
  <c r="CE244" i="1"/>
  <c r="I678" i="21" s="1"/>
  <c r="CJ409" i="1"/>
  <c r="H23" i="14"/>
  <c r="O26" i="18"/>
  <c r="H22" i="16"/>
  <c r="O7" i="18"/>
  <c r="CE235" i="1"/>
  <c r="CE330" i="1"/>
  <c r="CJ375" i="1" s="1"/>
  <c r="BJ175" i="1"/>
  <c r="DH57" i="7"/>
  <c r="CT161" i="1"/>
  <c r="DI57" i="7" s="1"/>
  <c r="BB235" i="1"/>
  <c r="CR9" i="9"/>
  <c r="CD252" i="1"/>
  <c r="CD439" i="1"/>
  <c r="CD35" i="1"/>
  <c r="BR12" i="7" s="1"/>
  <c r="BZ299" i="1"/>
  <c r="BU293" i="1"/>
  <c r="BU299" i="1"/>
  <c r="BK201" i="1"/>
  <c r="BB448" i="1"/>
  <c r="BB455" i="1"/>
  <c r="CQ313" i="1"/>
  <c r="CQ235" i="1" s="1"/>
  <c r="CR330" i="1"/>
  <c r="N360" i="21"/>
  <c r="G13" i="23"/>
  <c r="N631" i="21"/>
  <c r="N633" i="21" s="1"/>
  <c r="BU163" i="1"/>
  <c r="BU162" i="1"/>
  <c r="BV163" i="1"/>
  <c r="BZ162" i="1"/>
  <c r="CZ57" i="7"/>
  <c r="AX30" i="7"/>
  <c r="AX32" i="7"/>
  <c r="BS7" i="9"/>
  <c r="BE447" i="1"/>
  <c r="AX31" i="7"/>
  <c r="G38" i="23"/>
  <c r="I14" i="23"/>
  <c r="I38" i="23" s="1"/>
  <c r="AE32" i="14"/>
  <c r="CE312" i="1"/>
  <c r="CE289" i="1"/>
  <c r="CE306" i="1"/>
  <c r="CE230" i="1" s="1"/>
  <c r="Y31" i="16"/>
  <c r="CJ282" i="1"/>
  <c r="CE395" i="1"/>
  <c r="BB425" i="1"/>
  <c r="BB426" i="1" s="1"/>
  <c r="BB420" i="1"/>
  <c r="BB421" i="1"/>
  <c r="BB442" i="1"/>
  <c r="BB445" i="1" s="1"/>
  <c r="CD242" i="1"/>
  <c r="H676" i="21" s="1"/>
  <c r="W676" i="21" s="1"/>
  <c r="AU47" i="7"/>
  <c r="AU48" i="7"/>
  <c r="CB465" i="1"/>
  <c r="CP10" i="9"/>
  <c r="CD244" i="1"/>
  <c r="H678" i="21" s="1"/>
  <c r="W678" i="21" s="1"/>
  <c r="CI409" i="1"/>
  <c r="CB256" i="1"/>
  <c r="CG255" i="1"/>
  <c r="E19" i="16"/>
  <c r="E20" i="14"/>
  <c r="AD20" i="14" s="1"/>
  <c r="F684" i="21"/>
  <c r="CG258" i="1"/>
  <c r="BQ300" i="1"/>
  <c r="BV300" i="1"/>
  <c r="CD240" i="1"/>
  <c r="CD393" i="1"/>
  <c r="CD411" i="1"/>
  <c r="CI392" i="1"/>
  <c r="CE390" i="1"/>
  <c r="CE403" i="1"/>
  <c r="CD243" i="1"/>
  <c r="H677" i="21" s="1"/>
  <c r="W677" i="21" s="1"/>
  <c r="CI405" i="1"/>
  <c r="CI402" i="1"/>
  <c r="CA28" i="1"/>
  <c r="CA404" i="1"/>
  <c r="CA400" i="1"/>
  <c r="CA6" i="1"/>
  <c r="CA391" i="1"/>
  <c r="CA396" i="1"/>
  <c r="CA408" i="1"/>
  <c r="CA8" i="1"/>
  <c r="CA14" i="1"/>
  <c r="CF6" i="1"/>
  <c r="AL6" i="18"/>
  <c r="CB236" i="1"/>
  <c r="E609" i="21"/>
  <c r="E695" i="21"/>
  <c r="N304" i="21"/>
  <c r="N335" i="21"/>
  <c r="G83" i="16"/>
  <c r="G23" i="16"/>
  <c r="CE437" i="1"/>
  <c r="G32" i="23"/>
  <c r="G9" i="23"/>
  <c r="I8" i="23"/>
  <c r="CH412" i="1"/>
  <c r="T362" i="2"/>
  <c r="AM6" i="18"/>
  <c r="CC236" i="1"/>
  <c r="E679" i="21"/>
  <c r="CA246" i="1"/>
  <c r="E680" i="21" s="1"/>
  <c r="CH278" i="1"/>
  <c r="CQ11" i="9"/>
  <c r="CB421" i="1"/>
  <c r="CB442" i="1"/>
  <c r="CB443" i="1" s="1"/>
  <c r="CB425" i="1"/>
  <c r="CB426" i="1" s="1"/>
  <c r="CB423" i="1"/>
  <c r="CG420" i="1"/>
  <c r="C16" i="25"/>
  <c r="C56" i="25" s="1"/>
  <c r="C59" i="25" s="1"/>
  <c r="N431" i="21"/>
  <c r="N428" i="21"/>
  <c r="N540" i="21" s="1"/>
  <c r="N542" i="21" s="1"/>
  <c r="W296" i="2"/>
  <c r="CE399" i="1"/>
  <c r="H24" i="14" l="1"/>
  <c r="AG23" i="14"/>
  <c r="CE32" i="1"/>
  <c r="AV318" i="1"/>
  <c r="AV133" i="1"/>
  <c r="BA133" i="1"/>
  <c r="AV323" i="1"/>
  <c r="AV135" i="1"/>
  <c r="BR24" i="7"/>
  <c r="BR35" i="7"/>
  <c r="BE317" i="1"/>
  <c r="AZ228" i="1"/>
  <c r="AZ304" i="1"/>
  <c r="AZ317" i="1"/>
  <c r="BA316" i="1"/>
  <c r="H646" i="21"/>
  <c r="H649" i="21" s="1"/>
  <c r="H567" i="21" s="1"/>
  <c r="W694" i="21"/>
  <c r="W646" i="21" s="1"/>
  <c r="W649" i="21" s="1"/>
  <c r="W567" i="21" s="1"/>
  <c r="F190" i="17"/>
  <c r="F191" i="17"/>
  <c r="G169" i="17"/>
  <c r="BA323" i="1"/>
  <c r="BA135" i="1"/>
  <c r="BF135" i="1"/>
  <c r="AL135" i="1"/>
  <c r="AL323" i="1"/>
  <c r="AQ323" i="1"/>
  <c r="AQ135" i="1"/>
  <c r="AU317" i="1"/>
  <c r="AU304" i="1"/>
  <c r="AU228" i="1"/>
  <c r="K103" i="4"/>
  <c r="K96" i="4"/>
  <c r="CO439" i="1"/>
  <c r="V368" i="2"/>
  <c r="DA9" i="9"/>
  <c r="S113" i="2"/>
  <c r="S100" i="2"/>
  <c r="S341" i="2"/>
  <c r="S364" i="2" s="1"/>
  <c r="C261" i="17"/>
  <c r="E261" i="17" s="1"/>
  <c r="S75" i="2"/>
  <c r="AQ316" i="1"/>
  <c r="AP317" i="1"/>
  <c r="AP228" i="1"/>
  <c r="AP304" i="1"/>
  <c r="AL318" i="1"/>
  <c r="AL133" i="1"/>
  <c r="AV304" i="1"/>
  <c r="AV228" i="1"/>
  <c r="P51" i="11"/>
  <c r="P52" i="11" s="1"/>
  <c r="AB23" i="3"/>
  <c r="I646" i="21"/>
  <c r="I649" i="21" s="1"/>
  <c r="I567" i="21" s="1"/>
  <c r="I598" i="21" s="1"/>
  <c r="I308" i="21"/>
  <c r="I310" i="21" s="1"/>
  <c r="I313" i="21" s="1"/>
  <c r="I369" i="21"/>
  <c r="AK228" i="1"/>
  <c r="AK304" i="1"/>
  <c r="AL316" i="1"/>
  <c r="H8" i="10"/>
  <c r="H23" i="10" s="1"/>
  <c r="H22" i="10"/>
  <c r="X296" i="2"/>
  <c r="N334" i="21"/>
  <c r="N322" i="21" s="1"/>
  <c r="N305" i="21"/>
  <c r="CE240" i="1"/>
  <c r="CE411" i="1"/>
  <c r="CE393" i="1"/>
  <c r="CJ392" i="1"/>
  <c r="CE241" i="1"/>
  <c r="I675" i="21" s="1"/>
  <c r="CJ397" i="1"/>
  <c r="E14" i="14"/>
  <c r="AD14" i="14" s="1"/>
  <c r="CE231" i="1"/>
  <c r="E13" i="16"/>
  <c r="CB174" i="1"/>
  <c r="CG201" i="1"/>
  <c r="CD5" i="1"/>
  <c r="CD413" i="1" s="1"/>
  <c r="CD279" i="1"/>
  <c r="CD250" i="1"/>
  <c r="H672" i="21"/>
  <c r="CD245" i="1"/>
  <c r="H679" i="21" s="1"/>
  <c r="AN8" i="18"/>
  <c r="CI237" i="1"/>
  <c r="BQ7" i="7"/>
  <c r="CC294" i="1"/>
  <c r="H23" i="16"/>
  <c r="H83" i="16"/>
  <c r="C17" i="25"/>
  <c r="N436" i="21"/>
  <c r="E28" i="21"/>
  <c r="E612" i="21"/>
  <c r="E552" i="21" s="1"/>
  <c r="G33" i="23"/>
  <c r="G37" i="23"/>
  <c r="I13" i="23"/>
  <c r="I37" i="23" s="1"/>
  <c r="N643" i="21"/>
  <c r="N564" i="21"/>
  <c r="CI412" i="1"/>
  <c r="H682" i="21"/>
  <c r="CD254" i="1"/>
  <c r="G40" i="23"/>
  <c r="I16" i="23"/>
  <c r="CQ10" i="9"/>
  <c r="CB245" i="1"/>
  <c r="CB250" i="1"/>
  <c r="F672" i="21"/>
  <c r="CB5" i="1"/>
  <c r="CB413" i="1" s="1"/>
  <c r="AL8" i="18"/>
  <c r="CB279" i="1"/>
  <c r="H674" i="21"/>
  <c r="W674" i="21" s="1"/>
  <c r="CC259" i="1"/>
  <c r="G684" i="21"/>
  <c r="CH258" i="1"/>
  <c r="P7" i="18"/>
  <c r="I22" i="16"/>
  <c r="I23" i="14"/>
  <c r="P26" i="18"/>
  <c r="CE314" i="1"/>
  <c r="CE294" i="1" s="1"/>
  <c r="CC447" i="1"/>
  <c r="CC226" i="1"/>
  <c r="CQ7" i="9"/>
  <c r="CC419" i="1"/>
  <c r="CH226" i="1"/>
  <c r="CS9" i="9"/>
  <c r="S368" i="2"/>
  <c r="CE466" i="1"/>
  <c r="CE252" i="1"/>
  <c r="CE439" i="1"/>
  <c r="CE35" i="1"/>
  <c r="CE464" i="1"/>
  <c r="L73" i="4"/>
  <c r="AC14" i="3"/>
  <c r="CJ285" i="1"/>
  <c r="CS330" i="1"/>
  <c r="CR313" i="1"/>
  <c r="CR235" i="1" s="1"/>
  <c r="BB430" i="1"/>
  <c r="BB459" i="1"/>
  <c r="BB460" i="1" s="1"/>
  <c r="BB465" i="1"/>
  <c r="BB431" i="1"/>
  <c r="BB456" i="1"/>
  <c r="BR23" i="7"/>
  <c r="H691" i="21"/>
  <c r="Y359" i="2"/>
  <c r="Y68" i="2"/>
  <c r="CS275" i="1"/>
  <c r="Z361" i="2" s="1"/>
  <c r="BC459" i="1"/>
  <c r="CC279" i="1"/>
  <c r="G672" i="21"/>
  <c r="AM8" i="18"/>
  <c r="CC5" i="1"/>
  <c r="CC413" i="1" s="1"/>
  <c r="CC245" i="1"/>
  <c r="CC250" i="1"/>
  <c r="CB259" i="1"/>
  <c r="CB445" i="1"/>
  <c r="AX48" i="7"/>
  <c r="AX47" i="7"/>
  <c r="CC256" i="1"/>
  <c r="CH255" i="1"/>
  <c r="CE242" i="1"/>
  <c r="I676" i="21" s="1"/>
  <c r="CJ401" i="1"/>
  <c r="BE455" i="1"/>
  <c r="I32" i="23"/>
  <c r="I9" i="23"/>
  <c r="AC30" i="3"/>
  <c r="T367" i="2"/>
  <c r="T372" i="2" s="1"/>
  <c r="T373" i="2" s="1"/>
  <c r="AC15" i="3"/>
  <c r="CE243" i="1"/>
  <c r="I677" i="21" s="1"/>
  <c r="CJ405" i="1"/>
  <c r="CB223" i="1"/>
  <c r="CG220" i="1"/>
  <c r="BU300" i="1"/>
  <c r="BZ300" i="1"/>
  <c r="E23" i="14"/>
  <c r="L7" i="18"/>
  <c r="E22" i="16"/>
  <c r="I24" i="14" l="1"/>
  <c r="AH23" i="14"/>
  <c r="F24" i="14"/>
  <c r="AD23" i="14"/>
  <c r="AL228" i="1"/>
  <c r="AL304" i="1"/>
  <c r="BA228" i="1"/>
  <c r="BA304" i="1"/>
  <c r="BF317" i="1"/>
  <c r="BA317" i="1"/>
  <c r="AQ228" i="1"/>
  <c r="AQ304" i="1"/>
  <c r="AQ317" i="1"/>
  <c r="I418" i="21"/>
  <c r="I370" i="21"/>
  <c r="S381" i="2"/>
  <c r="AB75" i="3" s="1"/>
  <c r="E35" i="16"/>
  <c r="E36" i="14"/>
  <c r="S430" i="2"/>
  <c r="U43" i="27" s="1"/>
  <c r="S370" i="2"/>
  <c r="I314" i="21"/>
  <c r="I194" i="21"/>
  <c r="AB248" i="3"/>
  <c r="AB127" i="3"/>
  <c r="AB136" i="3" s="1"/>
  <c r="AB137" i="3" s="1"/>
  <c r="AB24" i="3"/>
  <c r="AB249" i="3" s="1"/>
  <c r="AV317" i="1"/>
  <c r="K108" i="4"/>
  <c r="K104" i="4"/>
  <c r="F193" i="17"/>
  <c r="CD246" i="1"/>
  <c r="H680" i="21" s="1"/>
  <c r="CE301" i="1"/>
  <c r="CE293" i="1"/>
  <c r="CJ301" i="1"/>
  <c r="E578" i="21"/>
  <c r="J572" i="21"/>
  <c r="CJ412" i="1"/>
  <c r="Z359" i="2"/>
  <c r="CT275" i="1"/>
  <c r="AA361" i="2" s="1"/>
  <c r="Z68" i="2"/>
  <c r="CR10" i="9"/>
  <c r="I40" i="23"/>
  <c r="CC442" i="1"/>
  <c r="CC425" i="1"/>
  <c r="CC426" i="1" s="1"/>
  <c r="CC421" i="1"/>
  <c r="CC423" i="1"/>
  <c r="CH420" i="1"/>
  <c r="CD256" i="1"/>
  <c r="CI255" i="1"/>
  <c r="I674" i="21"/>
  <c r="Q7" i="18"/>
  <c r="J23" i="14"/>
  <c r="Q26" i="18"/>
  <c r="J22" i="16"/>
  <c r="H621" i="21"/>
  <c r="H623" i="21" s="1"/>
  <c r="H554" i="21" s="1"/>
  <c r="H555" i="21" s="1"/>
  <c r="L350" i="21"/>
  <c r="L352" i="21" s="1"/>
  <c r="L383" i="21" s="1"/>
  <c r="J240" i="21"/>
  <c r="W682" i="21"/>
  <c r="W621" i="21" s="1"/>
  <c r="W623" i="21" s="1"/>
  <c r="W554" i="21" s="1"/>
  <c r="CC301" i="1"/>
  <c r="CC293" i="1"/>
  <c r="CH301" i="1"/>
  <c r="CG175" i="1"/>
  <c r="I33" i="23"/>
  <c r="CD226" i="1"/>
  <c r="CR7" i="9"/>
  <c r="CD447" i="1"/>
  <c r="CD419" i="1"/>
  <c r="CI226" i="1"/>
  <c r="C57" i="25"/>
  <c r="C18" i="25"/>
  <c r="Y296" i="2"/>
  <c r="CT330" i="1"/>
  <c r="CT313" i="1" s="1"/>
  <c r="CT235" i="1" s="1"/>
  <c r="CS313" i="1"/>
  <c r="CS235" i="1" s="1"/>
  <c r="CC455" i="1"/>
  <c r="CC448" i="1"/>
  <c r="CH448" i="1"/>
  <c r="BR7" i="7"/>
  <c r="CD294" i="1"/>
  <c r="CB14" i="1"/>
  <c r="CB28" i="1"/>
  <c r="CB8" i="1"/>
  <c r="CB408" i="1"/>
  <c r="CB396" i="1"/>
  <c r="CB404" i="1"/>
  <c r="CB391" i="1"/>
  <c r="CB400" i="1"/>
  <c r="O574" i="21"/>
  <c r="H636" i="21"/>
  <c r="H638" i="21" s="1"/>
  <c r="H561" i="21" s="1"/>
  <c r="J247" i="21"/>
  <c r="L247" i="21" s="1"/>
  <c r="L361" i="21"/>
  <c r="W691" i="21"/>
  <c r="W636" i="21" s="1"/>
  <c r="W638" i="21" s="1"/>
  <c r="W561" i="21" s="1"/>
  <c r="G679" i="21"/>
  <c r="CC246" i="1"/>
  <c r="G680" i="21" s="1"/>
  <c r="H609" i="21"/>
  <c r="H695" i="21"/>
  <c r="CC174" i="1"/>
  <c r="CC205" i="1"/>
  <c r="CH201" i="1"/>
  <c r="CC14" i="1"/>
  <c r="CC28" i="1"/>
  <c r="CC8" i="1"/>
  <c r="CC396" i="1"/>
  <c r="CC400" i="1"/>
  <c r="CC391" i="1"/>
  <c r="CC408" i="1"/>
  <c r="CC404" i="1"/>
  <c r="I83" i="16"/>
  <c r="I23" i="16"/>
  <c r="F679" i="21"/>
  <c r="CB246" i="1"/>
  <c r="F680" i="21" s="1"/>
  <c r="BQ30" i="7"/>
  <c r="BQ8" i="7"/>
  <c r="F609" i="21"/>
  <c r="F695" i="21"/>
  <c r="CC223" i="1"/>
  <c r="CC138" i="1"/>
  <c r="CH220" i="1"/>
  <c r="CE254" i="1"/>
  <c r="S130" i="2"/>
  <c r="I682" i="21"/>
  <c r="S357" i="2"/>
  <c r="F83" i="16"/>
  <c r="F23" i="16"/>
  <c r="DB32" i="7"/>
  <c r="E15" i="16"/>
  <c r="E16" i="14"/>
  <c r="AD16" i="14" s="1"/>
  <c r="CE234" i="1"/>
  <c r="CS10" i="9"/>
  <c r="K80" i="4"/>
  <c r="K83" i="4" s="1"/>
  <c r="BE430" i="1"/>
  <c r="BE431" i="1"/>
  <c r="H684" i="21"/>
  <c r="W684" i="21" s="1"/>
  <c r="CD259" i="1"/>
  <c r="CI258" i="1"/>
  <c r="G609" i="21"/>
  <c r="G695" i="21"/>
  <c r="CD14" i="1"/>
  <c r="CD8" i="1"/>
  <c r="CD28" i="1"/>
  <c r="CI6" i="1"/>
  <c r="CD408" i="1"/>
  <c r="CD404" i="1"/>
  <c r="CD396" i="1"/>
  <c r="CD400" i="1"/>
  <c r="CD391" i="1"/>
  <c r="U6" i="27" l="1"/>
  <c r="J24" i="14"/>
  <c r="AI23" i="14"/>
  <c r="AD36" i="14"/>
  <c r="F37" i="14"/>
  <c r="P35" i="16"/>
  <c r="E39" i="16"/>
  <c r="F36" i="16"/>
  <c r="S433" i="2"/>
  <c r="S58" i="2"/>
  <c r="T431" i="2"/>
  <c r="T131" i="2"/>
  <c r="AB20" i="3"/>
  <c r="P30" i="11" s="1"/>
  <c r="P35" i="11" s="1"/>
  <c r="P45" i="11" s="1"/>
  <c r="S132" i="2"/>
  <c r="S135" i="2"/>
  <c r="CD174" i="1"/>
  <c r="CD205" i="1"/>
  <c r="CI201" i="1"/>
  <c r="CE200" i="1"/>
  <c r="CD223" i="1"/>
  <c r="CD138" i="1"/>
  <c r="CI220" i="1"/>
  <c r="CE219" i="1"/>
  <c r="CC430" i="1"/>
  <c r="CC456" i="1"/>
  <c r="CC459" i="1"/>
  <c r="CC431" i="1"/>
  <c r="CH456" i="1"/>
  <c r="CC465" i="1"/>
  <c r="CE256" i="1"/>
  <c r="CJ255" i="1"/>
  <c r="CH175" i="1"/>
  <c r="R7" i="18"/>
  <c r="R26" i="18"/>
  <c r="K22" i="16"/>
  <c r="K23" i="14"/>
  <c r="K24" i="14" s="1"/>
  <c r="G612" i="21"/>
  <c r="G552" i="21" s="1"/>
  <c r="G578" i="21" s="1"/>
  <c r="G28" i="21"/>
  <c r="H28" i="21"/>
  <c r="H612" i="21"/>
  <c r="H552" i="21" s="1"/>
  <c r="H578" i="21" s="1"/>
  <c r="S26" i="18"/>
  <c r="S7" i="18"/>
  <c r="L23" i="14"/>
  <c r="L22" i="16"/>
  <c r="L6" i="18"/>
  <c r="E20" i="16"/>
  <c r="CE236" i="1"/>
  <c r="S133" i="2" s="1"/>
  <c r="E223" i="17"/>
  <c r="E21" i="14"/>
  <c r="AD21" i="14" s="1"/>
  <c r="CC300" i="1"/>
  <c r="CH300" i="1"/>
  <c r="AA359" i="2"/>
  <c r="AA68" i="2"/>
  <c r="W555" i="21"/>
  <c r="L240" i="21"/>
  <c r="J241" i="21"/>
  <c r="F612" i="21"/>
  <c r="F552" i="21" s="1"/>
  <c r="F578" i="21" s="1"/>
  <c r="F28" i="21"/>
  <c r="Z296" i="2"/>
  <c r="CD293" i="1"/>
  <c r="CD301" i="1"/>
  <c r="CI301" i="1"/>
  <c r="CD425" i="1"/>
  <c r="CD426" i="1" s="1"/>
  <c r="CE426" i="1" s="1"/>
  <c r="CD442" i="1"/>
  <c r="CD421" i="1"/>
  <c r="CD423" i="1"/>
  <c r="CI420" i="1"/>
  <c r="BR30" i="7"/>
  <c r="BR8" i="7"/>
  <c r="CD455" i="1"/>
  <c r="CD448" i="1"/>
  <c r="CI448" i="1"/>
  <c r="J83" i="16"/>
  <c r="J23" i="16"/>
  <c r="CE300" i="1"/>
  <c r="CJ300" i="1"/>
  <c r="I350" i="21"/>
  <c r="I621" i="21"/>
  <c r="I623" i="21" s="1"/>
  <c r="I554" i="21" s="1"/>
  <c r="I300" i="21"/>
  <c r="I302" i="21" s="1"/>
  <c r="I304" i="21" s="1"/>
  <c r="I305" i="21" s="1"/>
  <c r="CC443" i="1"/>
  <c r="CC445" i="1"/>
  <c r="CE224" i="1"/>
  <c r="CA190" i="1" l="1"/>
  <c r="BO41" i="7"/>
  <c r="CA165" i="1"/>
  <c r="CA53" i="1"/>
  <c r="CO3" i="9"/>
  <c r="CB94" i="1"/>
  <c r="AK16" i="18"/>
  <c r="CF98" i="1"/>
  <c r="X35" i="16"/>
  <c r="P39" i="16"/>
  <c r="Q36" i="16"/>
  <c r="Y36" i="16" s="1"/>
  <c r="CE225" i="1"/>
  <c r="CE447" i="1" s="1"/>
  <c r="L241" i="21"/>
  <c r="I555" i="21"/>
  <c r="I597" i="21" s="1"/>
  <c r="I600" i="21" s="1"/>
  <c r="L24" i="14"/>
  <c r="I193" i="21"/>
  <c r="I263" i="21"/>
  <c r="L23" i="16"/>
  <c r="L83" i="16"/>
  <c r="CD443" i="1"/>
  <c r="CD445" i="1"/>
  <c r="CI175" i="1"/>
  <c r="CC460" i="1"/>
  <c r="CH460" i="1"/>
  <c r="CD459" i="1"/>
  <c r="CD431" i="1"/>
  <c r="CD456" i="1"/>
  <c r="CD430" i="1"/>
  <c r="CI456" i="1"/>
  <c r="CD465" i="1"/>
  <c r="K23" i="16"/>
  <c r="K83" i="16"/>
  <c r="S136" i="2"/>
  <c r="S145" i="2"/>
  <c r="E225" i="17"/>
  <c r="E230" i="17" s="1"/>
  <c r="E231" i="17" s="1"/>
  <c r="E234" i="17" s="1"/>
  <c r="E688" i="21"/>
  <c r="E626" i="21" s="1"/>
  <c r="E628" i="21" s="1"/>
  <c r="E557" i="21" s="1"/>
  <c r="BO26" i="7"/>
  <c r="CD300" i="1"/>
  <c r="CI300" i="1"/>
  <c r="BO23" i="7"/>
  <c r="CE268" i="1"/>
  <c r="E691" i="21"/>
  <c r="E636" i="21" s="1"/>
  <c r="E638" i="21" s="1"/>
  <c r="E561" i="21" s="1"/>
  <c r="S76" i="2"/>
  <c r="E24" i="16"/>
  <c r="D223" i="17"/>
  <c r="D225" i="17" s="1"/>
  <c r="D230" i="17" s="1"/>
  <c r="D231" i="17" s="1"/>
  <c r="S242" i="2"/>
  <c r="L8" i="18"/>
  <c r="S252" i="2"/>
  <c r="CE250" i="1"/>
  <c r="S74" i="2"/>
  <c r="K98" i="4" s="1"/>
  <c r="S264" i="2"/>
  <c r="CE245" i="1"/>
  <c r="E25" i="14"/>
  <c r="DB7" i="7"/>
  <c r="S146" i="2"/>
  <c r="I672" i="21"/>
  <c r="S249" i="2"/>
  <c r="S416" i="2"/>
  <c r="U39" i="27" s="1"/>
  <c r="S255" i="2"/>
  <c r="CE5" i="1"/>
  <c r="CE413" i="1" s="1"/>
  <c r="CS7" i="9"/>
  <c r="S245" i="2"/>
  <c r="S288" i="2"/>
  <c r="P46" i="11"/>
  <c r="CA279" i="1"/>
  <c r="CE277" i="1"/>
  <c r="CE283" i="1" s="1"/>
  <c r="CO11" i="9"/>
  <c r="CA278" i="1"/>
  <c r="CF278" i="1"/>
  <c r="AA296" i="2"/>
  <c r="CE223" i="1"/>
  <c r="CE174" i="1"/>
  <c r="CJ220" i="1"/>
  <c r="P20" i="16"/>
  <c r="Q21" i="16" s="1"/>
  <c r="CE419" i="1" l="1"/>
  <c r="CE442" i="1" s="1"/>
  <c r="CB97" i="1"/>
  <c r="CB95" i="1"/>
  <c r="CA61" i="1"/>
  <c r="CA42" i="1"/>
  <c r="CB61" i="1"/>
  <c r="BO44" i="7"/>
  <c r="CF166" i="1"/>
  <c r="CB168" i="1"/>
  <c r="BO28" i="7"/>
  <c r="CE279" i="1"/>
  <c r="CS11" i="9"/>
  <c r="CJ278" i="1"/>
  <c r="S411" i="2"/>
  <c r="CE455" i="1"/>
  <c r="CE371" i="1"/>
  <c r="CE463" i="1"/>
  <c r="I679" i="21"/>
  <c r="CE246" i="1"/>
  <c r="I343" i="21"/>
  <c r="I695" i="21"/>
  <c r="I609" i="21"/>
  <c r="CO10" i="9"/>
  <c r="CA445" i="1"/>
  <c r="CA465" i="1"/>
  <c r="CE257" i="1"/>
  <c r="S426" i="2" s="1"/>
  <c r="U40" i="27" s="1"/>
  <c r="U50" i="27" s="1"/>
  <c r="U56" i="27" s="1"/>
  <c r="U58" i="27" s="1"/>
  <c r="CA266" i="1"/>
  <c r="CA259" i="1"/>
  <c r="E684" i="21"/>
  <c r="CF258" i="1"/>
  <c r="DB8" i="7"/>
  <c r="DB31" i="7" s="1"/>
  <c r="DB30" i="7"/>
  <c r="S343" i="2"/>
  <c r="S348" i="2" s="1"/>
  <c r="S84" i="2"/>
  <c r="S61" i="2"/>
  <c r="S380" i="2" s="1"/>
  <c r="I691" i="21"/>
  <c r="F688" i="21"/>
  <c r="F626" i="21" s="1"/>
  <c r="F628" i="21" s="1"/>
  <c r="F557" i="21" s="1"/>
  <c r="BP26" i="7"/>
  <c r="BP28" i="7" s="1"/>
  <c r="CJ175" i="1"/>
  <c r="E38" i="14"/>
  <c r="E30" i="14"/>
  <c r="AD25" i="14"/>
  <c r="BV174" i="1"/>
  <c r="BV201" i="1"/>
  <c r="CA201" i="1"/>
  <c r="BV223" i="1"/>
  <c r="BV220" i="1"/>
  <c r="CA220" i="1"/>
  <c r="CD460" i="1"/>
  <c r="CI460" i="1"/>
  <c r="E239" i="17"/>
  <c r="E237" i="17"/>
  <c r="E238" i="17"/>
  <c r="CE8" i="1"/>
  <c r="AB18" i="3"/>
  <c r="AB246" i="3" s="1"/>
  <c r="CE28" i="1"/>
  <c r="CE14" i="1"/>
  <c r="H5" i="10"/>
  <c r="H20" i="10" s="1"/>
  <c r="CE408" i="1"/>
  <c r="CE400" i="1"/>
  <c r="CE396" i="1"/>
  <c r="CE404" i="1"/>
  <c r="CE391" i="1"/>
  <c r="D239" i="17"/>
  <c r="D238" i="17"/>
  <c r="D237" i="17"/>
  <c r="S432" i="2"/>
  <c r="S223" i="2"/>
  <c r="S181" i="2"/>
  <c r="S222" i="2"/>
  <c r="S207" i="2"/>
  <c r="E37" i="16"/>
  <c r="E29" i="16"/>
  <c r="P24" i="16"/>
  <c r="T137" i="2"/>
  <c r="CE425" i="1"/>
  <c r="CB266" i="1"/>
  <c r="U61" i="27" l="1"/>
  <c r="U63" i="27" s="1"/>
  <c r="CE421" i="1"/>
  <c r="CG169" i="1"/>
  <c r="BO46" i="7"/>
  <c r="CE172" i="1"/>
  <c r="DB46" i="7" s="1"/>
  <c r="CA171" i="1"/>
  <c r="BO45" i="7" s="1"/>
  <c r="BO16" i="7"/>
  <c r="BO19" i="7"/>
  <c r="CB203" i="1"/>
  <c r="CB138" i="1"/>
  <c r="E240" i="17"/>
  <c r="I264" i="21"/>
  <c r="I348" i="21"/>
  <c r="I380" i="21"/>
  <c r="N264" i="21"/>
  <c r="O264" i="21" s="1"/>
  <c r="I382" i="21"/>
  <c r="BV175" i="1"/>
  <c r="CA175" i="1"/>
  <c r="X24" i="16"/>
  <c r="P37" i="16"/>
  <c r="X37" i="16" s="1"/>
  <c r="P22" i="16"/>
  <c r="Q23" i="16" s="1"/>
  <c r="P29" i="16"/>
  <c r="X29" i="16" s="1"/>
  <c r="Q25" i="16"/>
  <c r="CE373" i="1"/>
  <c r="I680" i="21"/>
  <c r="C260" i="17"/>
  <c r="CE430" i="1"/>
  <c r="CE459" i="1"/>
  <c r="CE431" i="1"/>
  <c r="S419" i="2" s="1"/>
  <c r="CE465" i="1"/>
  <c r="CE443" i="1" s="1"/>
  <c r="G688" i="21"/>
  <c r="G626" i="21" s="1"/>
  <c r="G628" i="21" s="1"/>
  <c r="G557" i="21" s="1"/>
  <c r="BQ26" i="7"/>
  <c r="BQ28" i="7" s="1"/>
  <c r="CA271" i="1"/>
  <c r="CA20" i="1" s="1"/>
  <c r="E690" i="21"/>
  <c r="E689" i="21" s="1"/>
  <c r="E631" i="21" s="1"/>
  <c r="E633" i="21" s="1"/>
  <c r="E560" i="21" s="1"/>
  <c r="CA269" i="1"/>
  <c r="L29" i="18"/>
  <c r="L64" i="18" s="1"/>
  <c r="CE259" i="1"/>
  <c r="C244" i="17"/>
  <c r="C246" i="17" s="1"/>
  <c r="C254" i="17" s="1"/>
  <c r="I684" i="21"/>
  <c r="I352" i="21" s="1"/>
  <c r="CJ258" i="1"/>
  <c r="DB48" i="7"/>
  <c r="D240" i="17"/>
  <c r="I362" i="21"/>
  <c r="I417" i="21" s="1"/>
  <c r="I420" i="21" s="1"/>
  <c r="I636" i="21"/>
  <c r="I638" i="21" s="1"/>
  <c r="I561" i="21" s="1"/>
  <c r="F690" i="21"/>
  <c r="F689" i="21" s="1"/>
  <c r="F631" i="21" s="1"/>
  <c r="F633" i="21" s="1"/>
  <c r="F560" i="21" s="1"/>
  <c r="CB271" i="1"/>
  <c r="CB20" i="1" s="1"/>
  <c r="CB269" i="1"/>
  <c r="CE444" i="1"/>
  <c r="CE445" i="1"/>
  <c r="CE9" i="1"/>
  <c r="CE18" i="1"/>
  <c r="CE33" i="1"/>
  <c r="K99" i="4" s="1"/>
  <c r="S385" i="2"/>
  <c r="AB74" i="3"/>
  <c r="I612" i="21"/>
  <c r="I552" i="21" s="1"/>
  <c r="I28" i="21"/>
  <c r="CC266" i="1"/>
  <c r="BN62" i="7"/>
  <c r="CG21" i="1" l="1"/>
  <c r="CB22" i="1"/>
  <c r="CF21" i="1"/>
  <c r="CA22" i="1"/>
  <c r="BY190" i="1"/>
  <c r="CM3" i="9"/>
  <c r="BN41" i="7"/>
  <c r="BZ96" i="1"/>
  <c r="BY53" i="1"/>
  <c r="AJ16" i="18"/>
  <c r="BY165" i="1"/>
  <c r="CD98" i="1"/>
  <c r="CG204" i="1"/>
  <c r="CB205" i="1"/>
  <c r="I576" i="21"/>
  <c r="I578" i="21"/>
  <c r="I34" i="21"/>
  <c r="S388" i="2"/>
  <c r="AB79" i="3"/>
  <c r="P264" i="21"/>
  <c r="O351" i="21"/>
  <c r="CA273" i="1"/>
  <c r="E692" i="21"/>
  <c r="E641" i="21" s="1"/>
  <c r="E643" i="21" s="1"/>
  <c r="E564" i="21" s="1"/>
  <c r="J574" i="21" s="1"/>
  <c r="BO10" i="7"/>
  <c r="BO34" i="7" s="1"/>
  <c r="CA282" i="1"/>
  <c r="AK11" i="18"/>
  <c r="CF272" i="1"/>
  <c r="CA275" i="1"/>
  <c r="I190" i="21"/>
  <c r="I191" i="21" s="1"/>
  <c r="I192" i="21" s="1"/>
  <c r="I195" i="21" s="1"/>
  <c r="I383" i="21"/>
  <c r="I354" i="21"/>
  <c r="N377" i="21"/>
  <c r="N353" i="21"/>
  <c r="E260" i="17"/>
  <c r="C262" i="17"/>
  <c r="E262" i="17" s="1"/>
  <c r="S422" i="2"/>
  <c r="S413" i="2"/>
  <c r="F692" i="21"/>
  <c r="F641" i="21" s="1"/>
  <c r="F643" i="21" s="1"/>
  <c r="F564" i="21" s="1"/>
  <c r="K574" i="21" s="1"/>
  <c r="BP10" i="7"/>
  <c r="BP34" i="7" s="1"/>
  <c r="AL11" i="18"/>
  <c r="CB273" i="1"/>
  <c r="CB282" i="1"/>
  <c r="CB285" i="1" s="1"/>
  <c r="CG272" i="1"/>
  <c r="CB275" i="1"/>
  <c r="G690" i="21"/>
  <c r="G689" i="21" s="1"/>
  <c r="G631" i="21" s="1"/>
  <c r="G633" i="21" s="1"/>
  <c r="G560" i="21" s="1"/>
  <c r="CC271" i="1"/>
  <c r="CC20" i="1" s="1"/>
  <c r="CC269" i="1"/>
  <c r="BR26" i="7"/>
  <c r="BR28" i="7" s="1"/>
  <c r="H688" i="21"/>
  <c r="CE262" i="1"/>
  <c r="CE265" i="1"/>
  <c r="S359" i="2" s="1"/>
  <c r="CH21" i="1" l="1"/>
  <c r="CC22" i="1"/>
  <c r="BN44" i="7"/>
  <c r="CD166" i="1"/>
  <c r="BY42" i="1"/>
  <c r="AA51" i="3"/>
  <c r="AA243" i="3" s="1"/>
  <c r="D55" i="16"/>
  <c r="BZ165" i="1"/>
  <c r="BZ190" i="1"/>
  <c r="CE94" i="1"/>
  <c r="K16" i="18"/>
  <c r="R399" i="2"/>
  <c r="S408" i="2" s="1"/>
  <c r="S423" i="2" s="1"/>
  <c r="DA41" i="7"/>
  <c r="CE97" i="1"/>
  <c r="CN3" i="9"/>
  <c r="D51" i="14"/>
  <c r="CA94" i="1"/>
  <c r="D388" i="21"/>
  <c r="CE98" i="1"/>
  <c r="CD266" i="1"/>
  <c r="H690" i="21" s="1"/>
  <c r="CC273" i="1"/>
  <c r="AM11" i="18"/>
  <c r="CC282" i="1"/>
  <c r="CC285" i="1" s="1"/>
  <c r="BQ10" i="7"/>
  <c r="BQ34" i="7" s="1"/>
  <c r="G692" i="21"/>
  <c r="G641" i="21" s="1"/>
  <c r="G643" i="21" s="1"/>
  <c r="G564" i="21" s="1"/>
  <c r="L574" i="21" s="1"/>
  <c r="CH272" i="1"/>
  <c r="CC275" i="1"/>
  <c r="P351" i="21"/>
  <c r="Q264" i="21"/>
  <c r="H626" i="21"/>
  <c r="H628" i="21" s="1"/>
  <c r="H557" i="21" s="1"/>
  <c r="W688" i="21"/>
  <c r="W626" i="21" s="1"/>
  <c r="W628" i="21" s="1"/>
  <c r="W557" i="21" s="1"/>
  <c r="BW235" i="1"/>
  <c r="AH7" i="18" s="1"/>
  <c r="BW330" i="1"/>
  <c r="CB375" i="1" s="1"/>
  <c r="S390" i="2"/>
  <c r="U45" i="27" s="1"/>
  <c r="U10" i="27" s="1"/>
  <c r="U9" i="27" s="1"/>
  <c r="AB82" i="3"/>
  <c r="CA285" i="1"/>
  <c r="G262" i="17"/>
  <c r="F262" i="17"/>
  <c r="F263" i="17" s="1"/>
  <c r="S82" i="2"/>
  <c r="I688" i="21"/>
  <c r="S358" i="2"/>
  <c r="CE266" i="1"/>
  <c r="CD269" i="1" l="1"/>
  <c r="CD271" i="1"/>
  <c r="CD20" i="1" s="1"/>
  <c r="CE125" i="1"/>
  <c r="CE95" i="1"/>
  <c r="CE126" i="1" s="1"/>
  <c r="DA44" i="7"/>
  <c r="CE166" i="1"/>
  <c r="CA168" i="1"/>
  <c r="O55" i="16"/>
  <c r="P58" i="16" s="1"/>
  <c r="E58" i="16"/>
  <c r="D390" i="21"/>
  <c r="I391" i="21" s="1"/>
  <c r="CA97" i="1"/>
  <c r="CA95" i="1"/>
  <c r="AC51" i="14"/>
  <c r="E54" i="14"/>
  <c r="AD54" i="14" s="1"/>
  <c r="CE203" i="1"/>
  <c r="CE214" i="1"/>
  <c r="CE104" i="1"/>
  <c r="CE212" i="1"/>
  <c r="CE143" i="1"/>
  <c r="CJ99" i="1"/>
  <c r="CE138" i="1"/>
  <c r="BN46" i="7"/>
  <c r="BY171" i="1"/>
  <c r="BN16" i="7"/>
  <c r="BN19" i="7"/>
  <c r="BX330" i="1"/>
  <c r="CC375" i="1" s="1"/>
  <c r="BX235" i="1"/>
  <c r="AI7" i="18" s="1"/>
  <c r="H689" i="21"/>
  <c r="J246" i="21"/>
  <c r="L246" i="21" s="1"/>
  <c r="L360" i="21"/>
  <c r="L359" i="21" s="1"/>
  <c r="W689" i="21"/>
  <c r="W631" i="21" s="1"/>
  <c r="W633" i="21" s="1"/>
  <c r="W560" i="21" s="1"/>
  <c r="CD273" i="1"/>
  <c r="CD282" i="1"/>
  <c r="AN11" i="18"/>
  <c r="CD275" i="1"/>
  <c r="BR10" i="7"/>
  <c r="BR34" i="7" s="1"/>
  <c r="H692" i="21"/>
  <c r="CI272" i="1"/>
  <c r="R264" i="21"/>
  <c r="Q351" i="21"/>
  <c r="I359" i="21"/>
  <c r="I421" i="21" s="1"/>
  <c r="I422" i="21" s="1"/>
  <c r="I424" i="21" s="1"/>
  <c r="I426" i="21" s="1"/>
  <c r="I626" i="21"/>
  <c r="I628" i="21" s="1"/>
  <c r="I557" i="21" s="1"/>
  <c r="S395" i="2"/>
  <c r="AB31" i="3"/>
  <c r="AB84" i="3"/>
  <c r="I690" i="21"/>
  <c r="CE271" i="1"/>
  <c r="S83" i="2"/>
  <c r="S292" i="2" s="1"/>
  <c r="S296" i="2" s="1"/>
  <c r="S91" i="2" s="1"/>
  <c r="S85" i="2"/>
  <c r="CE269" i="1"/>
  <c r="BZ313" i="1"/>
  <c r="CI21" i="1" l="1"/>
  <c r="CD22" i="1"/>
  <c r="S428" i="2"/>
  <c r="U42" i="27" s="1"/>
  <c r="U8" i="27" s="1"/>
  <c r="CE20" i="1"/>
  <c r="D396" i="21"/>
  <c r="I397" i="21" s="1"/>
  <c r="X58" i="16"/>
  <c r="CA203" i="1"/>
  <c r="CA138" i="1"/>
  <c r="BZ171" i="1"/>
  <c r="DA45" i="7" s="1"/>
  <c r="BN45" i="7"/>
  <c r="W55" i="16"/>
  <c r="DB54" i="7"/>
  <c r="CJ149" i="1"/>
  <c r="DB53" i="7"/>
  <c r="CE168" i="1"/>
  <c r="AB252" i="3" s="1"/>
  <c r="CF169" i="1"/>
  <c r="CJ169" i="1" s="1"/>
  <c r="CO169" i="1" s="1"/>
  <c r="DB50" i="7"/>
  <c r="DB47" i="7" s="1"/>
  <c r="CE210" i="1"/>
  <c r="CE114" i="1"/>
  <c r="CE115" i="1" s="1"/>
  <c r="DB39" i="7"/>
  <c r="CE205" i="1"/>
  <c r="CE127" i="1"/>
  <c r="S360" i="2"/>
  <c r="BZ330" i="1"/>
  <c r="CE375" i="1" s="1"/>
  <c r="BZ235" i="1"/>
  <c r="H641" i="21"/>
  <c r="H643" i="21" s="1"/>
  <c r="H564" i="21" s="1"/>
  <c r="W692" i="21"/>
  <c r="W641" i="21" s="1"/>
  <c r="W643" i="21" s="1"/>
  <c r="W564" i="21" s="1"/>
  <c r="J248" i="21"/>
  <c r="L362" i="21"/>
  <c r="CD285" i="1"/>
  <c r="CE282" i="1"/>
  <c r="I361" i="21"/>
  <c r="I268" i="21" s="1"/>
  <c r="I689" i="21"/>
  <c r="H631" i="21"/>
  <c r="H633" i="21" s="1"/>
  <c r="H560" i="21" s="1"/>
  <c r="J245" i="21"/>
  <c r="L245" i="21" s="1"/>
  <c r="W690" i="21"/>
  <c r="R351" i="21"/>
  <c r="S264" i="21"/>
  <c r="BY235" i="1"/>
  <c r="AJ7" i="18" s="1"/>
  <c r="BY330" i="1"/>
  <c r="CD375" i="1" s="1"/>
  <c r="S92" i="2"/>
  <c r="H9" i="10"/>
  <c r="H24" i="10" s="1"/>
  <c r="L11" i="18"/>
  <c r="AB29" i="3"/>
  <c r="I692" i="21"/>
  <c r="S324" i="2"/>
  <c r="S326" i="2" s="1"/>
  <c r="S66" i="2" s="1"/>
  <c r="S68" i="2" s="1"/>
  <c r="S69" i="2" s="1"/>
  <c r="E31" i="16"/>
  <c r="DB10" i="7"/>
  <c r="DB34" i="7" s="1"/>
  <c r="E32" i="14"/>
  <c r="CE273" i="1"/>
  <c r="CJ272" i="1"/>
  <c r="CE275" i="1"/>
  <c r="S361" i="2" s="1"/>
  <c r="CJ21" i="1" l="1"/>
  <c r="CE22" i="1"/>
  <c r="CP169" i="1"/>
  <c r="CQ169" i="1" s="1"/>
  <c r="CR169" i="1" s="1"/>
  <c r="CS169" i="1" s="1"/>
  <c r="CT169" i="1" s="1"/>
  <c r="CO168" i="1"/>
  <c r="S362" i="2"/>
  <c r="AB30" i="3" s="1"/>
  <c r="CE142" i="1"/>
  <c r="DB49" i="7"/>
  <c r="CA205" i="1"/>
  <c r="CF204" i="1"/>
  <c r="E33" i="16"/>
  <c r="P31" i="16"/>
  <c r="F32" i="16"/>
  <c r="I363" i="21"/>
  <c r="I641" i="21"/>
  <c r="I643" i="21" s="1"/>
  <c r="I564" i="21" s="1"/>
  <c r="N574" i="21" s="1"/>
  <c r="AB14" i="3"/>
  <c r="CE285" i="1"/>
  <c r="K73" i="4"/>
  <c r="I631" i="21"/>
  <c r="I633" i="21" s="1"/>
  <c r="I560" i="21" s="1"/>
  <c r="I360" i="21"/>
  <c r="I267" i="21" s="1"/>
  <c r="L417" i="21"/>
  <c r="L420" i="21" s="1"/>
  <c r="L381" i="21"/>
  <c r="L248" i="21"/>
  <c r="E33" i="14"/>
  <c r="E34" i="14"/>
  <c r="AD32" i="14"/>
  <c r="T264" i="21"/>
  <c r="T351" i="21" s="1"/>
  <c r="X351" i="21" s="1"/>
  <c r="S351" i="21"/>
  <c r="D22" i="16"/>
  <c r="D23" i="14"/>
  <c r="K7" i="18"/>
  <c r="E24" i="14" l="1"/>
  <c r="AC23" i="14"/>
  <c r="AB15" i="3"/>
  <c r="S367" i="2"/>
  <c r="S372" i="2" s="1"/>
  <c r="S373" i="2" s="1"/>
  <c r="T374" i="2" s="1"/>
  <c r="BX190" i="1"/>
  <c r="BX53" i="1"/>
  <c r="AI16" i="18"/>
  <c r="CL3" i="9"/>
  <c r="BY94" i="1"/>
  <c r="BM41" i="7"/>
  <c r="BX165" i="1"/>
  <c r="CC98" i="1"/>
  <c r="DB52" i="7"/>
  <c r="CJ148" i="1"/>
  <c r="AD252" i="3"/>
  <c r="CP168" i="1"/>
  <c r="E23" i="16"/>
  <c r="E83" i="16"/>
  <c r="I367" i="21"/>
  <c r="I381" i="21"/>
  <c r="I365" i="21"/>
  <c r="N378" i="21"/>
  <c r="N364" i="21"/>
  <c r="X31" i="16"/>
  <c r="P33" i="16"/>
  <c r="X33" i="16" s="1"/>
  <c r="Q32" i="16"/>
  <c r="Y32" i="16" s="1"/>
  <c r="BM44" i="7" l="1"/>
  <c r="CC166" i="1"/>
  <c r="BY168" i="1"/>
  <c r="BY97" i="1"/>
  <c r="BY203" i="1" s="1"/>
  <c r="BY95" i="1"/>
  <c r="BX42" i="1"/>
  <c r="BY61" i="1"/>
  <c r="BM16" i="7"/>
  <c r="BM19" i="7"/>
  <c r="CQ168" i="1"/>
  <c r="AE252" i="3"/>
  <c r="BM46" i="7" l="1"/>
  <c r="BX171" i="1"/>
  <c r="BM45" i="7" s="1"/>
  <c r="CD169" i="1"/>
  <c r="CD204" i="1"/>
  <c r="AF252" i="3"/>
  <c r="CR168" i="1"/>
  <c r="AG252" i="3" l="1"/>
  <c r="CS168" i="1"/>
  <c r="AH252" i="3" l="1"/>
  <c r="CT168" i="1"/>
  <c r="BW190" i="1"/>
  <c r="BL41" i="7"/>
  <c r="AH16" i="18"/>
  <c r="CK3" i="9"/>
  <c r="BW53" i="1"/>
  <c r="BW165" i="1"/>
  <c r="BX94" i="1"/>
  <c r="CB98" i="1"/>
  <c r="BW241" i="1"/>
  <c r="CB397" i="1"/>
  <c r="BW242" i="1"/>
  <c r="BW244" i="1"/>
  <c r="CB409" i="1"/>
  <c r="BW240" i="1"/>
  <c r="BW411" i="1"/>
  <c r="BW393" i="1"/>
  <c r="CB392" i="1"/>
  <c r="BW243" i="1"/>
  <c r="CB402" i="1"/>
  <c r="CB405" i="1"/>
  <c r="BW252" i="1"/>
  <c r="BW254" i="1" s="1"/>
  <c r="BW439" i="1"/>
  <c r="CK9" i="9"/>
  <c r="BW35" i="1"/>
  <c r="BL12" i="7" s="1"/>
  <c r="BW42" i="1" l="1"/>
  <c r="BX61" i="1"/>
  <c r="AI252" i="3"/>
  <c r="CK13" i="9"/>
  <c r="CK14" i="9" s="1"/>
  <c r="BW31" i="1"/>
  <c r="AH12" i="18"/>
  <c r="BL11" i="7"/>
  <c r="BX97" i="1"/>
  <c r="BX203" i="1" s="1"/>
  <c r="BX95" i="1"/>
  <c r="BL44" i="7"/>
  <c r="CB166" i="1"/>
  <c r="BX168" i="1"/>
  <c r="BX241" i="1"/>
  <c r="CC397" i="1"/>
  <c r="BX243" i="1"/>
  <c r="CC405" i="1"/>
  <c r="CC402" i="1"/>
  <c r="BW256" i="1"/>
  <c r="CB255" i="1"/>
  <c r="BX242" i="1"/>
  <c r="BX240" i="1"/>
  <c r="BX411" i="1"/>
  <c r="BX393" i="1"/>
  <c r="CC392" i="1"/>
  <c r="BL23" i="7"/>
  <c r="CL9" i="9"/>
  <c r="BX439" i="1"/>
  <c r="BX252" i="1"/>
  <c r="BX254" i="1" s="1"/>
  <c r="BX244" i="1"/>
  <c r="CC409" i="1"/>
  <c r="BW419" i="1"/>
  <c r="CB412" i="1"/>
  <c r="BZ263" i="1"/>
  <c r="BZ390" i="1"/>
  <c r="BX35" i="1"/>
  <c r="BM12" i="7" s="1"/>
  <c r="CC204" i="1" l="1"/>
  <c r="BL24" i="7"/>
  <c r="BL35" i="7"/>
  <c r="CC169" i="1"/>
  <c r="AI12" i="18"/>
  <c r="BM11" i="7"/>
  <c r="BX31" i="1"/>
  <c r="CL13" i="9"/>
  <c r="CL14" i="9" s="1"/>
  <c r="BL46" i="7"/>
  <c r="BW171" i="1"/>
  <c r="BL45" i="7" s="1"/>
  <c r="BL16" i="7"/>
  <c r="BL19" i="7"/>
  <c r="BX278" i="1"/>
  <c r="CL11" i="9"/>
  <c r="CC278" i="1"/>
  <c r="BZ393" i="1"/>
  <c r="BZ240" i="1"/>
  <c r="CE392" i="1"/>
  <c r="BW425" i="1"/>
  <c r="BW426" i="1" s="1"/>
  <c r="BW423" i="1"/>
  <c r="BW421" i="1"/>
  <c r="BW442" i="1"/>
  <c r="BW443" i="1" s="1"/>
  <c r="CB420" i="1"/>
  <c r="BY244" i="1"/>
  <c r="CD409" i="1"/>
  <c r="BZ407" i="1"/>
  <c r="BX419" i="1"/>
  <c r="CC412" i="1"/>
  <c r="BY242" i="1"/>
  <c r="BZ399" i="1"/>
  <c r="BZ403" i="1"/>
  <c r="BY243" i="1"/>
  <c r="CD405" i="1"/>
  <c r="CD402" i="1"/>
  <c r="CM9" i="9"/>
  <c r="BY252" i="1"/>
  <c r="BY254" i="1" s="1"/>
  <c r="BY439" i="1"/>
  <c r="BX256" i="1"/>
  <c r="CC255" i="1"/>
  <c r="CB258" i="1"/>
  <c r="BY241" i="1"/>
  <c r="CD397" i="1"/>
  <c r="BM23" i="7"/>
  <c r="BW465" i="1"/>
  <c r="CK10" i="9"/>
  <c r="BY393" i="1"/>
  <c r="BY411" i="1"/>
  <c r="BY240" i="1"/>
  <c r="CD392" i="1"/>
  <c r="BZ395" i="1"/>
  <c r="BZ437" i="1"/>
  <c r="BZ224" i="1"/>
  <c r="CJ224" i="1" s="1"/>
  <c r="BZ277" i="1"/>
  <c r="BZ283" i="1" s="1"/>
  <c r="BM24" i="7" l="1"/>
  <c r="BM35" i="7"/>
  <c r="CM13" i="9"/>
  <c r="CM14" i="9" s="1"/>
  <c r="BY31" i="1"/>
  <c r="AJ12" i="18"/>
  <c r="BN11" i="7"/>
  <c r="BY35" i="1"/>
  <c r="BN12" i="7" s="1"/>
  <c r="BZ411" i="1"/>
  <c r="BZ27" i="1"/>
  <c r="BZ35" i="1" s="1"/>
  <c r="BW445" i="1"/>
  <c r="BZ244" i="1"/>
  <c r="CE409" i="1"/>
  <c r="CN9" i="9"/>
  <c r="BZ464" i="1"/>
  <c r="BZ252" i="1"/>
  <c r="R368" i="2"/>
  <c r="BZ466" i="1"/>
  <c r="H6" i="5" s="1"/>
  <c r="BZ439" i="1"/>
  <c r="CJ225" i="1"/>
  <c r="CO224" i="1"/>
  <c r="BY256" i="1"/>
  <c r="CD255" i="1"/>
  <c r="CN11" i="9"/>
  <c r="BZ278" i="1"/>
  <c r="CE278" i="1"/>
  <c r="BX423" i="1"/>
  <c r="BX421" i="1"/>
  <c r="BX442" i="1"/>
  <c r="BX443" i="1" s="1"/>
  <c r="BX425" i="1"/>
  <c r="BX426" i="1" s="1"/>
  <c r="CC420" i="1"/>
  <c r="BZ243" i="1"/>
  <c r="CE405" i="1"/>
  <c r="BN23" i="7"/>
  <c r="BY419" i="1"/>
  <c r="CD412" i="1"/>
  <c r="BZ242" i="1"/>
  <c r="CE401" i="1"/>
  <c r="BZ241" i="1"/>
  <c r="CE397" i="1"/>
  <c r="BY278" i="1"/>
  <c r="CM11" i="9"/>
  <c r="CD278" i="1"/>
  <c r="CE412" i="1" l="1"/>
  <c r="K12" i="18"/>
  <c r="CN13" i="9"/>
  <c r="CN14" i="9" s="1"/>
  <c r="G7" i="10"/>
  <c r="DA11" i="7"/>
  <c r="DA35" i="7" s="1"/>
  <c r="AA22" i="3"/>
  <c r="BZ31" i="1"/>
  <c r="BZ32" i="1" s="1"/>
  <c r="R73" i="2"/>
  <c r="CE29" i="1"/>
  <c r="BN24" i="7"/>
  <c r="BN35" i="7"/>
  <c r="BY421" i="1"/>
  <c r="BY442" i="1"/>
  <c r="BY443" i="1" s="1"/>
  <c r="BY423" i="1"/>
  <c r="BY425" i="1"/>
  <c r="BY426" i="1" s="1"/>
  <c r="BZ426" i="1" s="1"/>
  <c r="CD420" i="1"/>
  <c r="CJ226" i="1"/>
  <c r="CJ419" i="1"/>
  <c r="CJ447" i="1"/>
  <c r="CD258" i="1"/>
  <c r="CP224" i="1"/>
  <c r="CO225" i="1"/>
  <c r="R357" i="2"/>
  <c r="BZ254" i="1"/>
  <c r="R130" i="2"/>
  <c r="BW215" i="1"/>
  <c r="BW223" i="1"/>
  <c r="CB220" i="1"/>
  <c r="J80" i="4"/>
  <c r="J83" i="4" s="1"/>
  <c r="H5" i="5"/>
  <c r="CN10" i="9"/>
  <c r="BW174" i="1"/>
  <c r="BW201" i="1"/>
  <c r="CB201" i="1"/>
  <c r="BY465" i="1"/>
  <c r="CM10" i="9"/>
  <c r="BY445" i="1" l="1"/>
  <c r="BV53" i="1"/>
  <c r="CJ3" i="9"/>
  <c r="BW94" i="1"/>
  <c r="AG16" i="18"/>
  <c r="BK41" i="7"/>
  <c r="BV165" i="1"/>
  <c r="BV190" i="1"/>
  <c r="CA98" i="1"/>
  <c r="R75" i="2"/>
  <c r="R100" i="2"/>
  <c r="R113" i="2"/>
  <c r="C130" i="11"/>
  <c r="C134" i="11" s="1"/>
  <c r="R341" i="2"/>
  <c r="R364" i="2" s="1"/>
  <c r="J95" i="4"/>
  <c r="CV31" i="1"/>
  <c r="O51" i="11"/>
  <c r="O52" i="11" s="1"/>
  <c r="AA23" i="3"/>
  <c r="G22" i="10"/>
  <c r="G8" i="10"/>
  <c r="G23" i="10" s="1"/>
  <c r="BK16" i="7"/>
  <c r="BK19" i="7"/>
  <c r="CJ448" i="1"/>
  <c r="T411" i="2"/>
  <c r="CJ463" i="1"/>
  <c r="CJ371" i="1"/>
  <c r="CJ455" i="1"/>
  <c r="CJ420" i="1"/>
  <c r="CJ421" i="1"/>
  <c r="CJ442" i="1"/>
  <c r="CJ425" i="1"/>
  <c r="BK23" i="7"/>
  <c r="BZ268" i="1"/>
  <c r="R135" i="2"/>
  <c r="AA20" i="3"/>
  <c r="O30" i="11" s="1"/>
  <c r="O35" i="11" s="1"/>
  <c r="R132" i="2"/>
  <c r="S131" i="2"/>
  <c r="CP225" i="1"/>
  <c r="CQ224" i="1"/>
  <c r="BZ256" i="1"/>
  <c r="CE255" i="1"/>
  <c r="BX138" i="1"/>
  <c r="BX215" i="1"/>
  <c r="BX223" i="1"/>
  <c r="CC220" i="1"/>
  <c r="BK26" i="7"/>
  <c r="CC258" i="1"/>
  <c r="BX174" i="1"/>
  <c r="BX201" i="1"/>
  <c r="BX205" i="1"/>
  <c r="CC201" i="1"/>
  <c r="CL10" i="9"/>
  <c r="BX445" i="1"/>
  <c r="BX465" i="1"/>
  <c r="BW175" i="1"/>
  <c r="CB175" i="1"/>
  <c r="CO447" i="1"/>
  <c r="CO226" i="1"/>
  <c r="BL26" i="7"/>
  <c r="BL28" i="7" s="1"/>
  <c r="D36" i="14" l="1"/>
  <c r="R381" i="2"/>
  <c r="AA75" i="3" s="1"/>
  <c r="R430" i="2"/>
  <c r="T43" i="27" s="1"/>
  <c r="D35" i="16"/>
  <c r="R370" i="2"/>
  <c r="AA248" i="3"/>
  <c r="AA127" i="3"/>
  <c r="AA136" i="3" s="1"/>
  <c r="AA137" i="3" s="1"/>
  <c r="AA24" i="3"/>
  <c r="AA249" i="3" s="1"/>
  <c r="BK44" i="7"/>
  <c r="CA166" i="1"/>
  <c r="BW168" i="1"/>
  <c r="J96" i="4"/>
  <c r="J103" i="4"/>
  <c r="BW97" i="1"/>
  <c r="BW95" i="1"/>
  <c r="BV61" i="1"/>
  <c r="BV42" i="1"/>
  <c r="E244" i="11"/>
  <c r="BW61" i="1"/>
  <c r="BK28" i="7"/>
  <c r="BY223" i="1"/>
  <c r="BY138" i="1"/>
  <c r="BY215" i="1"/>
  <c r="CD220" i="1"/>
  <c r="R61" i="2"/>
  <c r="R380" i="2" s="1"/>
  <c r="R343" i="2"/>
  <c r="R348" i="2" s="1"/>
  <c r="R84" i="2"/>
  <c r="CJ464" i="1"/>
  <c r="CJ443" i="1"/>
  <c r="BX175" i="1"/>
  <c r="CC175" i="1"/>
  <c r="CR224" i="1"/>
  <c r="CQ225" i="1"/>
  <c r="CP447" i="1"/>
  <c r="CP226" i="1"/>
  <c r="CJ459" i="1"/>
  <c r="CJ456" i="1"/>
  <c r="CO448" i="1"/>
  <c r="CO463" i="1"/>
  <c r="CO371" i="1"/>
  <c r="V411" i="2"/>
  <c r="CO455" i="1"/>
  <c r="CJ373" i="1"/>
  <c r="CJ374" i="1" s="1"/>
  <c r="CJ372" i="1"/>
  <c r="BY174" i="1"/>
  <c r="BY201" i="1"/>
  <c r="BY205" i="1"/>
  <c r="CD201" i="1"/>
  <c r="BV266" i="1"/>
  <c r="BZ257" i="1"/>
  <c r="R426" i="2" s="1"/>
  <c r="T40" i="27" s="1"/>
  <c r="T50" i="27" s="1"/>
  <c r="T56" i="27" s="1"/>
  <c r="T58" i="27" s="1"/>
  <c r="U59" i="27" s="1"/>
  <c r="BV259" i="1"/>
  <c r="CA258" i="1"/>
  <c r="BV445" i="1"/>
  <c r="BV465" i="1"/>
  <c r="CJ10" i="9"/>
  <c r="BZ219" i="1"/>
  <c r="C137" i="11"/>
  <c r="C139" i="11" s="1"/>
  <c r="O45" i="11"/>
  <c r="R136" i="2"/>
  <c r="R145" i="2"/>
  <c r="BZ200" i="1"/>
  <c r="BM26" i="7"/>
  <c r="BM28" i="7" s="1"/>
  <c r="BW266" i="1"/>
  <c r="T6" i="27" l="1"/>
  <c r="T61" i="27"/>
  <c r="T63" i="27" s="1"/>
  <c r="CB169" i="1"/>
  <c r="E248" i="11"/>
  <c r="C237" i="11" s="1"/>
  <c r="C234" i="11"/>
  <c r="E245" i="11"/>
  <c r="D39" i="16"/>
  <c r="O35" i="16"/>
  <c r="E36" i="16"/>
  <c r="R58" i="2"/>
  <c r="R433" i="2"/>
  <c r="S431" i="2"/>
  <c r="BZ172" i="1"/>
  <c r="DA46" i="7" s="1"/>
  <c r="BK46" i="7"/>
  <c r="BV171" i="1"/>
  <c r="BK45" i="7" s="1"/>
  <c r="BW203" i="1"/>
  <c r="BW138" i="1"/>
  <c r="J104" i="4"/>
  <c r="J108" i="4"/>
  <c r="AC36" i="14"/>
  <c r="N36" i="14"/>
  <c r="E37" i="14"/>
  <c r="CJ465" i="1"/>
  <c r="CX10" i="9"/>
  <c r="L80" i="4"/>
  <c r="L83" i="4" s="1"/>
  <c r="BW271" i="1"/>
  <c r="BW20" i="1" s="1"/>
  <c r="CB21" i="1" s="1"/>
  <c r="BW269" i="1"/>
  <c r="T422" i="2"/>
  <c r="T423" i="2" s="1"/>
  <c r="T424" i="2" s="1"/>
  <c r="CJ460" i="1"/>
  <c r="T413" i="2"/>
  <c r="AA74" i="3"/>
  <c r="R385" i="2"/>
  <c r="BZ201" i="1"/>
  <c r="CE201" i="1"/>
  <c r="BZ174" i="1"/>
  <c r="BZ225" i="1"/>
  <c r="BZ223" i="1"/>
  <c r="CE220" i="1"/>
  <c r="CO459" i="1"/>
  <c r="CO456" i="1"/>
  <c r="K29" i="18"/>
  <c r="K64" i="18" s="1"/>
  <c r="CE258" i="1"/>
  <c r="BV271" i="1"/>
  <c r="BV20" i="1" s="1"/>
  <c r="BV269" i="1"/>
  <c r="W411" i="2"/>
  <c r="CP371" i="1"/>
  <c r="CP463" i="1"/>
  <c r="CP448" i="1"/>
  <c r="CP455" i="1"/>
  <c r="CO372" i="1"/>
  <c r="CO373" i="1"/>
  <c r="CO374" i="1" s="1"/>
  <c r="CQ226" i="1"/>
  <c r="CQ447" i="1"/>
  <c r="S137" i="2"/>
  <c r="O46" i="11"/>
  <c r="BY175" i="1"/>
  <c r="CD175" i="1"/>
  <c r="CS224" i="1"/>
  <c r="CR225" i="1"/>
  <c r="BX266" i="1"/>
  <c r="BV22" i="1" l="1"/>
  <c r="CA21" i="1"/>
  <c r="AF16" i="18"/>
  <c r="BJ41" i="7"/>
  <c r="BU96" i="1"/>
  <c r="BT165" i="1"/>
  <c r="CH3" i="9"/>
  <c r="BT53" i="1"/>
  <c r="BY98" i="1"/>
  <c r="W35" i="16"/>
  <c r="O39" i="16"/>
  <c r="P36" i="16"/>
  <c r="X36" i="16" s="1"/>
  <c r="C239" i="11"/>
  <c r="D235" i="11"/>
  <c r="D234" i="11" s="1"/>
  <c r="CB204" i="1"/>
  <c r="BW205" i="1"/>
  <c r="BX271" i="1"/>
  <c r="BX20" i="1" s="1"/>
  <c r="CC21" i="1" s="1"/>
  <c r="BX269" i="1"/>
  <c r="CQ455" i="1"/>
  <c r="CQ448" i="1"/>
  <c r="CQ371" i="1"/>
  <c r="CQ463" i="1"/>
  <c r="X411" i="2"/>
  <c r="R388" i="2"/>
  <c r="AA79" i="3"/>
  <c r="V413" i="2"/>
  <c r="CO460" i="1"/>
  <c r="CR447" i="1"/>
  <c r="CR226" i="1"/>
  <c r="CT224" i="1"/>
  <c r="CT225" i="1" s="1"/>
  <c r="CS225" i="1"/>
  <c r="CP456" i="1"/>
  <c r="CP459" i="1"/>
  <c r="CP372" i="1"/>
  <c r="CP373" i="1"/>
  <c r="CP374" i="1" s="1"/>
  <c r="AH11" i="18"/>
  <c r="BL10" i="7"/>
  <c r="BL34" i="7" s="1"/>
  <c r="BW282" i="1"/>
  <c r="BW285" i="1" s="1"/>
  <c r="BW275" i="1"/>
  <c r="CB272" i="1"/>
  <c r="BN26" i="7"/>
  <c r="BN28" i="7" s="1"/>
  <c r="BZ262" i="1"/>
  <c r="C4" i="15"/>
  <c r="C10" i="15" s="1"/>
  <c r="C11" i="15" s="1"/>
  <c r="BZ447" i="1"/>
  <c r="H2" i="5"/>
  <c r="BZ419" i="1"/>
  <c r="CE226" i="1"/>
  <c r="CE175" i="1"/>
  <c r="BV282" i="1"/>
  <c r="BK10" i="7"/>
  <c r="BK34" i="7" s="1"/>
  <c r="BV273" i="1"/>
  <c r="AG11" i="18"/>
  <c r="BV275" i="1"/>
  <c r="CA272" i="1"/>
  <c r="BZ265" i="1"/>
  <c r="R359" i="2" s="1"/>
  <c r="BT42" i="1" l="1"/>
  <c r="BJ44" i="7"/>
  <c r="BY166" i="1"/>
  <c r="Z51" i="3"/>
  <c r="Z243" i="3" s="1"/>
  <c r="CZ41" i="7"/>
  <c r="CI3" i="9"/>
  <c r="BZ97" i="1"/>
  <c r="BU165" i="1"/>
  <c r="BV94" i="1"/>
  <c r="J16" i="18"/>
  <c r="Q399" i="2"/>
  <c r="R408" i="2" s="1"/>
  <c r="BZ94" i="1"/>
  <c r="BZ98" i="1"/>
  <c r="BJ16" i="7"/>
  <c r="BJ19" i="7"/>
  <c r="BY266" i="1"/>
  <c r="BY271" i="1" s="1"/>
  <c r="BY20" i="1" s="1"/>
  <c r="CD21" i="1" s="1"/>
  <c r="BV285" i="1"/>
  <c r="Y411" i="2"/>
  <c r="CR455" i="1"/>
  <c r="CR448" i="1"/>
  <c r="CR371" i="1"/>
  <c r="CR463" i="1"/>
  <c r="AA82" i="3"/>
  <c r="R390" i="2"/>
  <c r="T45" i="27" s="1"/>
  <c r="T10" i="27" s="1"/>
  <c r="T9" i="27" s="1"/>
  <c r="BZ442" i="1"/>
  <c r="BZ425" i="1"/>
  <c r="BZ421" i="1"/>
  <c r="CE420" i="1"/>
  <c r="CQ373" i="1"/>
  <c r="CQ374" i="1" s="1"/>
  <c r="CQ372" i="1"/>
  <c r="R411" i="2"/>
  <c r="BZ463" i="1"/>
  <c r="BZ371" i="1"/>
  <c r="BZ455" i="1"/>
  <c r="CE448" i="1"/>
  <c r="CP460" i="1"/>
  <c r="W413" i="2"/>
  <c r="CQ459" i="1"/>
  <c r="CQ456" i="1"/>
  <c r="R358" i="2"/>
  <c r="R82" i="2"/>
  <c r="BZ266" i="1"/>
  <c r="CS447" i="1"/>
  <c r="CS226" i="1"/>
  <c r="CT447" i="1"/>
  <c r="CT226" i="1"/>
  <c r="AI11" i="18"/>
  <c r="BM10" i="7"/>
  <c r="BM34" i="7" s="1"/>
  <c r="BX282" i="1"/>
  <c r="BX285" i="1" s="1"/>
  <c r="CC272" i="1"/>
  <c r="BX275" i="1"/>
  <c r="BY269" i="1" l="1"/>
  <c r="BV97" i="1"/>
  <c r="BV95" i="1"/>
  <c r="BJ46" i="7"/>
  <c r="BT171" i="1"/>
  <c r="CZ44" i="7"/>
  <c r="BZ166" i="1"/>
  <c r="BV168" i="1"/>
  <c r="AE16" i="18"/>
  <c r="CG3" i="9"/>
  <c r="BS165" i="1"/>
  <c r="BT94" i="1"/>
  <c r="BS53" i="1"/>
  <c r="BS98" i="1"/>
  <c r="BI41" i="7"/>
  <c r="BX98" i="1"/>
  <c r="BZ203" i="1"/>
  <c r="BZ143" i="1"/>
  <c r="BZ214" i="1"/>
  <c r="BZ104" i="1"/>
  <c r="BZ212" i="1"/>
  <c r="BZ138" i="1"/>
  <c r="BZ125" i="1"/>
  <c r="BZ95" i="1"/>
  <c r="BZ126" i="1" s="1"/>
  <c r="CQ460" i="1"/>
  <c r="X413" i="2"/>
  <c r="BZ444" i="1"/>
  <c r="BZ445" i="1"/>
  <c r="AA84" i="3"/>
  <c r="AA31" i="3"/>
  <c r="R395" i="2"/>
  <c r="CT463" i="1"/>
  <c r="CT371" i="1"/>
  <c r="AA411" i="2"/>
  <c r="CT455" i="1"/>
  <c r="CT448" i="1"/>
  <c r="BZ431" i="1"/>
  <c r="R419" i="2" s="1"/>
  <c r="BZ430" i="1"/>
  <c r="H3" i="5"/>
  <c r="BZ459" i="1"/>
  <c r="CE456" i="1"/>
  <c r="BZ465" i="1"/>
  <c r="BZ443" i="1" s="1"/>
  <c r="CR373" i="1"/>
  <c r="CR374" i="1" s="1"/>
  <c r="CR372" i="1"/>
  <c r="BN10" i="7"/>
  <c r="BN34" i="7" s="1"/>
  <c r="AJ11" i="18"/>
  <c r="BY282" i="1"/>
  <c r="BY285" i="1" s="1"/>
  <c r="CD272" i="1"/>
  <c r="BY275" i="1"/>
  <c r="BZ373" i="1"/>
  <c r="CE372" i="1"/>
  <c r="CR456" i="1"/>
  <c r="CR459" i="1"/>
  <c r="CS448" i="1"/>
  <c r="CS455" i="1"/>
  <c r="Z411" i="2"/>
  <c r="CS371" i="1"/>
  <c r="CS463" i="1"/>
  <c r="R85" i="2"/>
  <c r="BZ271" i="1"/>
  <c r="R83" i="2"/>
  <c r="R292" i="2" s="1"/>
  <c r="R296" i="2" s="1"/>
  <c r="R91" i="2" s="1"/>
  <c r="BZ269" i="1"/>
  <c r="R428" i="2" l="1"/>
  <c r="T42" i="27" s="1"/>
  <c r="T8" i="27" s="1"/>
  <c r="BZ20" i="1"/>
  <c r="CE21" i="1" s="1"/>
  <c r="BZ127" i="1"/>
  <c r="BS42" i="1"/>
  <c r="BT61" i="1"/>
  <c r="BI16" i="7"/>
  <c r="BI19" i="7"/>
  <c r="BT97" i="1"/>
  <c r="BT203" i="1" s="1"/>
  <c r="BT95" i="1"/>
  <c r="BI44" i="7"/>
  <c r="BS166" i="1"/>
  <c r="BX166" i="1"/>
  <c r="BT168" i="1"/>
  <c r="BZ114" i="1"/>
  <c r="BZ115" i="1" s="1"/>
  <c r="DA39" i="7"/>
  <c r="BZ210" i="1"/>
  <c r="BZ168" i="1"/>
  <c r="AA252" i="3" s="1"/>
  <c r="CA169" i="1"/>
  <c r="CE169" i="1" s="1"/>
  <c r="CE215" i="1"/>
  <c r="DA53" i="7"/>
  <c r="DA54" i="7"/>
  <c r="CE149" i="1"/>
  <c r="CE204" i="1"/>
  <c r="BZ205" i="1"/>
  <c r="DA50" i="7"/>
  <c r="CE213" i="1"/>
  <c r="BU171" i="1"/>
  <c r="CZ45" i="7" s="1"/>
  <c r="BJ45" i="7"/>
  <c r="BV203" i="1"/>
  <c r="BV138" i="1"/>
  <c r="R324" i="2"/>
  <c r="R326" i="2" s="1"/>
  <c r="R66" i="2" s="1"/>
  <c r="R68" i="2" s="1"/>
  <c r="R69" i="2" s="1"/>
  <c r="K11" i="18"/>
  <c r="DA10" i="7"/>
  <c r="DA34" i="7" s="1"/>
  <c r="G9" i="10"/>
  <c r="D31" i="16"/>
  <c r="AA29" i="3"/>
  <c r="H12" i="5"/>
  <c r="H16" i="5" s="1"/>
  <c r="D32" i="14"/>
  <c r="CE272" i="1"/>
  <c r="BZ275" i="1"/>
  <c r="R361" i="2" s="1"/>
  <c r="CT456" i="1"/>
  <c r="CT459" i="1"/>
  <c r="CT373" i="1"/>
  <c r="CT372" i="1"/>
  <c r="Y413" i="2"/>
  <c r="CR460" i="1"/>
  <c r="R92" i="2"/>
  <c r="CS372" i="1"/>
  <c r="CS373" i="1"/>
  <c r="CS374" i="1" s="1"/>
  <c r="CS459" i="1"/>
  <c r="CS456" i="1"/>
  <c r="CE374" i="1"/>
  <c r="BZ282" i="1"/>
  <c r="R422" i="2"/>
  <c r="R423" i="2" s="1"/>
  <c r="R413" i="2"/>
  <c r="CE460" i="1"/>
  <c r="R360" i="2"/>
  <c r="BY169" i="1" l="1"/>
  <c r="AD12" i="18"/>
  <c r="BH11" i="7"/>
  <c r="BR31" i="1"/>
  <c r="CF13" i="9"/>
  <c r="CF14" i="9" s="1"/>
  <c r="BI46" i="7"/>
  <c r="BS171" i="1"/>
  <c r="BI45" i="7" s="1"/>
  <c r="BT205" i="1"/>
  <c r="BY204" i="1"/>
  <c r="BV205" i="1"/>
  <c r="CA204" i="1"/>
  <c r="BR98" i="1"/>
  <c r="BR53" i="1"/>
  <c r="AD16" i="18"/>
  <c r="BS94" i="1"/>
  <c r="CF3" i="9"/>
  <c r="BH41" i="7"/>
  <c r="BR165" i="1"/>
  <c r="BW98" i="1"/>
  <c r="DA49" i="7"/>
  <c r="BZ142" i="1"/>
  <c r="CE211" i="1"/>
  <c r="R362" i="2"/>
  <c r="AA30" i="3" s="1"/>
  <c r="BR405" i="1"/>
  <c r="BR402" i="1"/>
  <c r="BR243" i="1"/>
  <c r="BW405" i="1"/>
  <c r="BW402" i="1"/>
  <c r="CS460" i="1"/>
  <c r="Z413" i="2"/>
  <c r="AC32" i="14"/>
  <c r="N32" i="14"/>
  <c r="O31" i="16"/>
  <c r="E32" i="16"/>
  <c r="CT460" i="1"/>
  <c r="AA413" i="2"/>
  <c r="G24" i="10"/>
  <c r="BR242" i="1"/>
  <c r="BZ285" i="1"/>
  <c r="J73" i="4"/>
  <c r="AA14" i="3"/>
  <c r="BR393" i="1"/>
  <c r="BR240" i="1"/>
  <c r="BR392" i="1"/>
  <c r="BR411" i="1"/>
  <c r="BW392" i="1"/>
  <c r="BR241" i="1"/>
  <c r="BR397" i="1"/>
  <c r="BW397" i="1"/>
  <c r="BR244" i="1"/>
  <c r="BR409" i="1"/>
  <c r="BW409" i="1"/>
  <c r="S424" i="2"/>
  <c r="CT374" i="1"/>
  <c r="R367" i="2" l="1"/>
  <c r="R372" i="2" s="1"/>
  <c r="R373" i="2" s="1"/>
  <c r="S374" i="2" s="1"/>
  <c r="BS31" i="1"/>
  <c r="BI11" i="7"/>
  <c r="CG13" i="9"/>
  <c r="CG14" i="9" s="1"/>
  <c r="AE12" i="18"/>
  <c r="BR166" i="1"/>
  <c r="BH44" i="7"/>
  <c r="BW166" i="1"/>
  <c r="BS168" i="1"/>
  <c r="AA15" i="3"/>
  <c r="BN171" i="1"/>
  <c r="BE45" i="7" s="1"/>
  <c r="BE46" i="7"/>
  <c r="BS97" i="1"/>
  <c r="BS203" i="1" s="1"/>
  <c r="BS95" i="1"/>
  <c r="BD46" i="7"/>
  <c r="BM171" i="1"/>
  <c r="BD45" i="7" s="1"/>
  <c r="BH24" i="7"/>
  <c r="BH35" i="7"/>
  <c r="BR42" i="1"/>
  <c r="BS61" i="1"/>
  <c r="BH16" i="7"/>
  <c r="BH19" i="7"/>
  <c r="DA52" i="7"/>
  <c r="CE148" i="1"/>
  <c r="BS244" i="1"/>
  <c r="BX409" i="1"/>
  <c r="BR412" i="1"/>
  <c r="BW412" i="1"/>
  <c r="BS242" i="1"/>
  <c r="BS243" i="1"/>
  <c r="BX405" i="1"/>
  <c r="BX402" i="1"/>
  <c r="BS240" i="1"/>
  <c r="BS411" i="1"/>
  <c r="BS393" i="1"/>
  <c r="BX392" i="1"/>
  <c r="W31" i="16"/>
  <c r="P32" i="16"/>
  <c r="X32" i="16" s="1"/>
  <c r="BS241" i="1"/>
  <c r="BX397" i="1"/>
  <c r="BH23" i="7"/>
  <c r="BR220" i="1"/>
  <c r="BU399" i="1"/>
  <c r="BU263" i="1"/>
  <c r="BR225" i="1"/>
  <c r="BU403" i="1"/>
  <c r="BU395" i="1"/>
  <c r="BU27" i="1"/>
  <c r="CI13" i="9" l="1"/>
  <c r="CI14" i="9" s="1"/>
  <c r="Q73" i="2"/>
  <c r="BU31" i="1"/>
  <c r="BU32" i="1" s="1"/>
  <c r="J12" i="18"/>
  <c r="Z22" i="3"/>
  <c r="CZ11" i="7"/>
  <c r="CZ35" i="7" s="1"/>
  <c r="F7" i="10"/>
  <c r="BZ29" i="1"/>
  <c r="BS204" i="1"/>
  <c r="BS205" i="1"/>
  <c r="BX204" i="1"/>
  <c r="BS169" i="1"/>
  <c r="BX169" i="1"/>
  <c r="BH46" i="7"/>
  <c r="BR171" i="1"/>
  <c r="BH45" i="7" s="1"/>
  <c r="AF12" i="18"/>
  <c r="BJ11" i="7"/>
  <c r="CH13" i="9"/>
  <c r="CH14" i="9" s="1"/>
  <c r="BT31" i="1"/>
  <c r="BR94" i="1"/>
  <c r="BQ53" i="1"/>
  <c r="CE3" i="9"/>
  <c r="BG41" i="7"/>
  <c r="BQ165" i="1"/>
  <c r="BQ98" i="1"/>
  <c r="AC16" i="18"/>
  <c r="BV98" i="1"/>
  <c r="BI24" i="7"/>
  <c r="BI35" i="7"/>
  <c r="BU242" i="1"/>
  <c r="BZ401" i="1"/>
  <c r="BI23" i="7"/>
  <c r="BU243" i="1"/>
  <c r="BZ405" i="1"/>
  <c r="BS138" i="1"/>
  <c r="BU241" i="1"/>
  <c r="BZ397" i="1"/>
  <c r="BT242" i="1"/>
  <c r="BT241" i="1"/>
  <c r="BY397" i="1"/>
  <c r="BX412" i="1"/>
  <c r="BT243" i="1"/>
  <c r="BY405" i="1"/>
  <c r="BY402" i="1"/>
  <c r="BU390" i="1"/>
  <c r="BT393" i="1"/>
  <c r="BT411" i="1"/>
  <c r="BT240" i="1"/>
  <c r="BY392" i="1"/>
  <c r="BU407" i="1"/>
  <c r="BT244" i="1"/>
  <c r="BY409" i="1"/>
  <c r="BU217" i="1"/>
  <c r="BG26" i="7"/>
  <c r="CF7" i="9"/>
  <c r="BW226" i="1"/>
  <c r="BR447" i="1"/>
  <c r="BH30" i="7"/>
  <c r="BR233" i="1"/>
  <c r="BU222" i="1"/>
  <c r="BS225" i="1"/>
  <c r="BH26" i="7"/>
  <c r="BH28" i="7" s="1"/>
  <c r="BR419" i="1"/>
  <c r="BQ166" i="1" l="1"/>
  <c r="BG44" i="7"/>
  <c r="BV166" i="1"/>
  <c r="BR168" i="1"/>
  <c r="BQ61" i="1"/>
  <c r="BQ42" i="1"/>
  <c r="BR61" i="1"/>
  <c r="BR97" i="1"/>
  <c r="BR95" i="1"/>
  <c r="F22" i="10"/>
  <c r="F8" i="10"/>
  <c r="F23" i="10" s="1"/>
  <c r="N51" i="11"/>
  <c r="Z23" i="3"/>
  <c r="BJ24" i="7"/>
  <c r="BJ35" i="7"/>
  <c r="Q113" i="2"/>
  <c r="Q100" i="2"/>
  <c r="Q341" i="2"/>
  <c r="Q364" i="2" s="1"/>
  <c r="Q75" i="2"/>
  <c r="BU411" i="1"/>
  <c r="BJ23" i="7"/>
  <c r="BS447" i="1"/>
  <c r="CG7" i="9"/>
  <c r="BI30" i="7"/>
  <c r="BX226" i="1"/>
  <c r="BU244" i="1"/>
  <c r="BZ409" i="1"/>
  <c r="BR429" i="1"/>
  <c r="CA8" i="9"/>
  <c r="BR425" i="1"/>
  <c r="BR426" i="1" s="1"/>
  <c r="BR421" i="1"/>
  <c r="BR423" i="1"/>
  <c r="BW420" i="1"/>
  <c r="BM12" i="1"/>
  <c r="BR249" i="1"/>
  <c r="Z10" i="18"/>
  <c r="BD9" i="7"/>
  <c r="BR455" i="1"/>
  <c r="BW448" i="1"/>
  <c r="BY412" i="1"/>
  <c r="BU393" i="1"/>
  <c r="BU240" i="1"/>
  <c r="BZ392" i="1"/>
  <c r="BT138" i="1"/>
  <c r="BU219" i="1"/>
  <c r="CF9" i="9"/>
  <c r="BR439" i="1"/>
  <c r="BR442" i="1" s="1"/>
  <c r="BR443" i="1" s="1"/>
  <c r="BR252" i="1"/>
  <c r="BR254" i="1" s="1"/>
  <c r="BR35" i="1"/>
  <c r="BH12" i="7" s="1"/>
  <c r="BS233" i="1"/>
  <c r="BT225" i="1"/>
  <c r="BI26" i="7"/>
  <c r="BI28" i="7" s="1"/>
  <c r="BS419" i="1"/>
  <c r="BZ412" i="1" l="1"/>
  <c r="BR203" i="1"/>
  <c r="BR138" i="1"/>
  <c r="BG46" i="7"/>
  <c r="BU172" i="1"/>
  <c r="CZ46" i="7" s="1"/>
  <c r="BQ171" i="1"/>
  <c r="BG45" i="7" s="1"/>
  <c r="Q381" i="2"/>
  <c r="Z75" i="3" s="1"/>
  <c r="Q430" i="2"/>
  <c r="S43" i="27" s="1"/>
  <c r="S6" i="27" s="1"/>
  <c r="Q370" i="2"/>
  <c r="BG16" i="7"/>
  <c r="BG19" i="7"/>
  <c r="BR169" i="1"/>
  <c r="BW169" i="1"/>
  <c r="Z24" i="3"/>
  <c r="Z249" i="3" s="1"/>
  <c r="Z127" i="3"/>
  <c r="Z136" i="3" s="1"/>
  <c r="Z137" i="3" s="1"/>
  <c r="Z248" i="3"/>
  <c r="N52" i="11"/>
  <c r="T51" i="11"/>
  <c r="BR256" i="1"/>
  <c r="BW255" i="1"/>
  <c r="BN249" i="1"/>
  <c r="BS249" i="1"/>
  <c r="BE9" i="7"/>
  <c r="BN12" i="1"/>
  <c r="AA10" i="18"/>
  <c r="BS425" i="1"/>
  <c r="BS426" i="1" s="1"/>
  <c r="BS421" i="1"/>
  <c r="BS423" i="1"/>
  <c r="BX420" i="1"/>
  <c r="BY226" i="1"/>
  <c r="CH7" i="9"/>
  <c r="BJ30" i="7"/>
  <c r="BT447" i="1"/>
  <c r="BN429" i="1"/>
  <c r="CB8" i="9"/>
  <c r="BS429" i="1"/>
  <c r="BN220" i="1"/>
  <c r="BP219" i="1"/>
  <c r="BU220" i="1" s="1"/>
  <c r="BS220" i="1"/>
  <c r="BR431" i="1"/>
  <c r="BR430" i="1"/>
  <c r="BW456" i="1"/>
  <c r="BR459" i="1"/>
  <c r="BU174" i="1"/>
  <c r="BZ220" i="1"/>
  <c r="BS455" i="1"/>
  <c r="BX448" i="1"/>
  <c r="BT220" i="1"/>
  <c r="BQ258" i="1"/>
  <c r="BV258" i="1"/>
  <c r="CE10" i="9"/>
  <c r="BQ266" i="1"/>
  <c r="BD22" i="7"/>
  <c r="BD33" i="7"/>
  <c r="BP428" i="1"/>
  <c r="BP248" i="1"/>
  <c r="BS439" i="1"/>
  <c r="BS442" i="1" s="1"/>
  <c r="BS443" i="1" s="1"/>
  <c r="CG9" i="9"/>
  <c r="BS35" i="1"/>
  <c r="BI12" i="7" s="1"/>
  <c r="BS252" i="1"/>
  <c r="BS254" i="1" s="1"/>
  <c r="BR306" i="1"/>
  <c r="BR230" i="1" s="1"/>
  <c r="BR231" i="1" s="1"/>
  <c r="BR234" i="1" s="1"/>
  <c r="BR312" i="1"/>
  <c r="BR13" i="1"/>
  <c r="BM16" i="1"/>
  <c r="BT233" i="1"/>
  <c r="BJ26" i="7"/>
  <c r="BJ28" i="7" s="1"/>
  <c r="BT419" i="1"/>
  <c r="BP263" i="1"/>
  <c r="BO165" i="1" l="1"/>
  <c r="BO95" i="1"/>
  <c r="AB16" i="18"/>
  <c r="BO97" i="1"/>
  <c r="BO203" i="1" s="1"/>
  <c r="CC3" i="9"/>
  <c r="BP96" i="1"/>
  <c r="BO98" i="1"/>
  <c r="BF41" i="7"/>
  <c r="BT98" i="1"/>
  <c r="BF16" i="7"/>
  <c r="AZ46" i="7"/>
  <c r="BH171" i="1"/>
  <c r="AZ45" i="7" s="1"/>
  <c r="Q58" i="2"/>
  <c r="Q433" i="2"/>
  <c r="R431" i="2"/>
  <c r="BI171" i="1"/>
  <c r="BA45" i="7" s="1"/>
  <c r="BA46" i="7"/>
  <c r="BG171" i="1"/>
  <c r="AY45" i="7" s="1"/>
  <c r="AY46" i="7"/>
  <c r="BR204" i="1"/>
  <c r="BR205" i="1"/>
  <c r="BW204" i="1"/>
  <c r="CD8" i="9"/>
  <c r="F4" i="5"/>
  <c r="BU429" i="1"/>
  <c r="BT423" i="1"/>
  <c r="BT425" i="1"/>
  <c r="BT426" i="1" s="1"/>
  <c r="BT421" i="1"/>
  <c r="BY420" i="1"/>
  <c r="I10" i="18"/>
  <c r="P418" i="2"/>
  <c r="R41" i="27" s="1"/>
  <c r="R13" i="27" s="1"/>
  <c r="P53" i="2"/>
  <c r="CY9" i="7"/>
  <c r="CY33" i="7" s="1"/>
  <c r="BP12" i="1"/>
  <c r="BU249" i="1"/>
  <c r="P356" i="2"/>
  <c r="P205" i="2" s="1"/>
  <c r="P52" i="2"/>
  <c r="BR236" i="1"/>
  <c r="BR259" i="1" s="1"/>
  <c r="AD6" i="18"/>
  <c r="BZ175" i="1"/>
  <c r="BN16" i="1"/>
  <c r="BN13" i="1"/>
  <c r="BS13" i="1"/>
  <c r="BW460" i="1"/>
  <c r="BE22" i="7"/>
  <c r="BE33" i="7"/>
  <c r="BY448" i="1"/>
  <c r="BT455" i="1"/>
  <c r="BS256" i="1"/>
  <c r="BX255" i="1"/>
  <c r="CH9" i="9"/>
  <c r="BT252" i="1"/>
  <c r="BT254" i="1" s="1"/>
  <c r="BT35" i="1"/>
  <c r="BJ12" i="7" s="1"/>
  <c r="BT439" i="1"/>
  <c r="BT442" i="1" s="1"/>
  <c r="BT443" i="1" s="1"/>
  <c r="BU437" i="1"/>
  <c r="BF9" i="7"/>
  <c r="AB10" i="18"/>
  <c r="BT249" i="1"/>
  <c r="BO12" i="1"/>
  <c r="BO249" i="1"/>
  <c r="BT429" i="1"/>
  <c r="CC8" i="9"/>
  <c r="BO429" i="1"/>
  <c r="BU262" i="1"/>
  <c r="BS312" i="1"/>
  <c r="BS306" i="1"/>
  <c r="BS230" i="1" s="1"/>
  <c r="BS231" i="1" s="1"/>
  <c r="BS234" i="1" s="1"/>
  <c r="BR258" i="1"/>
  <c r="BW258" i="1"/>
  <c r="BR445" i="1"/>
  <c r="BR465" i="1"/>
  <c r="CF10" i="9"/>
  <c r="BR266" i="1"/>
  <c r="BS431" i="1"/>
  <c r="BS430" i="1"/>
  <c r="BS459" i="1"/>
  <c r="BX456" i="1"/>
  <c r="R5" i="27" l="1"/>
  <c r="P366" i="2"/>
  <c r="P206" i="2"/>
  <c r="CY41" i="7"/>
  <c r="I16" i="18"/>
  <c r="BQ94" i="1"/>
  <c r="BP95" i="1"/>
  <c r="BP126" i="1" s="1"/>
  <c r="BP127" i="1" s="1"/>
  <c r="BP165" i="1"/>
  <c r="BP97" i="1"/>
  <c r="P399" i="2"/>
  <c r="BU97" i="1"/>
  <c r="CD3" i="9"/>
  <c r="BP98" i="1"/>
  <c r="Y51" i="3"/>
  <c r="Y243" i="3" s="1"/>
  <c r="BU94" i="1"/>
  <c r="BU98" i="1"/>
  <c r="BO205" i="1"/>
  <c r="BO204" i="1"/>
  <c r="BT204" i="1"/>
  <c r="BO166" i="1"/>
  <c r="BF44" i="7"/>
  <c r="BO168" i="1"/>
  <c r="BT166" i="1"/>
  <c r="BN240" i="1"/>
  <c r="BN411" i="1"/>
  <c r="BS392" i="1"/>
  <c r="BT431" i="1"/>
  <c r="BT430" i="1"/>
  <c r="BY456" i="1"/>
  <c r="BT459" i="1"/>
  <c r="BN242" i="1"/>
  <c r="BO16" i="1"/>
  <c r="BO13" i="1"/>
  <c r="BT13" i="1"/>
  <c r="AD8" i="18"/>
  <c r="BR279" i="1"/>
  <c r="BR245" i="1"/>
  <c r="BR246" i="1" s="1"/>
  <c r="BR250" i="1"/>
  <c r="BR5" i="1"/>
  <c r="BR413" i="1" s="1"/>
  <c r="BN241" i="1"/>
  <c r="BS397" i="1"/>
  <c r="BT312" i="1"/>
  <c r="BT306" i="1"/>
  <c r="BT230" i="1" s="1"/>
  <c r="BT231" i="1" s="1"/>
  <c r="BT234" i="1" s="1"/>
  <c r="BX460" i="1"/>
  <c r="BN243" i="1"/>
  <c r="BS402" i="1"/>
  <c r="BS405" i="1"/>
  <c r="BR271" i="1"/>
  <c r="BR20" i="1" s="1"/>
  <c r="BR269" i="1"/>
  <c r="AE6" i="18"/>
  <c r="BS236" i="1"/>
  <c r="BS259" i="1" s="1"/>
  <c r="BU466" i="1"/>
  <c r="G6" i="5" s="1"/>
  <c r="BU439" i="1"/>
  <c r="CI9" i="9"/>
  <c r="BU252" i="1"/>
  <c r="BU35" i="1"/>
  <c r="BU464" i="1"/>
  <c r="Q368" i="2"/>
  <c r="Q358" i="2"/>
  <c r="Q82" i="2"/>
  <c r="BP16" i="1"/>
  <c r="BU13" i="1"/>
  <c r="E6" i="10"/>
  <c r="Y19" i="3"/>
  <c r="BF22" i="7"/>
  <c r="BF19" i="7"/>
  <c r="BF33" i="7"/>
  <c r="BT256" i="1"/>
  <c r="BY255" i="1"/>
  <c r="BO138" i="1"/>
  <c r="BU257" i="1"/>
  <c r="Q426" i="2" s="1"/>
  <c r="S40" i="27" s="1"/>
  <c r="S50" i="27" s="1"/>
  <c r="S56" i="27" s="1"/>
  <c r="S58" i="27" s="1"/>
  <c r="T59" i="27" s="1"/>
  <c r="BS465" i="1"/>
  <c r="BS266" i="1"/>
  <c r="CG10" i="9"/>
  <c r="BS445" i="1"/>
  <c r="BN244" i="1"/>
  <c r="BS409" i="1"/>
  <c r="BX258" i="1"/>
  <c r="Q420" i="2"/>
  <c r="P378" i="2"/>
  <c r="BU265" i="1"/>
  <c r="Q359" i="2" s="1"/>
  <c r="BO393" i="1"/>
  <c r="BP395" i="1"/>
  <c r="BP407" i="1"/>
  <c r="BW21" i="1" l="1"/>
  <c r="S61" i="27"/>
  <c r="S63" i="27" s="1"/>
  <c r="BU125" i="1"/>
  <c r="BU95" i="1"/>
  <c r="BU126" i="1" s="1"/>
  <c r="BU203" i="1"/>
  <c r="BU143" i="1"/>
  <c r="BU214" i="1"/>
  <c r="BU104" i="1"/>
  <c r="BU212" i="1"/>
  <c r="BU138" i="1"/>
  <c r="BP168" i="1"/>
  <c r="Y252" i="3" s="1"/>
  <c r="BO169" i="1"/>
  <c r="BT169" i="1"/>
  <c r="Q408" i="2"/>
  <c r="P408" i="2"/>
  <c r="BP203" i="1"/>
  <c r="BP143" i="1"/>
  <c r="BP104" i="1"/>
  <c r="BP214" i="1"/>
  <c r="BP215" i="1" s="1"/>
  <c r="BP212" i="1"/>
  <c r="BP166" i="1"/>
  <c r="CY44" i="7"/>
  <c r="BU166" i="1"/>
  <c r="BQ168" i="1"/>
  <c r="BF46" i="7"/>
  <c r="BO171" i="1"/>
  <c r="BQ97" i="1"/>
  <c r="BQ95" i="1"/>
  <c r="BP241" i="1"/>
  <c r="BU397" i="1"/>
  <c r="BP244" i="1"/>
  <c r="BU409" i="1"/>
  <c r="BE23" i="7"/>
  <c r="BO242" i="1"/>
  <c r="BY460" i="1"/>
  <c r="BR8" i="1"/>
  <c r="BR28" i="1"/>
  <c r="BR22" i="1"/>
  <c r="BR14" i="1"/>
  <c r="BR396" i="1"/>
  <c r="BR400" i="1"/>
  <c r="BR404" i="1"/>
  <c r="BR408" i="1"/>
  <c r="BR391" i="1"/>
  <c r="BU266" i="1"/>
  <c r="I80" i="4"/>
  <c r="I83" i="4" s="1"/>
  <c r="CI10" i="9"/>
  <c r="G5" i="5"/>
  <c r="BN393" i="1"/>
  <c r="BN138" i="1"/>
  <c r="BU254" i="1"/>
  <c r="Q130" i="2"/>
  <c r="Q357" i="2"/>
  <c r="BO240" i="1"/>
  <c r="BO411" i="1"/>
  <c r="BO392" i="1"/>
  <c r="BT392" i="1"/>
  <c r="BO409" i="1"/>
  <c r="BO244" i="1"/>
  <c r="BT409" i="1"/>
  <c r="BP403" i="1"/>
  <c r="BO243" i="1"/>
  <c r="BO405" i="1"/>
  <c r="BO402" i="1"/>
  <c r="BT405" i="1"/>
  <c r="BT402" i="1"/>
  <c r="AF6" i="18"/>
  <c r="BT236" i="1"/>
  <c r="BP390" i="1"/>
  <c r="BS271" i="1"/>
  <c r="BS20" i="1" s="1"/>
  <c r="BS269" i="1"/>
  <c r="BO397" i="1"/>
  <c r="BO241" i="1"/>
  <c r="BT397" i="1"/>
  <c r="BP17" i="1"/>
  <c r="AE8" i="18"/>
  <c r="BS5" i="1"/>
  <c r="BS413" i="1" s="1"/>
  <c r="BS250" i="1"/>
  <c r="BS245" i="1"/>
  <c r="BS246" i="1" s="1"/>
  <c r="BS279" i="1"/>
  <c r="BS412" i="1"/>
  <c r="BT258" i="1"/>
  <c r="Y72" i="3"/>
  <c r="BT465" i="1"/>
  <c r="BT266" i="1"/>
  <c r="CH10" i="9"/>
  <c r="BT445" i="1"/>
  <c r="M25" i="11"/>
  <c r="Y247" i="3"/>
  <c r="BY258" i="1"/>
  <c r="E21" i="10"/>
  <c r="BS258" i="1"/>
  <c r="J29" i="18"/>
  <c r="J64" i="18" s="1"/>
  <c r="BZ258" i="1"/>
  <c r="BR273" i="1"/>
  <c r="AD11" i="18"/>
  <c r="BH10" i="7"/>
  <c r="BH34" i="7" s="1"/>
  <c r="BR275" i="1"/>
  <c r="BW272" i="1"/>
  <c r="BP399" i="1"/>
  <c r="CB10" i="9"/>
  <c r="BX21" i="1" l="1"/>
  <c r="BU127" i="1"/>
  <c r="BQ138" i="1"/>
  <c r="BQ203" i="1"/>
  <c r="BF45" i="7"/>
  <c r="BP171" i="1"/>
  <c r="CY45" i="7" s="1"/>
  <c r="BU168" i="1"/>
  <c r="Z252" i="3" s="1"/>
  <c r="BQ169" i="1"/>
  <c r="BU169" i="1" s="1"/>
  <c r="BV169" i="1"/>
  <c r="BZ169" i="1" s="1"/>
  <c r="BU213" i="1"/>
  <c r="CZ50" i="7"/>
  <c r="BZ213" i="1"/>
  <c r="BU210" i="1"/>
  <c r="BU114" i="1"/>
  <c r="BU115" i="1" s="1"/>
  <c r="CZ39" i="7"/>
  <c r="BU215" i="1"/>
  <c r="BZ215" i="1"/>
  <c r="CY50" i="7"/>
  <c r="BP213" i="1"/>
  <c r="BU149" i="1"/>
  <c r="CZ54" i="7"/>
  <c r="CZ53" i="7"/>
  <c r="BZ149" i="1"/>
  <c r="BU205" i="1"/>
  <c r="BU204" i="1"/>
  <c r="BZ204" i="1"/>
  <c r="CY39" i="7"/>
  <c r="BP210" i="1"/>
  <c r="BP114" i="1"/>
  <c r="BP115" i="1" s="1"/>
  <c r="CY54" i="7"/>
  <c r="CY53" i="7"/>
  <c r="BP149" i="1"/>
  <c r="BP205" i="1"/>
  <c r="BE16" i="7"/>
  <c r="BE19" i="7"/>
  <c r="BP257" i="1"/>
  <c r="BO412" i="1"/>
  <c r="BT412" i="1"/>
  <c r="BS28" i="1"/>
  <c r="BS22" i="1"/>
  <c r="BS8" i="1"/>
  <c r="BS14" i="1"/>
  <c r="BS396" i="1"/>
  <c r="BS408" i="1"/>
  <c r="BS391" i="1"/>
  <c r="BS400" i="1"/>
  <c r="BS404" i="1"/>
  <c r="BP411" i="1"/>
  <c r="BP240" i="1"/>
  <c r="BU392" i="1"/>
  <c r="Q83" i="2"/>
  <c r="Q292" i="2" s="1"/>
  <c r="Q296" i="2" s="1"/>
  <c r="Q91" i="2" s="1"/>
  <c r="BT271" i="1"/>
  <c r="BT20" i="1" s="1"/>
  <c r="BT269" i="1"/>
  <c r="Q132" i="2"/>
  <c r="Z20" i="3"/>
  <c r="N30" i="11" s="1"/>
  <c r="Q135" i="2"/>
  <c r="R131" i="2"/>
  <c r="BU256" i="1"/>
  <c r="BZ255" i="1"/>
  <c r="BP243" i="1"/>
  <c r="BU405" i="1"/>
  <c r="BP242" i="1"/>
  <c r="BU401" i="1"/>
  <c r="BF23" i="7"/>
  <c r="BG23" i="7"/>
  <c r="BG28" i="7" s="1"/>
  <c r="BU268" i="1"/>
  <c r="BU271" i="1" s="1"/>
  <c r="BQ269" i="1"/>
  <c r="BQ271" i="1"/>
  <c r="BQ20" i="1" s="1"/>
  <c r="CC10" i="9"/>
  <c r="BT259" i="1"/>
  <c r="BT5" i="1"/>
  <c r="BT413" i="1" s="1"/>
  <c r="AF8" i="18"/>
  <c r="BT279" i="1"/>
  <c r="BT250" i="1"/>
  <c r="BT245" i="1"/>
  <c r="BT246" i="1" s="1"/>
  <c r="BI10" i="7"/>
  <c r="BI34" i="7" s="1"/>
  <c r="BS282" i="1"/>
  <c r="BS275" i="1"/>
  <c r="AE11" i="18"/>
  <c r="BS273" i="1"/>
  <c r="BX272" i="1"/>
  <c r="BY21" i="1" l="1"/>
  <c r="BV21" i="1"/>
  <c r="Q428" i="2"/>
  <c r="S42" i="27" s="1"/>
  <c r="S8" i="27" s="1"/>
  <c r="BU20" i="1"/>
  <c r="BU258" i="1"/>
  <c r="P426" i="2"/>
  <c r="R40" i="27" s="1"/>
  <c r="R50" i="27" s="1"/>
  <c r="R56" i="27" s="1"/>
  <c r="R58" i="27" s="1"/>
  <c r="S59" i="27" s="1"/>
  <c r="Q360" i="2"/>
  <c r="Q362" i="2" s="1"/>
  <c r="Q367" i="2" s="1"/>
  <c r="Q372" i="2" s="1"/>
  <c r="Q373" i="2" s="1"/>
  <c r="I29" i="18"/>
  <c r="I64" i="18" s="1"/>
  <c r="BU142" i="1"/>
  <c r="CZ49" i="7"/>
  <c r="BU211" i="1"/>
  <c r="BZ211" i="1"/>
  <c r="BP211" i="1"/>
  <c r="CY49" i="7"/>
  <c r="BP142" i="1"/>
  <c r="BQ204" i="1"/>
  <c r="BQ205" i="1"/>
  <c r="BV204" i="1"/>
  <c r="Q85" i="2"/>
  <c r="BU275" i="1"/>
  <c r="Z29" i="3"/>
  <c r="G12" i="5"/>
  <c r="G16" i="5" s="1"/>
  <c r="F9" i="10"/>
  <c r="F24" i="10" s="1"/>
  <c r="J11" i="18"/>
  <c r="CZ10" i="7"/>
  <c r="CZ34" i="7" s="1"/>
  <c r="Q324" i="2"/>
  <c r="Q326" i="2" s="1"/>
  <c r="BZ272" i="1"/>
  <c r="BS285" i="1"/>
  <c r="BP216" i="1"/>
  <c r="BL138" i="1"/>
  <c r="BL393" i="1"/>
  <c r="Q92" i="2"/>
  <c r="BG10" i="7"/>
  <c r="BG34" i="7" s="1"/>
  <c r="BQ275" i="1"/>
  <c r="AC11" i="18"/>
  <c r="BV272" i="1"/>
  <c r="Q61" i="2"/>
  <c r="Q84" i="2"/>
  <c r="BU269" i="1"/>
  <c r="Q343" i="2"/>
  <c r="Q348" i="2" s="1"/>
  <c r="BM138" i="1"/>
  <c r="BM393" i="1"/>
  <c r="BU412" i="1"/>
  <c r="N35" i="11"/>
  <c r="U30" i="11"/>
  <c r="BT282" i="1"/>
  <c r="BT285" i="1" s="1"/>
  <c r="BT275" i="1"/>
  <c r="AF11" i="18"/>
  <c r="BT273" i="1"/>
  <c r="BJ10" i="7"/>
  <c r="BJ34" i="7" s="1"/>
  <c r="BY272" i="1"/>
  <c r="BT28" i="1"/>
  <c r="BT8" i="1"/>
  <c r="BT22" i="1"/>
  <c r="BT14" i="1"/>
  <c r="BT408" i="1"/>
  <c r="BT404" i="1"/>
  <c r="BT400" i="1"/>
  <c r="BT396" i="1"/>
  <c r="BT391" i="1"/>
  <c r="Q136" i="2"/>
  <c r="Q145" i="2"/>
  <c r="BD26" i="7"/>
  <c r="Z30" i="3" l="1"/>
  <c r="Z15" i="3"/>
  <c r="BZ21" i="1"/>
  <c r="R61" i="27"/>
  <c r="R63" i="27" s="1"/>
  <c r="CA13" i="9"/>
  <c r="CA14" i="9" s="1"/>
  <c r="BD11" i="7"/>
  <c r="BM31" i="1"/>
  <c r="Z12" i="18"/>
  <c r="BP148" i="1"/>
  <c r="CY52" i="7"/>
  <c r="CZ52" i="7"/>
  <c r="BU148" i="1"/>
  <c r="BZ148" i="1"/>
  <c r="BP393" i="1"/>
  <c r="BP138" i="1"/>
  <c r="BP174" i="1"/>
  <c r="BU282" i="1"/>
  <c r="BM35" i="1"/>
  <c r="BD12" i="7" s="1"/>
  <c r="CA9" i="9"/>
  <c r="BM439" i="1"/>
  <c r="BM252" i="1"/>
  <c r="BM254" i="1" s="1"/>
  <c r="Q380" i="2"/>
  <c r="Q68" i="2"/>
  <c r="Q69" i="2" s="1"/>
  <c r="R374" i="2"/>
  <c r="C152" i="11"/>
  <c r="N45" i="11"/>
  <c r="BP217" i="1"/>
  <c r="R137" i="2"/>
  <c r="BM266" i="1"/>
  <c r="BM225" i="1"/>
  <c r="BM271" i="1" l="1"/>
  <c r="BM20" i="1" s="1"/>
  <c r="BN31" i="1"/>
  <c r="BE11" i="7"/>
  <c r="AA12" i="18"/>
  <c r="CB13" i="9"/>
  <c r="CB14" i="9" s="1"/>
  <c r="BD24" i="7"/>
  <c r="BD35" i="7"/>
  <c r="N46" i="11"/>
  <c r="C153" i="11"/>
  <c r="C195" i="11"/>
  <c r="BR272" i="1"/>
  <c r="Q385" i="2"/>
  <c r="Z74" i="3"/>
  <c r="BD23" i="7"/>
  <c r="BM269" i="1"/>
  <c r="BM256" i="1"/>
  <c r="BR255" i="1"/>
  <c r="BU285" i="1"/>
  <c r="Z14" i="3"/>
  <c r="I73" i="4"/>
  <c r="BU175" i="1"/>
  <c r="BD30" i="7"/>
  <c r="CA7" i="9"/>
  <c r="BM419" i="1"/>
  <c r="BM447" i="1"/>
  <c r="BR226" i="1"/>
  <c r="BM233" i="1"/>
  <c r="BP27" i="1"/>
  <c r="BM275" i="1" l="1"/>
  <c r="BD10" i="7"/>
  <c r="BD34" i="7" s="1"/>
  <c r="Z11" i="18"/>
  <c r="BR21" i="1"/>
  <c r="BD28" i="7"/>
  <c r="P73" i="2"/>
  <c r="CD13" i="9"/>
  <c r="CD14" i="9" s="1"/>
  <c r="Y22" i="3"/>
  <c r="BP31" i="1"/>
  <c r="BP32" i="1" s="1"/>
  <c r="E7" i="10"/>
  <c r="I12" i="18"/>
  <c r="CY11" i="7"/>
  <c r="CY35" i="7" s="1"/>
  <c r="BU29" i="1"/>
  <c r="BE24" i="7"/>
  <c r="BE35" i="7"/>
  <c r="BD16" i="7"/>
  <c r="BD19" i="7"/>
  <c r="CC13" i="9"/>
  <c r="CC14" i="9" s="1"/>
  <c r="AB12" i="18"/>
  <c r="BF11" i="7"/>
  <c r="BO31" i="1"/>
  <c r="BN29" i="19"/>
  <c r="BI19" i="19"/>
  <c r="BJ10" i="19"/>
  <c r="BM17" i="19"/>
  <c r="BN33" i="19"/>
  <c r="BL10" i="19"/>
  <c r="BN14" i="19"/>
  <c r="BI15" i="19"/>
  <c r="N435" i="2" s="1"/>
  <c r="BO49" i="19"/>
  <c r="BJ14" i="19"/>
  <c r="BH24" i="19"/>
  <c r="BN15" i="19"/>
  <c r="S435" i="2" s="1"/>
  <c r="S102" i="2" s="1"/>
  <c r="BG14" i="19"/>
  <c r="BM23" i="19"/>
  <c r="BJ37" i="19"/>
  <c r="BF11" i="19"/>
  <c r="BJ18" i="19"/>
  <c r="BN16" i="19"/>
  <c r="BN34" i="19"/>
  <c r="BJ16" i="19"/>
  <c r="BF14" i="19"/>
  <c r="BO101" i="19"/>
  <c r="BN22" i="19"/>
  <c r="BO78" i="19"/>
  <c r="BO50" i="19"/>
  <c r="BG21" i="19"/>
  <c r="BO82" i="19"/>
  <c r="BF23" i="19"/>
  <c r="BO9" i="19"/>
  <c r="BI20" i="19"/>
  <c r="BI24" i="19"/>
  <c r="BJ7" i="19"/>
  <c r="BK37" i="19"/>
  <c r="BO60" i="19"/>
  <c r="BO65" i="19"/>
  <c r="BO13" i="19"/>
  <c r="BF37" i="19"/>
  <c r="BN20" i="19"/>
  <c r="BH15" i="19"/>
  <c r="M435" i="2" s="1"/>
  <c r="BO14" i="19"/>
  <c r="BO12" i="19"/>
  <c r="BO23" i="19"/>
  <c r="BF24" i="19"/>
  <c r="BK19" i="19"/>
  <c r="BO20" i="19"/>
  <c r="BO86" i="19"/>
  <c r="BN17" i="19"/>
  <c r="BO67" i="19"/>
  <c r="BO21" i="19"/>
  <c r="BF21" i="19"/>
  <c r="BF15" i="19"/>
  <c r="K435" i="2" s="1"/>
  <c r="BK17" i="19"/>
  <c r="BG15" i="19"/>
  <c r="L435" i="2" s="1"/>
  <c r="BK7" i="19"/>
  <c r="BM7" i="19"/>
  <c r="BO47" i="19"/>
  <c r="BI13" i="19"/>
  <c r="BO46" i="19"/>
  <c r="BO75" i="19"/>
  <c r="T248" i="2" s="1"/>
  <c r="BG29" i="19"/>
  <c r="BN18" i="19"/>
  <c r="BM13" i="19"/>
  <c r="BJ12" i="19"/>
  <c r="BO109" i="19"/>
  <c r="BO54" i="19"/>
  <c r="BI18" i="19"/>
  <c r="BF13" i="19"/>
  <c r="BG13" i="19"/>
  <c r="BO97" i="19"/>
  <c r="T284" i="2" s="1"/>
  <c r="BH11" i="19"/>
  <c r="BO55" i="19"/>
  <c r="BH34" i="19"/>
  <c r="BL37" i="19"/>
  <c r="BF9" i="19"/>
  <c r="BO29" i="19"/>
  <c r="BH19" i="19"/>
  <c r="BF19" i="19"/>
  <c r="BO107" i="19"/>
  <c r="BO87" i="19"/>
  <c r="BM15" i="19"/>
  <c r="R435" i="2" s="1"/>
  <c r="R102" i="2" s="1"/>
  <c r="BG7" i="19"/>
  <c r="BG33" i="19"/>
  <c r="BG10" i="19"/>
  <c r="BF17" i="19"/>
  <c r="BH37" i="19"/>
  <c r="BK24" i="19"/>
  <c r="BG11" i="19"/>
  <c r="BJ22" i="19"/>
  <c r="BG17" i="19"/>
  <c r="BI17" i="19"/>
  <c r="BK12" i="19"/>
  <c r="BL19" i="19"/>
  <c r="BN12" i="19"/>
  <c r="BO111" i="19"/>
  <c r="T301" i="2" s="1"/>
  <c r="BK32" i="19"/>
  <c r="BJ34" i="19"/>
  <c r="BO81" i="19"/>
  <c r="BF7" i="19"/>
  <c r="BO64" i="19"/>
  <c r="BK20" i="19"/>
  <c r="BF18" i="19"/>
  <c r="BH33" i="19"/>
  <c r="BO56" i="19"/>
  <c r="BK15" i="19"/>
  <c r="P435" i="2" s="1"/>
  <c r="P102" i="2" s="1"/>
  <c r="BM9" i="19"/>
  <c r="BO92" i="19"/>
  <c r="T220" i="2" s="1"/>
  <c r="BO19" i="19"/>
  <c r="BG32" i="19"/>
  <c r="BI12" i="19"/>
  <c r="BO113" i="19"/>
  <c r="BL17" i="19"/>
  <c r="BO48" i="19"/>
  <c r="BN7" i="19"/>
  <c r="BO106" i="19"/>
  <c r="BM29" i="19"/>
  <c r="BG16" i="19"/>
  <c r="BO93" i="19"/>
  <c r="BJ11" i="19"/>
  <c r="BO102" i="19"/>
  <c r="BJ13" i="19"/>
  <c r="BH32" i="19"/>
  <c r="BN9" i="19"/>
  <c r="BO96" i="19"/>
  <c r="BH18" i="19"/>
  <c r="BM10" i="19"/>
  <c r="BO34" i="19"/>
  <c r="BO15" i="19"/>
  <c r="T435" i="2" s="1"/>
  <c r="T102" i="2" s="1"/>
  <c r="BF12" i="19"/>
  <c r="BF20" i="19"/>
  <c r="BO16" i="19"/>
  <c r="BM11" i="19"/>
  <c r="BH21" i="19"/>
  <c r="BO114" i="19"/>
  <c r="BL33" i="19"/>
  <c r="BH20" i="19"/>
  <c r="BK10" i="19"/>
  <c r="BO90" i="19"/>
  <c r="BM21" i="19"/>
  <c r="BO10" i="19"/>
  <c r="BG19" i="19"/>
  <c r="BI21" i="19"/>
  <c r="BO85" i="19"/>
  <c r="T213" i="2" s="1"/>
  <c r="BO37" i="19"/>
  <c r="BM24" i="19"/>
  <c r="BO71" i="19"/>
  <c r="BI34" i="19"/>
  <c r="BM14" i="19"/>
  <c r="BN11" i="19"/>
  <c r="BL16" i="19"/>
  <c r="BI29" i="19"/>
  <c r="BG9" i="19"/>
  <c r="BL12" i="19"/>
  <c r="BF22" i="19"/>
  <c r="BM12" i="19"/>
  <c r="BO76" i="19"/>
  <c r="BM33" i="19"/>
  <c r="BG22" i="19"/>
  <c r="BF10" i="19"/>
  <c r="BL32" i="19"/>
  <c r="BN10" i="19"/>
  <c r="BO84" i="19"/>
  <c r="BO91" i="19"/>
  <c r="BL15" i="19"/>
  <c r="Q435" i="2" s="1"/>
  <c r="Q102" i="2" s="1"/>
  <c r="BL34" i="19"/>
  <c r="BO73" i="19"/>
  <c r="BI14" i="19"/>
  <c r="BO77" i="19"/>
  <c r="BI22" i="19"/>
  <c r="BI16" i="19"/>
  <c r="BL21" i="19"/>
  <c r="BJ32" i="19"/>
  <c r="BJ15" i="19"/>
  <c r="O435" i="2" s="1"/>
  <c r="O102" i="2" s="1"/>
  <c r="BO51" i="19"/>
  <c r="BJ29" i="19"/>
  <c r="BN13" i="19"/>
  <c r="BM20" i="19"/>
  <c r="BO104" i="19"/>
  <c r="T310" i="2" s="1"/>
  <c r="BH12" i="19"/>
  <c r="BJ21" i="19"/>
  <c r="BO62" i="19"/>
  <c r="BN23" i="19"/>
  <c r="BK23" i="19"/>
  <c r="BO103" i="19"/>
  <c r="BO95" i="19"/>
  <c r="BH29" i="19"/>
  <c r="BF16" i="19"/>
  <c r="BO68" i="19"/>
  <c r="BH13" i="19"/>
  <c r="BJ17" i="19"/>
  <c r="BI7" i="19"/>
  <c r="BH9" i="19"/>
  <c r="BK9" i="19"/>
  <c r="BH23" i="19"/>
  <c r="BO33" i="19"/>
  <c r="BO80" i="19"/>
  <c r="BI32" i="19"/>
  <c r="BO52" i="19"/>
  <c r="T241" i="2" s="1"/>
  <c r="BH14" i="19"/>
  <c r="BI9" i="19"/>
  <c r="BL23" i="19"/>
  <c r="BI10" i="19"/>
  <c r="BO53" i="19"/>
  <c r="BN24" i="19"/>
  <c r="BI11" i="19"/>
  <c r="BI37" i="19"/>
  <c r="BL20" i="19"/>
  <c r="BK29" i="19"/>
  <c r="BO100" i="19"/>
  <c r="BO70" i="19"/>
  <c r="BJ9" i="19"/>
  <c r="BG20" i="19"/>
  <c r="BG37" i="19"/>
  <c r="BO83" i="19"/>
  <c r="T251" i="2" s="1"/>
  <c r="BO17" i="19"/>
  <c r="BN21" i="19"/>
  <c r="BJ24" i="19"/>
  <c r="BI23" i="19"/>
  <c r="BM22" i="19"/>
  <c r="BN32" i="19"/>
  <c r="BK18" i="19"/>
  <c r="BO88" i="19"/>
  <c r="BM34" i="19"/>
  <c r="BG18" i="19"/>
  <c r="BH16" i="19"/>
  <c r="BO59" i="19"/>
  <c r="BL18" i="19"/>
  <c r="BO112" i="19"/>
  <c r="BO66" i="19"/>
  <c r="T162" i="2" s="1"/>
  <c r="BO61" i="19"/>
  <c r="BL13" i="19"/>
  <c r="BO89" i="19"/>
  <c r="BO74" i="19"/>
  <c r="BG24" i="19"/>
  <c r="BG34" i="19"/>
  <c r="BF29" i="19"/>
  <c r="BK21" i="19"/>
  <c r="BL14" i="19"/>
  <c r="BG23" i="19"/>
  <c r="BO18" i="19"/>
  <c r="BI33" i="19"/>
  <c r="BO108" i="19"/>
  <c r="BO99" i="19"/>
  <c r="BK13" i="19"/>
  <c r="BH22" i="19"/>
  <c r="BO57" i="19"/>
  <c r="BL11" i="19"/>
  <c r="BO11" i="19"/>
  <c r="BH17" i="19"/>
  <c r="BH10" i="19"/>
  <c r="BM18" i="19"/>
  <c r="BK11" i="19"/>
  <c r="BN37" i="19"/>
  <c r="BK33" i="19"/>
  <c r="BK16" i="19"/>
  <c r="BF34" i="19"/>
  <c r="BO79" i="19"/>
  <c r="BO63" i="19"/>
  <c r="T105" i="2" s="1"/>
  <c r="BL9" i="19"/>
  <c r="BH7" i="19"/>
  <c r="BK34" i="19"/>
  <c r="BL29" i="19"/>
  <c r="BO72" i="19"/>
  <c r="BJ23" i="19"/>
  <c r="BM32" i="19"/>
  <c r="BM37" i="19"/>
  <c r="BJ19" i="19"/>
  <c r="BO58" i="19"/>
  <c r="BO98" i="19"/>
  <c r="BO69" i="19"/>
  <c r="BO7" i="19"/>
  <c r="BK14" i="19"/>
  <c r="BO94" i="19"/>
  <c r="BO110" i="19"/>
  <c r="BO32" i="19"/>
  <c r="BN19" i="19"/>
  <c r="BL24" i="19"/>
  <c r="BM19" i="19"/>
  <c r="BL22" i="19"/>
  <c r="BO105" i="19"/>
  <c r="BO45" i="19"/>
  <c r="T199" i="2" s="1"/>
  <c r="BO22" i="19"/>
  <c r="BF33" i="19"/>
  <c r="BJ20" i="19"/>
  <c r="BF32" i="19"/>
  <c r="BG12" i="19"/>
  <c r="BO24" i="19"/>
  <c r="BJ33" i="19"/>
  <c r="BM16" i="19"/>
  <c r="BK22" i="19"/>
  <c r="BL7" i="19"/>
  <c r="D194" i="11"/>
  <c r="C196" i="11"/>
  <c r="C211" i="11"/>
  <c r="C223" i="11" s="1"/>
  <c r="C257" i="11"/>
  <c r="D257" i="11" s="1"/>
  <c r="D195" i="11"/>
  <c r="L195" i="11"/>
  <c r="Z79" i="3"/>
  <c r="Q388" i="2"/>
  <c r="BM455" i="1"/>
  <c r="BR448" i="1"/>
  <c r="BM425" i="1"/>
  <c r="BM426" i="1" s="1"/>
  <c r="BM423" i="1"/>
  <c r="BM421" i="1"/>
  <c r="BM442" i="1"/>
  <c r="BR420" i="1"/>
  <c r="T323" i="2" l="1"/>
  <c r="T39" i="2" s="1"/>
  <c r="E22" i="10"/>
  <c r="E8" i="10"/>
  <c r="E23" i="10" s="1"/>
  <c r="BF24" i="7"/>
  <c r="BF35" i="7"/>
  <c r="M51" i="11"/>
  <c r="Y23" i="3"/>
  <c r="P100" i="2"/>
  <c r="P104" i="2" s="1"/>
  <c r="P113" i="2"/>
  <c r="P341" i="2"/>
  <c r="P364" i="2" s="1"/>
  <c r="P75" i="2"/>
  <c r="D259" i="11"/>
  <c r="D261" i="11"/>
  <c r="D258" i="11"/>
  <c r="D296" i="11" s="1"/>
  <c r="T5" i="2"/>
  <c r="T47" i="2" s="1"/>
  <c r="T190" i="2"/>
  <c r="N701" i="21"/>
  <c r="T244" i="2"/>
  <c r="V284" i="2"/>
  <c r="T33" i="2"/>
  <c r="BM443" i="1"/>
  <c r="BM445" i="1"/>
  <c r="S107" i="2"/>
  <c r="S114" i="2"/>
  <c r="S104" i="2"/>
  <c r="S109" i="2"/>
  <c r="M130" i="2"/>
  <c r="M102" i="2"/>
  <c r="T36" i="2"/>
  <c r="V301" i="2"/>
  <c r="R107" i="2"/>
  <c r="R109" i="2"/>
  <c r="R114" i="2"/>
  <c r="R104" i="2"/>
  <c r="L130" i="2"/>
  <c r="L102" i="2"/>
  <c r="V308" i="2"/>
  <c r="V310" i="2" s="1"/>
  <c r="T37" i="2"/>
  <c r="T309" i="2"/>
  <c r="Q104" i="2"/>
  <c r="Q114" i="2"/>
  <c r="Q107" i="2"/>
  <c r="Q109" i="2"/>
  <c r="K130" i="2"/>
  <c r="K102" i="2"/>
  <c r="T218" i="2"/>
  <c r="T32" i="2"/>
  <c r="N130" i="2"/>
  <c r="N102" i="2"/>
  <c r="BL35" i="1"/>
  <c r="BC12" i="7" s="1"/>
  <c r="BL439" i="1"/>
  <c r="BL252" i="1"/>
  <c r="BL254" i="1" s="1"/>
  <c r="BZ9" i="9"/>
  <c r="BM465" i="1"/>
  <c r="BM459" i="1"/>
  <c r="BM431" i="1"/>
  <c r="BM430" i="1"/>
  <c r="BR456" i="1"/>
  <c r="P114" i="2"/>
  <c r="P107" i="2"/>
  <c r="Q390" i="2"/>
  <c r="S45" i="27" s="1"/>
  <c r="S10" i="27" s="1"/>
  <c r="S9" i="27" s="1"/>
  <c r="Z82" i="3"/>
  <c r="T13" i="2"/>
  <c r="T104" i="2"/>
  <c r="T116" i="2"/>
  <c r="T198" i="2"/>
  <c r="T31" i="2" s="1"/>
  <c r="BM306" i="1"/>
  <c r="BM230" i="1" s="1"/>
  <c r="BM231" i="1" s="1"/>
  <c r="BM234" i="1" s="1"/>
  <c r="BM312" i="1"/>
  <c r="BR308" i="1"/>
  <c r="T14" i="2"/>
  <c r="V162" i="2"/>
  <c r="O104" i="2"/>
  <c r="O109" i="2"/>
  <c r="O107" i="2"/>
  <c r="T197" i="2"/>
  <c r="BG266" i="1"/>
  <c r="AY26" i="7"/>
  <c r="AY28" i="7" s="1"/>
  <c r="V251" i="2"/>
  <c r="T28" i="2"/>
  <c r="T253" i="2"/>
  <c r="T23" i="2"/>
  <c r="T250" i="2"/>
  <c r="BC26" i="7"/>
  <c r="T27" i="2"/>
  <c r="T212" i="2"/>
  <c r="V213" i="2"/>
  <c r="BC23" i="7"/>
  <c r="P343" i="2"/>
  <c r="BP268" i="1"/>
  <c r="C214" i="11"/>
  <c r="D196" i="11"/>
  <c r="T6" i="2"/>
  <c r="T243" i="2"/>
  <c r="T114" i="2"/>
  <c r="T107" i="2"/>
  <c r="T109" i="2"/>
  <c r="BL266" i="1"/>
  <c r="BL271" i="1" s="1"/>
  <c r="BL20" i="1" s="1"/>
  <c r="BE26" i="7"/>
  <c r="BE28" i="7" s="1"/>
  <c r="BQ21" i="1" l="1"/>
  <c r="T326" i="2"/>
  <c r="T66" i="2" s="1"/>
  <c r="P348" i="2"/>
  <c r="P109" i="2"/>
  <c r="T108" i="2"/>
  <c r="BC28" i="7"/>
  <c r="P381" i="2"/>
  <c r="Y75" i="3" s="1"/>
  <c r="S93" i="2"/>
  <c r="S94" i="2" s="1"/>
  <c r="P370" i="2"/>
  <c r="T93" i="2"/>
  <c r="T94" i="2" s="1"/>
  <c r="P93" i="2"/>
  <c r="Q93" i="2"/>
  <c r="Q94" i="2" s="1"/>
  <c r="R93" i="2"/>
  <c r="R94" i="2" s="1"/>
  <c r="P430" i="2"/>
  <c r="Y24" i="3"/>
  <c r="Y249" i="3" s="1"/>
  <c r="Y127" i="3"/>
  <c r="Y136" i="3" s="1"/>
  <c r="Y137" i="3" s="1"/>
  <c r="Y248" i="3"/>
  <c r="M52" i="11"/>
  <c r="Q57" i="11"/>
  <c r="T34" i="2"/>
  <c r="V34" i="2" s="1"/>
  <c r="W34" i="2" s="1"/>
  <c r="X34" i="2" s="1"/>
  <c r="Y34" i="2" s="1"/>
  <c r="Z34" i="2" s="1"/>
  <c r="AA34" i="2" s="1"/>
  <c r="Q108" i="2"/>
  <c r="T276" i="2"/>
  <c r="V276" i="2" s="1"/>
  <c r="L131" i="2"/>
  <c r="L132" i="2"/>
  <c r="AV437" i="1"/>
  <c r="U20" i="3"/>
  <c r="I30" i="11" s="1"/>
  <c r="I35" i="11" s="1"/>
  <c r="I45" i="11" s="1"/>
  <c r="L135" i="2"/>
  <c r="BL269" i="1"/>
  <c r="T169" i="2"/>
  <c r="T202" i="2"/>
  <c r="M52" i="18"/>
  <c r="P84" i="2"/>
  <c r="P61" i="2"/>
  <c r="W251" i="2"/>
  <c r="V253" i="2"/>
  <c r="V28" i="2"/>
  <c r="Z6" i="18"/>
  <c r="BM236" i="1"/>
  <c r="R118" i="2"/>
  <c r="R115" i="2"/>
  <c r="R120" i="2"/>
  <c r="R119" i="2"/>
  <c r="W284" i="2"/>
  <c r="V33" i="2"/>
  <c r="M50" i="18"/>
  <c r="T174" i="2"/>
  <c r="T246" i="2"/>
  <c r="T258" i="2" s="1"/>
  <c r="T7" i="2"/>
  <c r="T263" i="2" s="1"/>
  <c r="T115" i="2"/>
  <c r="BR460" i="1"/>
  <c r="K109" i="2"/>
  <c r="K104" i="2"/>
  <c r="K107" i="2"/>
  <c r="K108" i="2" s="1"/>
  <c r="R108" i="2"/>
  <c r="W211" i="2"/>
  <c r="W213" i="2" s="1"/>
  <c r="V27" i="2"/>
  <c r="T20" i="3"/>
  <c r="H30" i="11" s="1"/>
  <c r="K135" i="2"/>
  <c r="K132" i="2"/>
  <c r="K131" i="2"/>
  <c r="V36" i="2"/>
  <c r="W301" i="2"/>
  <c r="N505" i="21"/>
  <c r="N536" i="21"/>
  <c r="G20" i="23"/>
  <c r="N518" i="21"/>
  <c r="N494" i="21"/>
  <c r="T118" i="2"/>
  <c r="T119" i="2"/>
  <c r="T120" i="2"/>
  <c r="BG269" i="1"/>
  <c r="BG271" i="1"/>
  <c r="BG20" i="1" s="1"/>
  <c r="T191" i="2"/>
  <c r="V190" i="2"/>
  <c r="T201" i="2"/>
  <c r="M36" i="18"/>
  <c r="M62" i="18" s="1"/>
  <c r="T168" i="2"/>
  <c r="M45" i="18"/>
  <c r="M51" i="18"/>
  <c r="T26" i="2"/>
  <c r="T200" i="2"/>
  <c r="T205" i="2" s="1"/>
  <c r="N699" i="21"/>
  <c r="M109" i="2"/>
  <c r="M107" i="2"/>
  <c r="M104" i="2"/>
  <c r="BL256" i="1"/>
  <c r="BQ255" i="1"/>
  <c r="Q118" i="2"/>
  <c r="Q115" i="2"/>
  <c r="Q119" i="2"/>
  <c r="Q120" i="2"/>
  <c r="M135" i="2"/>
  <c r="M132" i="2"/>
  <c r="M131" i="2"/>
  <c r="V20" i="3"/>
  <c r="J30" i="11" s="1"/>
  <c r="J35" i="11" s="1"/>
  <c r="J45" i="11" s="1"/>
  <c r="Z31" i="3"/>
  <c r="Z84" i="3"/>
  <c r="Q395" i="2"/>
  <c r="BL275" i="1"/>
  <c r="BC10" i="7"/>
  <c r="BC34" i="7" s="1"/>
  <c r="P324" i="2"/>
  <c r="P326" i="2" s="1"/>
  <c r="Y11" i="18"/>
  <c r="BQ272" i="1"/>
  <c r="P108" i="2"/>
  <c r="N104" i="2"/>
  <c r="N109" i="2"/>
  <c r="N107" i="2"/>
  <c r="O108" i="2" s="1"/>
  <c r="V37" i="2"/>
  <c r="W308" i="2"/>
  <c r="W310" i="2" s="1"/>
  <c r="S108" i="2"/>
  <c r="BN439" i="1"/>
  <c r="BN252" i="1"/>
  <c r="BN254" i="1" s="1"/>
  <c r="CB9" i="9"/>
  <c r="BN35" i="1"/>
  <c r="BE12" i="7" s="1"/>
  <c r="W162" i="2"/>
  <c r="V14" i="2"/>
  <c r="S120" i="2"/>
  <c r="S115" i="2"/>
  <c r="S118" i="2"/>
  <c r="S119" i="2"/>
  <c r="D225" i="11"/>
  <c r="C213" i="11"/>
  <c r="D213" i="11" s="1"/>
  <c r="D212" i="11"/>
  <c r="C226" i="11"/>
  <c r="C224" i="11" s="1"/>
  <c r="D224" i="11" s="1"/>
  <c r="P120" i="2"/>
  <c r="P118" i="2"/>
  <c r="P119" i="2"/>
  <c r="P115" i="2"/>
  <c r="N132" i="2"/>
  <c r="N131" i="2"/>
  <c r="W20" i="3"/>
  <c r="K30" i="11" s="1"/>
  <c r="N135" i="2"/>
  <c r="L104" i="2"/>
  <c r="L109" i="2"/>
  <c r="L107" i="2"/>
  <c r="T40" i="2"/>
  <c r="BN266" i="1"/>
  <c r="BP262" i="1"/>
  <c r="BL21" i="1" l="1"/>
  <c r="P365" i="2"/>
  <c r="R43" i="27"/>
  <c r="N53" i="18"/>
  <c r="P433" i="2"/>
  <c r="P431" i="2"/>
  <c r="T365" i="2"/>
  <c r="S365" i="2"/>
  <c r="R365" i="2"/>
  <c r="Q365" i="2"/>
  <c r="Q431" i="2"/>
  <c r="P58" i="2"/>
  <c r="P68" i="2" s="1"/>
  <c r="P69" i="2" s="1"/>
  <c r="M53" i="18"/>
  <c r="Q63" i="11"/>
  <c r="Q71" i="11" s="1"/>
  <c r="Q58" i="11"/>
  <c r="Q64" i="11" s="1"/>
  <c r="Q72" i="11" s="1"/>
  <c r="T18" i="2"/>
  <c r="T19" i="2" s="1"/>
  <c r="N700" i="21"/>
  <c r="N517" i="21" s="1"/>
  <c r="N465" i="21" s="1"/>
  <c r="M108" i="2"/>
  <c r="L12" i="4"/>
  <c r="L13" i="4" s="1"/>
  <c r="T347" i="2"/>
  <c r="T348" i="2" s="1"/>
  <c r="AC131" i="3"/>
  <c r="T62" i="2"/>
  <c r="T379" i="2" s="1"/>
  <c r="V263" i="2"/>
  <c r="T9" i="2"/>
  <c r="T11" i="2" s="1"/>
  <c r="BO252" i="1"/>
  <c r="BO254" i="1" s="1"/>
  <c r="BO439" i="1"/>
  <c r="CC9" i="9"/>
  <c r="BO35" i="1"/>
  <c r="BF12" i="7" s="1"/>
  <c r="X301" i="2"/>
  <c r="W36" i="2"/>
  <c r="N145" i="2"/>
  <c r="N136" i="2"/>
  <c r="V191" i="2"/>
  <c r="W190" i="2"/>
  <c r="AY10" i="7"/>
  <c r="AY34" i="7" s="1"/>
  <c r="U11" i="18"/>
  <c r="BG275" i="1"/>
  <c r="BN271" i="1"/>
  <c r="BN20" i="1" s="1"/>
  <c r="BN269" i="1"/>
  <c r="P358" i="2"/>
  <c r="P82" i="2"/>
  <c r="X162" i="2"/>
  <c r="W14" i="2"/>
  <c r="K136" i="2"/>
  <c r="K137" i="2" s="1"/>
  <c r="K145" i="2"/>
  <c r="Z8" i="18"/>
  <c r="BM259" i="1"/>
  <c r="BM279" i="1"/>
  <c r="BM245" i="1"/>
  <c r="BM246" i="1" s="1"/>
  <c r="BM5" i="1"/>
  <c r="BM413" i="1" s="1"/>
  <c r="BM250" i="1"/>
  <c r="BR237" i="1"/>
  <c r="BM273" i="1"/>
  <c r="L136" i="2"/>
  <c r="L145" i="2"/>
  <c r="J46" i="11"/>
  <c r="G19" i="23"/>
  <c r="N516" i="21"/>
  <c r="N36" i="18"/>
  <c r="N62" i="18" s="1"/>
  <c r="N51" i="18"/>
  <c r="V201" i="2"/>
  <c r="N45" i="18"/>
  <c r="V168" i="2"/>
  <c r="I46" i="11"/>
  <c r="I64" i="11" s="1"/>
  <c r="I72" i="11" s="1"/>
  <c r="I63" i="11"/>
  <c r="I71" i="11" s="1"/>
  <c r="AV35" i="1"/>
  <c r="AV252" i="1"/>
  <c r="AV464" i="1"/>
  <c r="L368" i="2"/>
  <c r="AV419" i="1"/>
  <c r="AV466" i="1"/>
  <c r="B6" i="5" s="1"/>
  <c r="BN256" i="1"/>
  <c r="BS255" i="1"/>
  <c r="W27" i="2"/>
  <c r="X211" i="2"/>
  <c r="X213" i="2" s="1"/>
  <c r="BL272" i="1"/>
  <c r="T173" i="2"/>
  <c r="T175" i="2" s="1"/>
  <c r="T176" i="2" s="1"/>
  <c r="T180" i="2" s="1"/>
  <c r="V180" i="2" s="1"/>
  <c r="M44" i="18"/>
  <c r="M35" i="18"/>
  <c r="M61" i="18" s="1"/>
  <c r="M49" i="18"/>
  <c r="T24" i="2"/>
  <c r="T49" i="2"/>
  <c r="M136" i="2"/>
  <c r="M145" i="2"/>
  <c r="V26" i="2"/>
  <c r="W197" i="2"/>
  <c r="W253" i="2"/>
  <c r="W28" i="2"/>
  <c r="X251" i="2"/>
  <c r="AC27" i="3"/>
  <c r="M54" i="18"/>
  <c r="H35" i="11"/>
  <c r="T30" i="11"/>
  <c r="T203" i="2"/>
  <c r="V114" i="2"/>
  <c r="W37" i="2"/>
  <c r="X308" i="2"/>
  <c r="X310" i="2" s="1"/>
  <c r="I20" i="23"/>
  <c r="I44" i="23" s="1"/>
  <c r="G44" i="23"/>
  <c r="T46" i="2"/>
  <c r="L108" i="2"/>
  <c r="P380" i="2"/>
  <c r="W276" i="2"/>
  <c r="V18" i="2"/>
  <c r="BF26" i="7"/>
  <c r="BF28" i="7" s="1"/>
  <c r="N108" i="2"/>
  <c r="T170" i="2"/>
  <c r="T171" i="2" s="1"/>
  <c r="T179" i="2" s="1"/>
  <c r="V179" i="2" s="1"/>
  <c r="W179" i="2" s="1"/>
  <c r="X179" i="2" s="1"/>
  <c r="Y179" i="2" s="1"/>
  <c r="Z179" i="2" s="1"/>
  <c r="AA179" i="2" s="1"/>
  <c r="N483" i="21"/>
  <c r="N266" i="21"/>
  <c r="O266" i="21" s="1"/>
  <c r="P266" i="21" s="1"/>
  <c r="Q266" i="21" s="1"/>
  <c r="R266" i="21" s="1"/>
  <c r="S266" i="21" s="1"/>
  <c r="T266" i="21" s="1"/>
  <c r="W33" i="2"/>
  <c r="O53" i="18" s="1"/>
  <c r="X284" i="2"/>
  <c r="BP437" i="1"/>
  <c r="BP265" i="1"/>
  <c r="P359" i="2" s="1"/>
  <c r="BN225" i="1"/>
  <c r="BP222" i="1"/>
  <c r="V25" i="27" l="1"/>
  <c r="U50" i="2"/>
  <c r="BS21" i="1"/>
  <c r="V52" i="27"/>
  <c r="V53" i="27" s="1"/>
  <c r="U52" i="27"/>
  <c r="U53" i="27" s="1"/>
  <c r="R52" i="27"/>
  <c r="R53" i="27" s="1"/>
  <c r="T52" i="27"/>
  <c r="T53" i="27" s="1"/>
  <c r="S52" i="27"/>
  <c r="S53" i="27" s="1"/>
  <c r="R6" i="27"/>
  <c r="AC7" i="3"/>
  <c r="AC25" i="3" s="1"/>
  <c r="T206" i="2"/>
  <c r="W180" i="2"/>
  <c r="X180" i="2" s="1"/>
  <c r="Y180" i="2" s="1"/>
  <c r="Z180" i="2" s="1"/>
  <c r="AA180" i="2" s="1"/>
  <c r="V185" i="2"/>
  <c r="G22" i="23"/>
  <c r="I22" i="23" s="1"/>
  <c r="I46" i="23" s="1"/>
  <c r="T21" i="2"/>
  <c r="M42" i="18" s="1"/>
  <c r="N702" i="21"/>
  <c r="M55" i="18"/>
  <c r="M137" i="2"/>
  <c r="BP439" i="1"/>
  <c r="P368" i="2"/>
  <c r="BP466" i="1"/>
  <c r="F6" i="5" s="1"/>
  <c r="CD9" i="9"/>
  <c r="BP35" i="1"/>
  <c r="BP252" i="1"/>
  <c r="BP464" i="1"/>
  <c r="Q83" i="11"/>
  <c r="T48" i="2"/>
  <c r="Y211" i="2"/>
  <c r="Y213" i="2" s="1"/>
  <c r="X27" i="2"/>
  <c r="W168" i="2"/>
  <c r="O45" i="18"/>
  <c r="O51" i="18"/>
  <c r="W201" i="2"/>
  <c r="O36" i="18"/>
  <c r="O62" i="18" s="1"/>
  <c r="AA11" i="18"/>
  <c r="BN275" i="1"/>
  <c r="BE10" i="7"/>
  <c r="BE34" i="7" s="1"/>
  <c r="BS272" i="1"/>
  <c r="W26" i="2"/>
  <c r="X197" i="2"/>
  <c r="Y301" i="2"/>
  <c r="X36" i="2"/>
  <c r="BM28" i="1"/>
  <c r="BM400" i="1"/>
  <c r="BM22" i="1"/>
  <c r="BM404" i="1"/>
  <c r="BM396" i="1"/>
  <c r="BM8" i="1"/>
  <c r="BM391" i="1"/>
  <c r="BM408" i="1"/>
  <c r="BM14" i="1"/>
  <c r="BR6" i="1"/>
  <c r="O482" i="21"/>
  <c r="N484" i="21"/>
  <c r="V102" i="2"/>
  <c r="T50" i="2"/>
  <c r="T68" i="2" s="1"/>
  <c r="T69" i="2" s="1"/>
  <c r="T53" i="2"/>
  <c r="L67" i="4"/>
  <c r="L68" i="4" s="1"/>
  <c r="L72" i="4" s="1"/>
  <c r="M13" i="18"/>
  <c r="AV425" i="1"/>
  <c r="AV442" i="1"/>
  <c r="AV445" i="1" s="1"/>
  <c r="AV420" i="1"/>
  <c r="AV421" i="1"/>
  <c r="N522" i="21"/>
  <c r="N455" i="21"/>
  <c r="N265" i="21"/>
  <c r="N519" i="21"/>
  <c r="N524" i="21"/>
  <c r="BO256" i="1"/>
  <c r="BT255" i="1"/>
  <c r="V173" i="2"/>
  <c r="N35" i="18"/>
  <c r="N61" i="18" s="1"/>
  <c r="N44" i="18"/>
  <c r="N49" i="18"/>
  <c r="BO266" i="1"/>
  <c r="G43" i="23"/>
  <c r="I19" i="23"/>
  <c r="G21" i="23"/>
  <c r="V24" i="2"/>
  <c r="W24" i="2" s="1"/>
  <c r="X24" i="2" s="1"/>
  <c r="Y24" i="2" s="1"/>
  <c r="Z24" i="2" s="1"/>
  <c r="AA24" i="2" s="1"/>
  <c r="T29" i="2"/>
  <c r="D80" i="4"/>
  <c r="D83" i="4" s="1"/>
  <c r="AV465" i="1"/>
  <c r="AV443" i="1" s="1"/>
  <c r="AV266" i="1"/>
  <c r="B5" i="5"/>
  <c r="H45" i="11"/>
  <c r="T35" i="11"/>
  <c r="L357" i="2"/>
  <c r="AV254" i="1"/>
  <c r="X190" i="2"/>
  <c r="W191" i="2"/>
  <c r="V9" i="2"/>
  <c r="W263" i="2"/>
  <c r="Y284" i="2"/>
  <c r="X33" i="2"/>
  <c r="P53" i="18" s="1"/>
  <c r="X37" i="2"/>
  <c r="Y308" i="2"/>
  <c r="Y310" i="2" s="1"/>
  <c r="W18" i="2"/>
  <c r="X276" i="2"/>
  <c r="AC73" i="3"/>
  <c r="T385" i="2"/>
  <c r="X14" i="2"/>
  <c r="Y162" i="2"/>
  <c r="N137" i="2"/>
  <c r="Y74" i="3"/>
  <c r="P385" i="2"/>
  <c r="L137" i="2"/>
  <c r="BE30" i="7"/>
  <c r="BN447" i="1"/>
  <c r="CB7" i="9"/>
  <c r="BN419" i="1"/>
  <c r="BS226" i="1"/>
  <c r="X28" i="2"/>
  <c r="Y251" i="2"/>
  <c r="X253" i="2"/>
  <c r="N466" i="21"/>
  <c r="O461" i="21"/>
  <c r="O464" i="21" s="1"/>
  <c r="N497" i="21"/>
  <c r="N462" i="21"/>
  <c r="N508" i="21"/>
  <c r="C37" i="25" s="1"/>
  <c r="L18" i="4"/>
  <c r="BN233" i="1"/>
  <c r="BO225" i="1"/>
  <c r="S54" i="27" l="1"/>
  <c r="V31" i="27"/>
  <c r="V13" i="27"/>
  <c r="T90" i="2"/>
  <c r="V57" i="27" s="1"/>
  <c r="V58" i="27" s="1"/>
  <c r="V59" i="27" s="1"/>
  <c r="T54" i="27"/>
  <c r="U54" i="27"/>
  <c r="M33" i="18"/>
  <c r="M59" i="18" s="1"/>
  <c r="V54" i="27"/>
  <c r="G46" i="23"/>
  <c r="T366" i="2"/>
  <c r="BL171" i="1"/>
  <c r="BC45" i="7" s="1"/>
  <c r="BC46" i="7"/>
  <c r="BP172" i="1"/>
  <c r="CY46" i="7" s="1"/>
  <c r="BC16" i="7"/>
  <c r="BC19" i="7"/>
  <c r="N457" i="21"/>
  <c r="N458" i="21" s="1"/>
  <c r="O265" i="21"/>
  <c r="V120" i="2"/>
  <c r="V107" i="2"/>
  <c r="V108" i="2" s="1"/>
  <c r="CO252" i="1"/>
  <c r="M9" i="4" s="1"/>
  <c r="V435" i="2"/>
  <c r="AV257" i="1"/>
  <c r="L426" i="2" s="1"/>
  <c r="N40" i="27" s="1"/>
  <c r="N50" i="27" s="1"/>
  <c r="AV255" i="1"/>
  <c r="AV256" i="1"/>
  <c r="G45" i="23"/>
  <c r="G23" i="23"/>
  <c r="O453" i="21"/>
  <c r="N454" i="21"/>
  <c r="N504" i="21"/>
  <c r="N506" i="21" s="1"/>
  <c r="N493" i="21"/>
  <c r="N495" i="21" s="1"/>
  <c r="N500" i="21" s="1"/>
  <c r="N535" i="21"/>
  <c r="O535" i="21" s="1"/>
  <c r="P535" i="21" s="1"/>
  <c r="Q535" i="21" s="1"/>
  <c r="R535" i="21" s="1"/>
  <c r="S535" i="21" s="1"/>
  <c r="T535" i="21" s="1"/>
  <c r="Z301" i="2"/>
  <c r="Y36" i="2"/>
  <c r="I43" i="23"/>
  <c r="I21" i="23"/>
  <c r="I45" i="23" s="1"/>
  <c r="Y197" i="2"/>
  <c r="X26" i="2"/>
  <c r="O35" i="18"/>
  <c r="O61" i="18" s="1"/>
  <c r="O44" i="18"/>
  <c r="O49" i="18"/>
  <c r="W173" i="2"/>
  <c r="X201" i="2"/>
  <c r="P45" i="18"/>
  <c r="P51" i="18"/>
  <c r="P36" i="18"/>
  <c r="P62" i="18" s="1"/>
  <c r="X168" i="2"/>
  <c r="Y276" i="2"/>
  <c r="X18" i="2"/>
  <c r="H46" i="11"/>
  <c r="H64" i="11" s="1"/>
  <c r="H72" i="11" s="1"/>
  <c r="H63" i="11"/>
  <c r="H71" i="11" s="1"/>
  <c r="T45" i="11"/>
  <c r="BO271" i="1"/>
  <c r="BO20" i="1" s="1"/>
  <c r="BO269" i="1"/>
  <c r="Y27" i="2"/>
  <c r="Z211" i="2"/>
  <c r="Z213" i="2" s="1"/>
  <c r="T52" i="2"/>
  <c r="AC138" i="3"/>
  <c r="AC136" i="3" s="1"/>
  <c r="AC137" i="3" s="1"/>
  <c r="X191" i="2"/>
  <c r="Y190" i="2"/>
  <c r="BO447" i="1"/>
  <c r="CC7" i="9"/>
  <c r="BF30" i="7"/>
  <c r="BO419" i="1"/>
  <c r="BT226" i="1"/>
  <c r="Y28" i="2"/>
  <c r="Z251" i="2"/>
  <c r="Y253" i="2"/>
  <c r="AC79" i="3"/>
  <c r="T388" i="2"/>
  <c r="BN442" i="1"/>
  <c r="BN425" i="1"/>
  <c r="BN426" i="1" s="1"/>
  <c r="BN423" i="1"/>
  <c r="BN421" i="1"/>
  <c r="BS420" i="1"/>
  <c r="Z308" i="2"/>
  <c r="Z310" i="2" s="1"/>
  <c r="Y37" i="2"/>
  <c r="AV426" i="1"/>
  <c r="AU425" i="1"/>
  <c r="Q95" i="11"/>
  <c r="Q84" i="11"/>
  <c r="Q96" i="11" s="1"/>
  <c r="BP266" i="1"/>
  <c r="H80" i="4"/>
  <c r="H83" i="4" s="1"/>
  <c r="CD10" i="9"/>
  <c r="F5" i="5"/>
  <c r="L70" i="4"/>
  <c r="L71" i="4"/>
  <c r="L107" i="4" s="1"/>
  <c r="L108" i="4"/>
  <c r="P130" i="2"/>
  <c r="P357" i="2"/>
  <c r="BP254" i="1"/>
  <c r="Y33" i="2"/>
  <c r="Q53" i="18" s="1"/>
  <c r="Z284" i="2"/>
  <c r="L83" i="2"/>
  <c r="L292" i="2" s="1"/>
  <c r="L296" i="2" s="1"/>
  <c r="L91" i="2" s="1"/>
  <c r="L85" i="2"/>
  <c r="AV269" i="1"/>
  <c r="AV271" i="1"/>
  <c r="BN455" i="1"/>
  <c r="BS448" i="1"/>
  <c r="BP224" i="1"/>
  <c r="BP225" i="1" s="1"/>
  <c r="BL225" i="1"/>
  <c r="BU224" i="1"/>
  <c r="BU225" i="1" s="1"/>
  <c r="BQ225" i="1"/>
  <c r="Z162" i="2"/>
  <c r="Y14" i="2"/>
  <c r="P388" i="2"/>
  <c r="Y79" i="3"/>
  <c r="W9" i="2"/>
  <c r="X263" i="2"/>
  <c r="T35" i="2"/>
  <c r="T42" i="2" s="1"/>
  <c r="T44" i="2" s="1"/>
  <c r="T1" i="2" s="1"/>
  <c r="M43" i="18"/>
  <c r="M46" i="18" s="1"/>
  <c r="M34" i="18"/>
  <c r="M60" i="18" s="1"/>
  <c r="N525" i="21"/>
  <c r="O539" i="21"/>
  <c r="C163" i="21"/>
  <c r="O529" i="21"/>
  <c r="BO233" i="1"/>
  <c r="V61" i="27" l="1"/>
  <c r="V63" i="27" s="1"/>
  <c r="T92" i="2"/>
  <c r="V6" i="27"/>
  <c r="V5" i="27"/>
  <c r="L428" i="2"/>
  <c r="N42" i="27" s="1"/>
  <c r="N8" i="27" s="1"/>
  <c r="AV20" i="1"/>
  <c r="AV21" i="1" s="1"/>
  <c r="BT21" i="1"/>
  <c r="N56" i="27"/>
  <c r="N58" i="27" s="1"/>
  <c r="N59" i="27" s="1"/>
  <c r="N53" i="27"/>
  <c r="N54" i="27" s="1"/>
  <c r="N498" i="21"/>
  <c r="N501" i="21" s="1"/>
  <c r="M37" i="18"/>
  <c r="M64" i="18" s="1"/>
  <c r="F2" i="5"/>
  <c r="CD7" i="9"/>
  <c r="BP447" i="1"/>
  <c r="BP419" i="1"/>
  <c r="H196" i="6"/>
  <c r="H197" i="6" s="1"/>
  <c r="Y263" i="2"/>
  <c r="X9" i="2"/>
  <c r="BP271" i="1"/>
  <c r="P83" i="2"/>
  <c r="P292" i="2" s="1"/>
  <c r="P296" i="2" s="1"/>
  <c r="P360" i="2" s="1"/>
  <c r="P362" i="2" s="1"/>
  <c r="P85" i="2"/>
  <c r="BP269" i="1"/>
  <c r="C34" i="25"/>
  <c r="C36" i="25" s="1"/>
  <c r="C39" i="25" s="1"/>
  <c r="N510" i="21"/>
  <c r="N513" i="21" s="1"/>
  <c r="L94" i="2"/>
  <c r="L92" i="2"/>
  <c r="C164" i="21"/>
  <c r="D163" i="21"/>
  <c r="Z33" i="2"/>
  <c r="R53" i="18" s="1"/>
  <c r="AA284" i="2"/>
  <c r="AA33" i="2" s="1"/>
  <c r="S53" i="18" s="1"/>
  <c r="Z27" i="2"/>
  <c r="AA211" i="2"/>
  <c r="AA213" i="2" s="1"/>
  <c r="AA27" i="2" s="1"/>
  <c r="Z28" i="2"/>
  <c r="AA251" i="2"/>
  <c r="Z253" i="2"/>
  <c r="I23" i="23"/>
  <c r="G47" i="23"/>
  <c r="G48" i="23" s="1"/>
  <c r="G24" i="23"/>
  <c r="Q45" i="18"/>
  <c r="Y201" i="2"/>
  <c r="Y168" i="2"/>
  <c r="Q51" i="18"/>
  <c r="Q36" i="18"/>
  <c r="Q62" i="18" s="1"/>
  <c r="BQ419" i="1"/>
  <c r="BQ226" i="1"/>
  <c r="BG30" i="7"/>
  <c r="BQ447" i="1"/>
  <c r="CE7" i="9"/>
  <c r="BV226" i="1"/>
  <c r="BP256" i="1"/>
  <c r="BU255" i="1"/>
  <c r="G2" i="5"/>
  <c r="CI7" i="9"/>
  <c r="BU226" i="1"/>
  <c r="BU447" i="1"/>
  <c r="BU419" i="1"/>
  <c r="BZ226" i="1"/>
  <c r="BF10" i="7"/>
  <c r="BF34" i="7" s="1"/>
  <c r="BO275" i="1"/>
  <c r="AB11" i="18"/>
  <c r="BT272" i="1"/>
  <c r="Z14" i="2"/>
  <c r="AA162" i="2"/>
  <c r="AA14" i="2" s="1"/>
  <c r="BC30" i="7"/>
  <c r="BL447" i="1"/>
  <c r="BL419" i="1"/>
  <c r="BZ7" i="9"/>
  <c r="P135" i="2"/>
  <c r="Y20" i="3"/>
  <c r="M30" i="11" s="1"/>
  <c r="M35" i="11" s="1"/>
  <c r="M45" i="11" s="1"/>
  <c r="P132" i="2"/>
  <c r="Q131" i="2"/>
  <c r="Z37" i="2"/>
  <c r="AA308" i="2"/>
  <c r="AA310" i="2" s="1"/>
  <c r="AA37" i="2" s="1"/>
  <c r="BO421" i="1"/>
  <c r="BO423" i="1"/>
  <c r="BO442" i="1"/>
  <c r="BO425" i="1"/>
  <c r="BO426" i="1" s="1"/>
  <c r="BT420" i="1"/>
  <c r="P35" i="18"/>
  <c r="P61" i="18" s="1"/>
  <c r="P49" i="18"/>
  <c r="X173" i="2"/>
  <c r="P44" i="18"/>
  <c r="Z197" i="2"/>
  <c r="Y26" i="2"/>
  <c r="AV258" i="1"/>
  <c r="E29" i="18"/>
  <c r="E64" i="18" s="1"/>
  <c r="BQ233" i="1"/>
  <c r="BU311" i="1"/>
  <c r="BN459" i="1"/>
  <c r="BN431" i="1"/>
  <c r="BN430" i="1"/>
  <c r="BS456" i="1"/>
  <c r="BN465" i="1"/>
  <c r="BO455" i="1"/>
  <c r="BT448" i="1"/>
  <c r="O621" i="21"/>
  <c r="V357" i="2"/>
  <c r="M90" i="4"/>
  <c r="CO254" i="1"/>
  <c r="Y191" i="2"/>
  <c r="Z190" i="2"/>
  <c r="Y18" i="2"/>
  <c r="Z276" i="2"/>
  <c r="BN306" i="1"/>
  <c r="BN230" i="1" s="1"/>
  <c r="BN231" i="1" s="1"/>
  <c r="BN234" i="1" s="1"/>
  <c r="BN312" i="1"/>
  <c r="BS308" i="1"/>
  <c r="CU10" i="7"/>
  <c r="CU34" i="7" s="1"/>
  <c r="AV272" i="1"/>
  <c r="E11" i="18"/>
  <c r="AV275" i="1"/>
  <c r="AV282" i="1"/>
  <c r="B12" i="5"/>
  <c r="B16" i="5" s="1"/>
  <c r="U29" i="3"/>
  <c r="L324" i="2"/>
  <c r="BN443" i="1"/>
  <c r="BN445" i="1"/>
  <c r="P265" i="21"/>
  <c r="O457" i="21"/>
  <c r="BP311" i="1"/>
  <c r="BP233" i="1" s="1"/>
  <c r="BL233" i="1"/>
  <c r="Y82" i="3"/>
  <c r="P390" i="2"/>
  <c r="R45" i="27" s="1"/>
  <c r="R10" i="27" s="1"/>
  <c r="R9" i="27" s="1"/>
  <c r="L360" i="2"/>
  <c r="L362" i="2" s="1"/>
  <c r="Z36" i="2"/>
  <c r="AA301" i="2"/>
  <c r="AA36" i="2" s="1"/>
  <c r="T390" i="2"/>
  <c r="V45" i="27" s="1"/>
  <c r="V10" i="27" s="1"/>
  <c r="V9" i="27" s="1"/>
  <c r="AC82" i="3"/>
  <c r="N61" i="27" l="1"/>
  <c r="N63" i="27" s="1"/>
  <c r="P428" i="2"/>
  <c r="R42" i="27" s="1"/>
  <c r="R8" i="27" s="1"/>
  <c r="BP20" i="1"/>
  <c r="M57" i="18"/>
  <c r="CO255" i="1"/>
  <c r="E6" i="26"/>
  <c r="AG6" i="26" s="1"/>
  <c r="T395" i="2"/>
  <c r="AC31" i="3"/>
  <c r="AC84" i="3"/>
  <c r="M92" i="4"/>
  <c r="AA253" i="2"/>
  <c r="AA28" i="2"/>
  <c r="M46" i="11"/>
  <c r="BU425" i="1"/>
  <c r="BU442" i="1"/>
  <c r="BU420" i="1"/>
  <c r="BU421" i="1"/>
  <c r="BZ420" i="1"/>
  <c r="S51" i="18"/>
  <c r="S45" i="18"/>
  <c r="AA201" i="2"/>
  <c r="AA168" i="2"/>
  <c r="S36" i="18"/>
  <c r="P367" i="2"/>
  <c r="P372" i="2" s="1"/>
  <c r="P373" i="2" s="1"/>
  <c r="Y30" i="3"/>
  <c r="Y15" i="3"/>
  <c r="BO459" i="1"/>
  <c r="BO431" i="1"/>
  <c r="BO430" i="1"/>
  <c r="BT456" i="1"/>
  <c r="BO465" i="1"/>
  <c r="P136" i="2"/>
  <c r="P145" i="2"/>
  <c r="Q411" i="2"/>
  <c r="BU463" i="1"/>
  <c r="BU371" i="1"/>
  <c r="BU455" i="1"/>
  <c r="BU448" i="1"/>
  <c r="BZ448" i="1"/>
  <c r="BQ442" i="1"/>
  <c r="BQ421" i="1"/>
  <c r="BQ420" i="1"/>
  <c r="BV420" i="1"/>
  <c r="BQ423" i="1"/>
  <c r="BQ425" i="1"/>
  <c r="BQ426" i="1" s="1"/>
  <c r="BU426" i="1" s="1"/>
  <c r="R51" i="18"/>
  <c r="Z168" i="2"/>
  <c r="R45" i="18"/>
  <c r="Z201" i="2"/>
  <c r="R36" i="18"/>
  <c r="R62" i="18" s="1"/>
  <c r="BP275" i="1"/>
  <c r="I11" i="18"/>
  <c r="E9" i="10"/>
  <c r="E24" i="10" s="1"/>
  <c r="Y29" i="3"/>
  <c r="F12" i="5"/>
  <c r="F16" i="5" s="1"/>
  <c r="CY10" i="7"/>
  <c r="CY34" i="7" s="1"/>
  <c r="BU272" i="1"/>
  <c r="L367" i="2"/>
  <c r="L372" i="2" s="1"/>
  <c r="L373" i="2" s="1"/>
  <c r="L374" i="2" s="1"/>
  <c r="U15" i="3"/>
  <c r="U30" i="3"/>
  <c r="Y9" i="2"/>
  <c r="Z263" i="2"/>
  <c r="P457" i="21"/>
  <c r="Q265" i="21"/>
  <c r="N183" i="21"/>
  <c r="D164" i="21"/>
  <c r="C171" i="21"/>
  <c r="C173" i="21" s="1"/>
  <c r="C168" i="21"/>
  <c r="AA276" i="2"/>
  <c r="AA18" i="2" s="1"/>
  <c r="Z18" i="2"/>
  <c r="BS460" i="1"/>
  <c r="BO443" i="1"/>
  <c r="BO445" i="1"/>
  <c r="BP442" i="1"/>
  <c r="BP425" i="1"/>
  <c r="BP421" i="1"/>
  <c r="Q44" i="18"/>
  <c r="Q35" i="18"/>
  <c r="Q61" i="18" s="1"/>
  <c r="Y173" i="2"/>
  <c r="Q49" i="18"/>
  <c r="AA197" i="2"/>
  <c r="AA26" i="2" s="1"/>
  <c r="Z26" i="2"/>
  <c r="BL312" i="1"/>
  <c r="BL306" i="1"/>
  <c r="BL230" i="1" s="1"/>
  <c r="BL231" i="1" s="1"/>
  <c r="BL234" i="1" s="1"/>
  <c r="BP307" i="1"/>
  <c r="BP371" i="1"/>
  <c r="P411" i="2"/>
  <c r="BP463" i="1"/>
  <c r="BP455" i="1"/>
  <c r="U14" i="3"/>
  <c r="D73" i="4"/>
  <c r="AV285" i="1"/>
  <c r="BV448" i="1"/>
  <c r="BQ448" i="1"/>
  <c r="BQ455" i="1"/>
  <c r="P395" i="2"/>
  <c r="Y84" i="3"/>
  <c r="Y31" i="3"/>
  <c r="BL425" i="1"/>
  <c r="BL426" i="1" s="1"/>
  <c r="BP426" i="1" s="1"/>
  <c r="BL421" i="1"/>
  <c r="BL442" i="1"/>
  <c r="BL423" i="1"/>
  <c r="BN236" i="1"/>
  <c r="AA6" i="18"/>
  <c r="BL455" i="1"/>
  <c r="BO306" i="1"/>
  <c r="BO230" i="1" s="1"/>
  <c r="BO231" i="1" s="1"/>
  <c r="BO234" i="1" s="1"/>
  <c r="BO312" i="1"/>
  <c r="BT308" i="1"/>
  <c r="Z191" i="2"/>
  <c r="AA190" i="2"/>
  <c r="BQ306" i="1"/>
  <c r="BQ230" i="1" s="1"/>
  <c r="BQ231" i="1" s="1"/>
  <c r="BQ234" i="1" s="1"/>
  <c r="BU307" i="1"/>
  <c r="BU328" i="1" s="1"/>
  <c r="BQ312" i="1"/>
  <c r="BQ308" i="1"/>
  <c r="BV308" i="1"/>
  <c r="BU233" i="1"/>
  <c r="I24" i="23"/>
  <c r="I47" i="23"/>
  <c r="I48" i="23" s="1"/>
  <c r="C60" i="25"/>
  <c r="C45" i="25"/>
  <c r="C47" i="25" s="1"/>
  <c r="BU21" i="1" l="1"/>
  <c r="AB6" i="18"/>
  <c r="BO236" i="1"/>
  <c r="BN279" i="1"/>
  <c r="BN5" i="1"/>
  <c r="BN413" i="1" s="1"/>
  <c r="AA8" i="18"/>
  <c r="BN245" i="1"/>
  <c r="BN246" i="1" s="1"/>
  <c r="BN250" i="1"/>
  <c r="BS237" i="1"/>
  <c r="BN259" i="1"/>
  <c r="BN273" i="1"/>
  <c r="BL445" i="1"/>
  <c r="BL443" i="1"/>
  <c r="BU444" i="1"/>
  <c r="BU445" i="1"/>
  <c r="BU306" i="1"/>
  <c r="BU230" i="1" s="1"/>
  <c r="BU231" i="1" s="1"/>
  <c r="BU308" i="1"/>
  <c r="BU312" i="1"/>
  <c r="P91" i="2"/>
  <c r="BP445" i="1"/>
  <c r="N184" i="21"/>
  <c r="AC6" i="18"/>
  <c r="BQ236" i="1"/>
  <c r="BP373" i="1"/>
  <c r="BQ443" i="1"/>
  <c r="BQ445" i="1"/>
  <c r="BT460" i="1"/>
  <c r="AA191" i="2"/>
  <c r="BP312" i="1"/>
  <c r="BP306" i="1"/>
  <c r="BP230" i="1" s="1"/>
  <c r="BP231" i="1" s="1"/>
  <c r="C52" i="25"/>
  <c r="C51" i="25"/>
  <c r="C53" i="25"/>
  <c r="BL236" i="1"/>
  <c r="Y6" i="18"/>
  <c r="R265" i="21"/>
  <c r="Q457" i="21"/>
  <c r="BU459" i="1"/>
  <c r="BU430" i="1"/>
  <c r="BU456" i="1"/>
  <c r="BU431" i="1"/>
  <c r="Q419" i="2" s="1"/>
  <c r="G3" i="5"/>
  <c r="BZ456" i="1"/>
  <c r="BU465" i="1"/>
  <c r="BU443" i="1" s="1"/>
  <c r="D159" i="11" s="1"/>
  <c r="Q374" i="2"/>
  <c r="BQ459" i="1"/>
  <c r="BQ431" i="1"/>
  <c r="BQ456" i="1"/>
  <c r="BQ430" i="1"/>
  <c r="BV456" i="1"/>
  <c r="BQ465" i="1"/>
  <c r="R44" i="18"/>
  <c r="R35" i="18"/>
  <c r="R61" i="18" s="1"/>
  <c r="R49" i="18"/>
  <c r="Z173" i="2"/>
  <c r="BU372" i="1"/>
  <c r="BU373" i="1"/>
  <c r="BZ372" i="1"/>
  <c r="S62" i="18"/>
  <c r="S44" i="18"/>
  <c r="AA173" i="2"/>
  <c r="S35" i="18"/>
  <c r="S49" i="18"/>
  <c r="BL465" i="1"/>
  <c r="BL459" i="1"/>
  <c r="BL431" i="1"/>
  <c r="BL430" i="1"/>
  <c r="Q137" i="2"/>
  <c r="Z9" i="2"/>
  <c r="AA263" i="2"/>
  <c r="BP465" i="1"/>
  <c r="BP443" i="1" s="1"/>
  <c r="F3" i="5"/>
  <c r="BP459" i="1"/>
  <c r="BP431" i="1"/>
  <c r="P419" i="2" s="1"/>
  <c r="BP430" i="1"/>
  <c r="BU374" i="1" l="1"/>
  <c r="BZ374" i="1"/>
  <c r="BV460" i="1"/>
  <c r="BQ460" i="1"/>
  <c r="BN28" i="1"/>
  <c r="BN22" i="1"/>
  <c r="BN8" i="1"/>
  <c r="BN14" i="1"/>
  <c r="BN396" i="1"/>
  <c r="BN400" i="1"/>
  <c r="BN391" i="1"/>
  <c r="BN404" i="1"/>
  <c r="BN408" i="1"/>
  <c r="BS6" i="1"/>
  <c r="AA9" i="2"/>
  <c r="BP234" i="1"/>
  <c r="CY32" i="7"/>
  <c r="P413" i="2"/>
  <c r="P422" i="2"/>
  <c r="P423" i="2" s="1"/>
  <c r="P94" i="2"/>
  <c r="P92" i="2"/>
  <c r="CZ32" i="7"/>
  <c r="BU234" i="1"/>
  <c r="BO273" i="1"/>
  <c r="AB8" i="18"/>
  <c r="BO245" i="1"/>
  <c r="BO246" i="1" s="1"/>
  <c r="BO279" i="1"/>
  <c r="BO5" i="1"/>
  <c r="BO413" i="1" s="1"/>
  <c r="BO250" i="1"/>
  <c r="BT237" i="1"/>
  <c r="BO259" i="1"/>
  <c r="BU460" i="1"/>
  <c r="Q422" i="2"/>
  <c r="Q423" i="2" s="1"/>
  <c r="Q413" i="2"/>
  <c r="BZ460" i="1"/>
  <c r="S265" i="21"/>
  <c r="R457" i="21"/>
  <c r="S61" i="18"/>
  <c r="P133" i="2"/>
  <c r="P76" i="2"/>
  <c r="BL5" i="1"/>
  <c r="BL413" i="1" s="1"/>
  <c r="BL250" i="1"/>
  <c r="Y8" i="18"/>
  <c r="BL259" i="1"/>
  <c r="BL245" i="1"/>
  <c r="BL246" i="1" s="1"/>
  <c r="P288" i="2"/>
  <c r="BL279" i="1"/>
  <c r="P264" i="2"/>
  <c r="P146" i="2"/>
  <c r="BL273" i="1"/>
  <c r="BQ237" i="1"/>
  <c r="BQ279" i="1"/>
  <c r="AC8" i="18"/>
  <c r="BQ245" i="1"/>
  <c r="BQ246" i="1" s="1"/>
  <c r="BQ5" i="1"/>
  <c r="BQ413" i="1" s="1"/>
  <c r="BQ250" i="1"/>
  <c r="BV237" i="1"/>
  <c r="BQ259" i="1"/>
  <c r="BQ273" i="1"/>
  <c r="BL391" i="1" l="1"/>
  <c r="BL400" i="1"/>
  <c r="BL396" i="1"/>
  <c r="BL8" i="1"/>
  <c r="BL404" i="1"/>
  <c r="BL408" i="1"/>
  <c r="BL28" i="1"/>
  <c r="BL14" i="1"/>
  <c r="BL22" i="1"/>
  <c r="S457" i="21"/>
  <c r="T265" i="21"/>
  <c r="T457" i="21" s="1"/>
  <c r="I6" i="18"/>
  <c r="BP236" i="1"/>
  <c r="J6" i="18"/>
  <c r="BU236" i="1"/>
  <c r="Q424" i="2"/>
  <c r="R424" i="2"/>
  <c r="BQ6" i="1"/>
  <c r="BQ408" i="1"/>
  <c r="BQ400" i="1"/>
  <c r="BQ28" i="1"/>
  <c r="BQ22" i="1"/>
  <c r="BQ396" i="1"/>
  <c r="BQ8" i="1"/>
  <c r="BQ14" i="1"/>
  <c r="BQ404" i="1"/>
  <c r="BQ391" i="1"/>
  <c r="BV6" i="1"/>
  <c r="BO8" i="1"/>
  <c r="BO22" i="1"/>
  <c r="BO28" i="1"/>
  <c r="BO14" i="1"/>
  <c r="BO408" i="1"/>
  <c r="BO404" i="1"/>
  <c r="BO396" i="1"/>
  <c r="BO400" i="1"/>
  <c r="BO391" i="1"/>
  <c r="BT6" i="1"/>
  <c r="CZ7" i="7" l="1"/>
  <c r="BU250" i="1"/>
  <c r="BU5" i="1"/>
  <c r="BU413" i="1" s="1"/>
  <c r="Q146" i="2"/>
  <c r="BU279" i="1"/>
  <c r="Q74" i="2"/>
  <c r="Q242" i="2"/>
  <c r="BU237" i="1"/>
  <c r="BU245" i="1"/>
  <c r="BU246" i="1" s="1"/>
  <c r="J8" i="18"/>
  <c r="Q76" i="2"/>
  <c r="Q255" i="2"/>
  <c r="Q249" i="2"/>
  <c r="Q252" i="2"/>
  <c r="Q416" i="2"/>
  <c r="S39" i="27" s="1"/>
  <c r="Q264" i="2"/>
  <c r="Q288" i="2"/>
  <c r="Q245" i="2"/>
  <c r="BU259" i="1"/>
  <c r="Q133" i="2"/>
  <c r="BU273" i="1"/>
  <c r="BP273" i="1"/>
  <c r="BP5" i="1"/>
  <c r="BP413" i="1" s="1"/>
  <c r="BP279" i="1"/>
  <c r="BP245" i="1"/>
  <c r="BP246" i="1" s="1"/>
  <c r="P255" i="2"/>
  <c r="CY7" i="7"/>
  <c r="P74" i="2"/>
  <c r="P245" i="2"/>
  <c r="P242" i="2"/>
  <c r="I8" i="18"/>
  <c r="P416" i="2"/>
  <c r="R39" i="27" s="1"/>
  <c r="P249" i="2"/>
  <c r="P252" i="2"/>
  <c r="BP250" i="1"/>
  <c r="BP259" i="1"/>
  <c r="BP28" i="1" l="1"/>
  <c r="Y18" i="3"/>
  <c r="Y246" i="3" s="1"/>
  <c r="BP22" i="1"/>
  <c r="E5" i="10"/>
  <c r="E20" i="10" s="1"/>
  <c r="BP8" i="1"/>
  <c r="BP14" i="1"/>
  <c r="BP396" i="1"/>
  <c r="BP408" i="1"/>
  <c r="BP391" i="1"/>
  <c r="BP404" i="1"/>
  <c r="BP400" i="1"/>
  <c r="P207" i="2"/>
  <c r="P432" i="2"/>
  <c r="BU22" i="1"/>
  <c r="BU8" i="1"/>
  <c r="BU9" i="1" s="1"/>
  <c r="BU6" i="1"/>
  <c r="BU14" i="1"/>
  <c r="BU28" i="1"/>
  <c r="Z18" i="3"/>
  <c r="Z246" i="3" s="1"/>
  <c r="F5" i="10"/>
  <c r="F20" i="10" s="1"/>
  <c r="BU400" i="1"/>
  <c r="BU396" i="1"/>
  <c r="BU404" i="1"/>
  <c r="BU408" i="1"/>
  <c r="BU391" i="1"/>
  <c r="CY30" i="7"/>
  <c r="CY8" i="7"/>
  <c r="CY31" i="7" s="1"/>
  <c r="Q223" i="2"/>
  <c r="Q222" i="2"/>
  <c r="Q207" i="2"/>
  <c r="Q432" i="2"/>
  <c r="Q181" i="2"/>
  <c r="CZ8" i="7"/>
  <c r="CZ31" i="7" s="1"/>
  <c r="CZ30" i="7"/>
  <c r="CZ48" i="7" l="1"/>
  <c r="CZ47" i="7"/>
  <c r="BP9" i="1"/>
  <c r="BP33" i="1"/>
  <c r="BP18" i="1"/>
  <c r="BU33" i="1"/>
  <c r="BU18" i="1"/>
  <c r="CY48" i="7"/>
  <c r="CY47" i="7"/>
  <c r="BK217" i="1" l="1"/>
  <c r="BB46" i="7" l="1"/>
  <c r="BJ171" i="1"/>
  <c r="BK172" i="1"/>
  <c r="CX46" i="7" s="1"/>
  <c r="BJ138" i="1"/>
  <c r="BJ220" i="1"/>
  <c r="BK219" i="1"/>
  <c r="BO220" i="1"/>
  <c r="BK171" i="1" l="1"/>
  <c r="CX45" i="7" s="1"/>
  <c r="BB45" i="7"/>
  <c r="BB16" i="7"/>
  <c r="BB19" i="7"/>
  <c r="BK174" i="1"/>
  <c r="BK220" i="1"/>
  <c r="BK138" i="1"/>
  <c r="BP220" i="1"/>
  <c r="BP175" i="1" l="1"/>
  <c r="BA11" i="7" l="1"/>
  <c r="BK27" i="1"/>
  <c r="BW13" i="9"/>
  <c r="BW14" i="9" s="1"/>
  <c r="W12" i="18"/>
  <c r="BI31" i="1"/>
  <c r="BI240" i="1"/>
  <c r="BK390" i="1"/>
  <c r="BI393" i="1"/>
  <c r="BI411" i="1"/>
  <c r="BN392" i="1"/>
  <c r="BI241" i="1"/>
  <c r="BK395" i="1"/>
  <c r="BN397" i="1"/>
  <c r="BK399" i="1"/>
  <c r="BI242" i="1"/>
  <c r="BI243" i="1"/>
  <c r="BK403" i="1"/>
  <c r="BN405" i="1"/>
  <c r="BN402" i="1"/>
  <c r="BK407" i="1"/>
  <c r="BI244" i="1"/>
  <c r="BN409" i="1"/>
  <c r="BI225" i="1"/>
  <c r="BY13" i="9" l="1"/>
  <c r="H12" i="18"/>
  <c r="CX11" i="7"/>
  <c r="CX35" i="7" s="1"/>
  <c r="D7" i="10"/>
  <c r="D22" i="10" s="1"/>
  <c r="X22" i="3"/>
  <c r="L51" i="11" s="1"/>
  <c r="BK31" i="1"/>
  <c r="BK32" i="1" s="1"/>
  <c r="BP29" i="1"/>
  <c r="BA24" i="7"/>
  <c r="BA35" i="7"/>
  <c r="BA16" i="7"/>
  <c r="BA19" i="7"/>
  <c r="BK242" i="1"/>
  <c r="BP401" i="1"/>
  <c r="BK244" i="1"/>
  <c r="BP409" i="1"/>
  <c r="BW7" i="9"/>
  <c r="BA30" i="7"/>
  <c r="BI447" i="1"/>
  <c r="BN226" i="1"/>
  <c r="BN412" i="1"/>
  <c r="BK241" i="1"/>
  <c r="BP397" i="1"/>
  <c r="BK240" i="1"/>
  <c r="BK393" i="1"/>
  <c r="BK411" i="1"/>
  <c r="BP392" i="1"/>
  <c r="BK243" i="1"/>
  <c r="BP405" i="1"/>
  <c r="BI233" i="1"/>
  <c r="V17" i="18" l="1"/>
  <c r="AZ38" i="7"/>
  <c r="BH203" i="1"/>
  <c r="BM137" i="1"/>
  <c r="BK136" i="1"/>
  <c r="BH137" i="1"/>
  <c r="BV6" i="9"/>
  <c r="BM159" i="1"/>
  <c r="BH168" i="1"/>
  <c r="BH161" i="1"/>
  <c r="AZ40" i="7"/>
  <c r="P57" i="11"/>
  <c r="L52" i="11"/>
  <c r="BN448" i="1"/>
  <c r="BI455" i="1"/>
  <c r="BP412" i="1"/>
  <c r="AZ23" i="7"/>
  <c r="BH266" i="1"/>
  <c r="BH271" i="1" s="1"/>
  <c r="BH20" i="1" s="1"/>
  <c r="BM21" i="1" s="1"/>
  <c r="BV10" i="9"/>
  <c r="AZ26" i="7"/>
  <c r="BM258" i="1"/>
  <c r="BA26" i="7"/>
  <c r="BH225" i="1"/>
  <c r="BA216" i="1"/>
  <c r="BB266" i="1"/>
  <c r="AN32" i="7"/>
  <c r="BK158" i="1" l="1"/>
  <c r="BA40" i="7"/>
  <c r="BI161" i="1"/>
  <c r="BI168" i="1"/>
  <c r="BN159" i="1"/>
  <c r="P58" i="11"/>
  <c r="P64" i="11" s="1"/>
  <c r="P72" i="11" s="1"/>
  <c r="P63" i="11"/>
  <c r="P71" i="11" s="1"/>
  <c r="AZ57" i="7"/>
  <c r="BH163" i="1"/>
  <c r="BM162" i="1"/>
  <c r="BM169" i="1"/>
  <c r="AZ16" i="7"/>
  <c r="BK105" i="1"/>
  <c r="BK203" i="1"/>
  <c r="BP137" i="1"/>
  <c r="CX38" i="7"/>
  <c r="H17" i="18"/>
  <c r="BY6" i="9"/>
  <c r="X251" i="3"/>
  <c r="BK137" i="1"/>
  <c r="BH205" i="1"/>
  <c r="BH204" i="1"/>
  <c r="BM204" i="1"/>
  <c r="BH392" i="1"/>
  <c r="BC392" i="1"/>
  <c r="BC240" i="1"/>
  <c r="BC411" i="1"/>
  <c r="AX397" i="1"/>
  <c r="AX241" i="1"/>
  <c r="BF216" i="1"/>
  <c r="BC393" i="1"/>
  <c r="BC138" i="1"/>
  <c r="BB271" i="1"/>
  <c r="BB20" i="1" s="1"/>
  <c r="BG21" i="1" s="1"/>
  <c r="BB269" i="1"/>
  <c r="AX252" i="1"/>
  <c r="AX254" i="1" s="1"/>
  <c r="BL9" i="9"/>
  <c r="AR23" i="7"/>
  <c r="V11" i="18"/>
  <c r="AZ10" i="7"/>
  <c r="AZ34" i="7" s="1"/>
  <c r="BH275" i="1"/>
  <c r="BM272" i="1"/>
  <c r="BC401" i="1"/>
  <c r="BC242" i="1"/>
  <c r="BQ9" i="9"/>
  <c r="BC252" i="1"/>
  <c r="BC254" i="1" s="1"/>
  <c r="AV23" i="7"/>
  <c r="V10" i="18"/>
  <c r="BK248" i="1"/>
  <c r="BH12" i="1"/>
  <c r="AZ9" i="7"/>
  <c r="BM249" i="1"/>
  <c r="BC241" i="1"/>
  <c r="BH397" i="1"/>
  <c r="BC397" i="1"/>
  <c r="AX243" i="1"/>
  <c r="AX405" i="1"/>
  <c r="BU9" i="9"/>
  <c r="BG252" i="1"/>
  <c r="BG254" i="1" s="1"/>
  <c r="BG439" i="1"/>
  <c r="BG35" i="1"/>
  <c r="AY12" i="7" s="1"/>
  <c r="BH278" i="1"/>
  <c r="BQ11" i="9"/>
  <c r="BK428" i="1"/>
  <c r="BV8" i="9"/>
  <c r="BV14" i="9" s="1"/>
  <c r="BM429" i="1"/>
  <c r="AS174" i="1"/>
  <c r="AS175" i="1" s="1"/>
  <c r="AS201" i="1"/>
  <c r="BH269" i="1"/>
  <c r="BC243" i="1"/>
  <c r="BC405" i="1"/>
  <c r="BH405" i="1"/>
  <c r="BH409" i="1"/>
  <c r="BC409" i="1"/>
  <c r="BC244" i="1"/>
  <c r="BN308" i="1"/>
  <c r="BI312" i="1"/>
  <c r="BI306" i="1"/>
  <c r="BI230" i="1" s="1"/>
  <c r="BI231" i="1" s="1"/>
  <c r="BI234" i="1" s="1"/>
  <c r="BI308" i="1"/>
  <c r="AT50" i="7"/>
  <c r="BA208" i="1"/>
  <c r="AZ209" i="1"/>
  <c r="BE209" i="1"/>
  <c r="AT51" i="7"/>
  <c r="BN258" i="1"/>
  <c r="AX409" i="1"/>
  <c r="AX244" i="1"/>
  <c r="AV26" i="7"/>
  <c r="BI465" i="1"/>
  <c r="BI443" i="1" s="1"/>
  <c r="BI266" i="1"/>
  <c r="BI271" i="1" s="1"/>
  <c r="BI20" i="1" s="1"/>
  <c r="BN21" i="1" s="1"/>
  <c r="BW10" i="9"/>
  <c r="AX242" i="1"/>
  <c r="AX401" i="1"/>
  <c r="BH226" i="1"/>
  <c r="AZ30" i="7"/>
  <c r="BH447" i="1"/>
  <c r="BV7" i="9"/>
  <c r="BM226" i="1"/>
  <c r="AR26" i="7"/>
  <c r="BC209" i="1"/>
  <c r="AV51" i="7"/>
  <c r="AV48" i="7" s="1"/>
  <c r="AV50" i="7"/>
  <c r="AV47" i="7" s="1"/>
  <c r="BF208" i="1"/>
  <c r="BH209" i="1"/>
  <c r="BC174" i="1"/>
  <c r="AX392" i="1"/>
  <c r="AX393" i="1"/>
  <c r="AX411" i="1"/>
  <c r="AX240" i="1"/>
  <c r="BN456" i="1"/>
  <c r="BI459" i="1"/>
  <c r="BI430" i="1"/>
  <c r="BI431" i="1"/>
  <c r="BA23" i="7"/>
  <c r="BA28" i="7" s="1"/>
  <c r="BH233" i="1"/>
  <c r="BK265" i="1"/>
  <c r="O359" i="2" s="1"/>
  <c r="BB26" i="7"/>
  <c r="AS26" i="7"/>
  <c r="AO32" i="7"/>
  <c r="AW26" i="7"/>
  <c r="BK263" i="1"/>
  <c r="BG225" i="1"/>
  <c r="BK222" i="1"/>
  <c r="AX412" i="1" l="1"/>
  <c r="BK205" i="1"/>
  <c r="BP204" i="1"/>
  <c r="BK168" i="1"/>
  <c r="X252" i="3" s="1"/>
  <c r="BN169" i="1"/>
  <c r="BP169" i="1" s="1"/>
  <c r="BK106" i="1"/>
  <c r="BP106" i="1"/>
  <c r="BA57" i="7"/>
  <c r="BN162" i="1"/>
  <c r="BI163" i="1"/>
  <c r="BJ163" i="1"/>
  <c r="CX40" i="7"/>
  <c r="BP159" i="1"/>
  <c r="BK161" i="1"/>
  <c r="BK262" i="1"/>
  <c r="O358" i="2" s="1"/>
  <c r="BG226" i="1"/>
  <c r="BG419" i="1"/>
  <c r="BG447" i="1"/>
  <c r="BU7" i="9"/>
  <c r="AY30" i="7"/>
  <c r="BL226" i="1"/>
  <c r="AY397" i="1"/>
  <c r="AY241" i="1"/>
  <c r="AW23" i="7"/>
  <c r="BH455" i="1"/>
  <c r="BH448" i="1"/>
  <c r="BM448" i="1"/>
  <c r="BD401" i="1"/>
  <c r="BD242" i="1"/>
  <c r="BI269" i="1"/>
  <c r="BF174" i="1"/>
  <c r="BI405" i="1"/>
  <c r="BD243" i="1"/>
  <c r="BD405" i="1"/>
  <c r="BI392" i="1"/>
  <c r="BD240" i="1"/>
  <c r="BD392" i="1"/>
  <c r="BD393" i="1"/>
  <c r="BD411" i="1"/>
  <c r="AS23" i="7"/>
  <c r="BF217" i="1"/>
  <c r="AV32" i="7"/>
  <c r="AX233" i="1"/>
  <c r="BH175" i="1"/>
  <c r="BH249" i="1"/>
  <c r="BC12" i="1"/>
  <c r="BH13" i="1" s="1"/>
  <c r="BF248" i="1"/>
  <c r="AV9" i="7"/>
  <c r="BC257" i="1"/>
  <c r="AY401" i="1"/>
  <c r="AY242" i="1"/>
  <c r="AX232" i="1"/>
  <c r="BC431" i="1"/>
  <c r="BF428" i="1"/>
  <c r="BK429" i="1" s="1"/>
  <c r="BQ8" i="9"/>
  <c r="BC430" i="1"/>
  <c r="BC464" i="1"/>
  <c r="BH429" i="1"/>
  <c r="AY243" i="1"/>
  <c r="AY405" i="1"/>
  <c r="AT174" i="1"/>
  <c r="AT175" i="1" s="1"/>
  <c r="AT201" i="1"/>
  <c r="BD464" i="1"/>
  <c r="BR9" i="9"/>
  <c r="BD252" i="1"/>
  <c r="BD254" i="1" s="1"/>
  <c r="BE232" i="1"/>
  <c r="BE234" i="1" s="1"/>
  <c r="BF310" i="1"/>
  <c r="BE312" i="1"/>
  <c r="AS312" i="1"/>
  <c r="AS308" i="1"/>
  <c r="BF209" i="1"/>
  <c r="CW51" i="7"/>
  <c r="BK209" i="1"/>
  <c r="AS232" i="1"/>
  <c r="BN460" i="1"/>
  <c r="E4" i="5"/>
  <c r="BY8" i="9"/>
  <c r="BY14" i="9" s="1"/>
  <c r="BP429" i="1"/>
  <c r="BC255" i="1"/>
  <c r="BB23" i="7"/>
  <c r="BB28" i="7" s="1"/>
  <c r="BK268" i="1"/>
  <c r="CV51" i="7"/>
  <c r="BA209" i="1"/>
  <c r="AY252" i="1"/>
  <c r="AY254" i="1" s="1"/>
  <c r="BM9" i="9"/>
  <c r="BX10" i="9"/>
  <c r="BJ266" i="1"/>
  <c r="BJ271" i="1" s="1"/>
  <c r="BJ20" i="1" s="1"/>
  <c r="BI275" i="1"/>
  <c r="BA10" i="7"/>
  <c r="BA34" i="7" s="1"/>
  <c r="W11" i="18"/>
  <c r="BN272" i="1"/>
  <c r="BI397" i="1"/>
  <c r="BD397" i="1"/>
  <c r="BD241" i="1"/>
  <c r="BK257" i="1"/>
  <c r="O426" i="2" s="1"/>
  <c r="Q40" i="27" s="1"/>
  <c r="Q50" i="27" s="1"/>
  <c r="BO258" i="1"/>
  <c r="AX174" i="1"/>
  <c r="AX175" i="1" s="1"/>
  <c r="AX201" i="1"/>
  <c r="BC201" i="1"/>
  <c r="AX255" i="1"/>
  <c r="BC412" i="1"/>
  <c r="BH412" i="1"/>
  <c r="BC419" i="1"/>
  <c r="AY393" i="1"/>
  <c r="AY240" i="1"/>
  <c r="AY392" i="1"/>
  <c r="AY411" i="1"/>
  <c r="BI409" i="1"/>
  <c r="BD409" i="1"/>
  <c r="BD244" i="1"/>
  <c r="AY409" i="1"/>
  <c r="AY244" i="1"/>
  <c r="BH419" i="1"/>
  <c r="BV9" i="9"/>
  <c r="BH439" i="1"/>
  <c r="BH35" i="1"/>
  <c r="AZ12" i="7" s="1"/>
  <c r="BH252" i="1"/>
  <c r="BH254" i="1" s="1"/>
  <c r="W6" i="18"/>
  <c r="BI236" i="1"/>
  <c r="BI273" i="1" s="1"/>
  <c r="AX220" i="1"/>
  <c r="AX225" i="1"/>
  <c r="AX138" i="1"/>
  <c r="BC220" i="1"/>
  <c r="AZ22" i="7"/>
  <c r="AZ28" i="7" s="1"/>
  <c r="AZ19" i="7"/>
  <c r="AZ33" i="7"/>
  <c r="BC235" i="1"/>
  <c r="BC236" i="1" s="1"/>
  <c r="BC250" i="1" s="1"/>
  <c r="BH16" i="1"/>
  <c r="BM13" i="1"/>
  <c r="AU10" i="7"/>
  <c r="AU34" i="7" s="1"/>
  <c r="BB282" i="1"/>
  <c r="BB275" i="1"/>
  <c r="BG272" i="1"/>
  <c r="AX312" i="1"/>
  <c r="AX308" i="1"/>
  <c r="BC308" i="1"/>
  <c r="BG256" i="1"/>
  <c r="BG255" i="1"/>
  <c r="BL255" i="1"/>
  <c r="O52" i="2"/>
  <c r="O341" i="2"/>
  <c r="O364" i="2" s="1"/>
  <c r="O365" i="2" s="1"/>
  <c r="H10" i="18"/>
  <c r="O418" i="2"/>
  <c r="Q41" i="27" s="1"/>
  <c r="Q13" i="27" s="1"/>
  <c r="BK12" i="1"/>
  <c r="O53" i="2"/>
  <c r="O356" i="2"/>
  <c r="O205" i="2" s="1"/>
  <c r="CX9" i="7"/>
  <c r="CX33" i="7" s="1"/>
  <c r="BP249" i="1"/>
  <c r="AY232" i="1"/>
  <c r="AT232" i="1"/>
  <c r="AY233" i="1"/>
  <c r="BA217" i="1"/>
  <c r="AP32" i="7"/>
  <c r="BA407" i="1"/>
  <c r="BF268" i="1"/>
  <c r="BA222" i="1"/>
  <c r="BA224" i="1"/>
  <c r="BA263" i="1"/>
  <c r="AX26" i="7"/>
  <c r="BA395" i="1"/>
  <c r="BF263" i="1"/>
  <c r="BJ225" i="1"/>
  <c r="BA437" i="1"/>
  <c r="BA390" i="1"/>
  <c r="BF390" i="1"/>
  <c r="BO21" i="1" l="1"/>
  <c r="AY412" i="1"/>
  <c r="Q6" i="27"/>
  <c r="Q5" i="27"/>
  <c r="Q53" i="27"/>
  <c r="Q56" i="27"/>
  <c r="Q58" i="27" s="1"/>
  <c r="R59" i="27" s="1"/>
  <c r="O366" i="2"/>
  <c r="O206" i="2"/>
  <c r="O82" i="2"/>
  <c r="BL163" i="1"/>
  <c r="BK163" i="1"/>
  <c r="BP162" i="1"/>
  <c r="CX57" i="7"/>
  <c r="BJ269" i="1"/>
  <c r="BF392" i="1"/>
  <c r="BF240" i="1"/>
  <c r="BK392" i="1"/>
  <c r="BF393" i="1"/>
  <c r="BA392" i="1"/>
  <c r="BA240" i="1"/>
  <c r="BA393" i="1"/>
  <c r="N84" i="2"/>
  <c r="N343" i="2"/>
  <c r="N61" i="2"/>
  <c r="N380" i="2" s="1"/>
  <c r="W74" i="3" s="1"/>
  <c r="M61" i="2"/>
  <c r="BA241" i="1"/>
  <c r="BA397" i="1"/>
  <c r="BO9" i="9"/>
  <c r="M368" i="2"/>
  <c r="BA464" i="1"/>
  <c r="BA252" i="1"/>
  <c r="BA466" i="1"/>
  <c r="C6" i="5" s="1"/>
  <c r="BA409" i="1"/>
  <c r="BA244" i="1"/>
  <c r="AT26" i="7"/>
  <c r="BA262" i="1"/>
  <c r="BB285" i="1"/>
  <c r="BL7" i="9"/>
  <c r="AR30" i="7"/>
  <c r="AX447" i="1"/>
  <c r="AR32" i="7"/>
  <c r="AR31" i="7"/>
  <c r="AX419" i="1"/>
  <c r="BC226" i="1"/>
  <c r="BD266" i="1"/>
  <c r="BR10" i="9"/>
  <c r="BA403" i="1"/>
  <c r="AZ405" i="1"/>
  <c r="AZ243" i="1"/>
  <c r="AX235" i="1"/>
  <c r="BI5" i="1"/>
  <c r="BI413" i="1" s="1"/>
  <c r="W8" i="18"/>
  <c r="BI279" i="1"/>
  <c r="BI245" i="1"/>
  <c r="BI246" i="1" s="1"/>
  <c r="BI250" i="1"/>
  <c r="BN237" i="1"/>
  <c r="BI259" i="1"/>
  <c r="BE397" i="1"/>
  <c r="BE241" i="1"/>
  <c r="BJ397" i="1"/>
  <c r="BK175" i="1"/>
  <c r="AW464" i="1"/>
  <c r="AW429" i="1"/>
  <c r="AW431" i="1"/>
  <c r="AW426" i="1"/>
  <c r="BB429" i="1"/>
  <c r="BK8" i="9"/>
  <c r="BK14" i="9" s="1"/>
  <c r="AW430" i="1"/>
  <c r="BE242" i="1"/>
  <c r="BE401" i="1"/>
  <c r="BF262" i="1"/>
  <c r="AQ9" i="7"/>
  <c r="BB249" i="1"/>
  <c r="AW257" i="1"/>
  <c r="AW12" i="1"/>
  <c r="AW249" i="1"/>
  <c r="AU201" i="1"/>
  <c r="AU174" i="1"/>
  <c r="AU175" i="1" s="1"/>
  <c r="BI35" i="1"/>
  <c r="BA12" i="7" s="1"/>
  <c r="BI439" i="1"/>
  <c r="BI252" i="1"/>
  <c r="BI254" i="1" s="1"/>
  <c r="BW9" i="9"/>
  <c r="BI419" i="1"/>
  <c r="AT23" i="7"/>
  <c r="BF407" i="1"/>
  <c r="BF409" i="1" s="1"/>
  <c r="BJ409" i="1"/>
  <c r="BE409" i="1"/>
  <c r="BE244" i="1"/>
  <c r="BE252" i="1"/>
  <c r="BE254" i="1" s="1"/>
  <c r="BE464" i="1"/>
  <c r="BE35" i="1"/>
  <c r="AX12" i="7" s="1"/>
  <c r="BS9" i="9"/>
  <c r="BF395" i="1"/>
  <c r="BH255" i="1"/>
  <c r="BH256" i="1"/>
  <c r="BM255" i="1"/>
  <c r="H29" i="18"/>
  <c r="H64" i="18" s="1"/>
  <c r="BP258" i="1"/>
  <c r="BO272" i="1"/>
  <c r="X11" i="18"/>
  <c r="BJ275" i="1"/>
  <c r="BB10" i="7"/>
  <c r="BB34" i="7" s="1"/>
  <c r="O61" i="2"/>
  <c r="O380" i="2" s="1"/>
  <c r="X74" i="3" s="1"/>
  <c r="O84" i="2"/>
  <c r="O343" i="2"/>
  <c r="O348" i="2" s="1"/>
  <c r="BH258" i="1"/>
  <c r="BC259" i="1"/>
  <c r="BH312" i="1"/>
  <c r="BH308" i="1"/>
  <c r="BH306" i="1"/>
  <c r="BH230" i="1" s="1"/>
  <c r="BH231" i="1" s="1"/>
  <c r="BH234" i="1" s="1"/>
  <c r="BM308" i="1"/>
  <c r="BC279" i="1"/>
  <c r="BC245" i="1"/>
  <c r="BC246" i="1" s="1"/>
  <c r="BC5" i="1"/>
  <c r="AV22" i="7"/>
  <c r="AV33" i="7"/>
  <c r="BD412" i="1"/>
  <c r="BI412" i="1"/>
  <c r="AX23" i="7"/>
  <c r="AX28" i="7" s="1"/>
  <c r="AY225" i="1"/>
  <c r="AY220" i="1"/>
  <c r="AY138" i="1"/>
  <c r="BD220" i="1"/>
  <c r="BK249" i="1"/>
  <c r="BF12" i="1"/>
  <c r="BK13" i="1" s="1"/>
  <c r="N53" i="2"/>
  <c r="G10" i="18"/>
  <c r="CW9" i="7"/>
  <c r="CW33" i="7" s="1"/>
  <c r="N418" i="2"/>
  <c r="P41" i="27" s="1"/>
  <c r="P13" i="27" s="1"/>
  <c r="BF249" i="1"/>
  <c r="N52" i="2"/>
  <c r="N356" i="2"/>
  <c r="N341" i="2"/>
  <c r="N364" i="2" s="1"/>
  <c r="N365" i="2" s="1"/>
  <c r="AZ393" i="1"/>
  <c r="AZ392" i="1"/>
  <c r="AZ240" i="1"/>
  <c r="AZ411" i="1"/>
  <c r="BA399" i="1"/>
  <c r="AZ242" i="1"/>
  <c r="AZ401" i="1"/>
  <c r="BN9" i="9"/>
  <c r="AZ252" i="1"/>
  <c r="AZ254" i="1" s="1"/>
  <c r="AZ244" i="1"/>
  <c r="AZ409" i="1"/>
  <c r="BH420" i="1"/>
  <c r="BC425" i="1"/>
  <c r="BC426" i="1" s="1"/>
  <c r="BC442" i="1"/>
  <c r="BC445" i="1" s="1"/>
  <c r="BC421" i="1"/>
  <c r="BC266" i="1"/>
  <c r="BQ10" i="9"/>
  <c r="BC465" i="1"/>
  <c r="BC16" i="1"/>
  <c r="AT312" i="1"/>
  <c r="AT308" i="1"/>
  <c r="BK224" i="1"/>
  <c r="BK225" i="1" s="1"/>
  <c r="BH442" i="1"/>
  <c r="BH445" i="1" s="1"/>
  <c r="BH421" i="1"/>
  <c r="BH425" i="1"/>
  <c r="BH426" i="1" s="1"/>
  <c r="BM420" i="1"/>
  <c r="AY255" i="1"/>
  <c r="AY174" i="1"/>
  <c r="AY201" i="1"/>
  <c r="BD201" i="1"/>
  <c r="BF232" i="1"/>
  <c r="BA219" i="1"/>
  <c r="BA218" i="1"/>
  <c r="BA268" i="1"/>
  <c r="BC175" i="1"/>
  <c r="BH456" i="1"/>
  <c r="BH459" i="1"/>
  <c r="BM456" i="1"/>
  <c r="BH465" i="1"/>
  <c r="BH443" i="1" s="1"/>
  <c r="BH430" i="1"/>
  <c r="BH431" i="1"/>
  <c r="BG455" i="1"/>
  <c r="BG448" i="1"/>
  <c r="BL448" i="1"/>
  <c r="BE243" i="1"/>
  <c r="BJ405" i="1"/>
  <c r="BE405" i="1"/>
  <c r="BO226" i="1"/>
  <c r="BB30" i="7"/>
  <c r="BJ447" i="1"/>
  <c r="BX7" i="9"/>
  <c r="BJ226" i="1"/>
  <c r="AY308" i="1"/>
  <c r="AY312" i="1"/>
  <c r="BD308" i="1"/>
  <c r="D6" i="10"/>
  <c r="BK16" i="1"/>
  <c r="BK17" i="1" s="1"/>
  <c r="X19" i="3"/>
  <c r="BP13" i="1"/>
  <c r="BF399" i="1"/>
  <c r="BF437" i="1"/>
  <c r="BT8" i="9"/>
  <c r="BF429" i="1"/>
  <c r="D4" i="5"/>
  <c r="BG442" i="1"/>
  <c r="BG445" i="1" s="1"/>
  <c r="BG420" i="1"/>
  <c r="BG421" i="1"/>
  <c r="BG425" i="1"/>
  <c r="BG426" i="1" s="1"/>
  <c r="BL420" i="1"/>
  <c r="BE411" i="1"/>
  <c r="BJ392" i="1"/>
  <c r="BE240" i="1"/>
  <c r="BE393" i="1"/>
  <c r="BE392" i="1"/>
  <c r="AZ241" i="1"/>
  <c r="AZ397" i="1"/>
  <c r="BG233" i="1"/>
  <c r="O58" i="2"/>
  <c r="O378" i="2"/>
  <c r="P420" i="2"/>
  <c r="BF403" i="1"/>
  <c r="BD255" i="1"/>
  <c r="BD257" i="1"/>
  <c r="AU232" i="1"/>
  <c r="AZ232" i="1"/>
  <c r="AZ233" i="1"/>
  <c r="AY235" i="1"/>
  <c r="BJ233" i="1"/>
  <c r="BF265" i="1"/>
  <c r="N359" i="2" s="1"/>
  <c r="BJ419" i="1"/>
  <c r="N206" i="2" l="1"/>
  <c r="N205" i="2"/>
  <c r="AZ412" i="1"/>
  <c r="BC14" i="1"/>
  <c r="BC413" i="1"/>
  <c r="R54" i="27"/>
  <c r="P5" i="27"/>
  <c r="P6" i="27"/>
  <c r="Q61" i="27"/>
  <c r="Q63" i="27" s="1"/>
  <c r="O68" i="2"/>
  <c r="O69" i="2" s="1"/>
  <c r="BA311" i="1"/>
  <c r="BA233" i="1" s="1"/>
  <c r="BA411" i="1"/>
  <c r="BF411" i="1"/>
  <c r="L25" i="11"/>
  <c r="X23" i="3"/>
  <c r="X247" i="3"/>
  <c r="BC249" i="1"/>
  <c r="AR9" i="7"/>
  <c r="AX257" i="1"/>
  <c r="AX12" i="1"/>
  <c r="AX249" i="1"/>
  <c r="N348" i="2"/>
  <c r="AS235" i="1"/>
  <c r="BK311" i="1"/>
  <c r="BK233" i="1" s="1"/>
  <c r="BC429" i="1"/>
  <c r="AX429" i="1"/>
  <c r="BL8" i="9"/>
  <c r="AX464" i="1"/>
  <c r="BE266" i="1"/>
  <c r="BE465" i="1"/>
  <c r="BS10" i="9"/>
  <c r="BK437" i="1"/>
  <c r="BK419" i="1" s="1"/>
  <c r="BJ252" i="1"/>
  <c r="BJ254" i="1" s="1"/>
  <c r="BX9" i="9"/>
  <c r="BJ439" i="1"/>
  <c r="BJ442" i="1" s="1"/>
  <c r="BJ445" i="1" s="1"/>
  <c r="BJ35" i="1"/>
  <c r="BB12" i="7" s="1"/>
  <c r="BL308" i="1"/>
  <c r="BG308" i="1"/>
  <c r="BG312" i="1"/>
  <c r="BG306" i="1"/>
  <c r="BG230" i="1" s="1"/>
  <c r="BG231" i="1" s="1"/>
  <c r="BG234" i="1" s="1"/>
  <c r="D8" i="10"/>
  <c r="D23" i="10" s="1"/>
  <c r="D21" i="10"/>
  <c r="E2" i="5"/>
  <c r="BY7" i="9"/>
  <c r="G196" i="6"/>
  <c r="G197" i="6" s="1"/>
  <c r="BK447" i="1"/>
  <c r="BP226" i="1"/>
  <c r="BE255" i="1"/>
  <c r="BE257" i="1"/>
  <c r="BE256" i="1"/>
  <c r="BC420" i="1"/>
  <c r="AX425" i="1"/>
  <c r="AX426" i="1" s="1"/>
  <c r="AX420" i="1"/>
  <c r="AX421" i="1"/>
  <c r="AZ174" i="1"/>
  <c r="AZ201" i="1"/>
  <c r="BE201" i="1"/>
  <c r="BA200" i="1"/>
  <c r="AY419" i="1"/>
  <c r="AY447" i="1"/>
  <c r="AS30" i="7"/>
  <c r="BM7" i="9"/>
  <c r="AS32" i="7"/>
  <c r="AS31" i="7"/>
  <c r="V6" i="18"/>
  <c r="BH236" i="1"/>
  <c r="AR48" i="7"/>
  <c r="AR47" i="7"/>
  <c r="AV307" i="1"/>
  <c r="AU308" i="1"/>
  <c r="AU312" i="1"/>
  <c r="AZ220" i="1"/>
  <c r="AZ225" i="1"/>
  <c r="BE220" i="1"/>
  <c r="BG456" i="1"/>
  <c r="BG431" i="1"/>
  <c r="BG430" i="1"/>
  <c r="BG465" i="1"/>
  <c r="BG443" i="1" s="1"/>
  <c r="BG459" i="1"/>
  <c r="BL456" i="1"/>
  <c r="N366" i="2"/>
  <c r="BA243" i="1"/>
  <c r="BA405" i="1"/>
  <c r="AX455" i="1"/>
  <c r="AX431" i="1" s="1"/>
  <c r="AX448" i="1"/>
  <c r="BC448" i="1"/>
  <c r="M357" i="2"/>
  <c r="BA254" i="1"/>
  <c r="BA307" i="1"/>
  <c r="AZ308" i="1"/>
  <c r="AZ312" i="1"/>
  <c r="BE308" i="1"/>
  <c r="AZ255" i="1"/>
  <c r="BB13" i="1"/>
  <c r="BO10" i="9"/>
  <c r="E80" i="4"/>
  <c r="E83" i="4" s="1"/>
  <c r="BA266" i="1"/>
  <c r="C5" i="5"/>
  <c r="BF244" i="1"/>
  <c r="BK409" i="1"/>
  <c r="BB258" i="1"/>
  <c r="AW258" i="1"/>
  <c r="BF464" i="1"/>
  <c r="BT9" i="9"/>
  <c r="BF466" i="1"/>
  <c r="D6" i="5" s="1"/>
  <c r="BF252" i="1"/>
  <c r="N368" i="2"/>
  <c r="O420" i="2"/>
  <c r="N378" i="2"/>
  <c r="N420" i="2"/>
  <c r="N58" i="2"/>
  <c r="N68" i="2" s="1"/>
  <c r="N69" i="2" s="1"/>
  <c r="BD271" i="1"/>
  <c r="BD20" i="1" s="1"/>
  <c r="BD269" i="1"/>
  <c r="BI258" i="1"/>
  <c r="BK401" i="1"/>
  <c r="BF242" i="1"/>
  <c r="BF401" i="1"/>
  <c r="AY175" i="1"/>
  <c r="BD175" i="1"/>
  <c r="AV310" i="1"/>
  <c r="AV232" i="1" s="1"/>
  <c r="AQ22" i="7"/>
  <c r="AQ28" i="7" s="1"/>
  <c r="AQ33" i="7"/>
  <c r="BI421" i="1"/>
  <c r="BI442" i="1"/>
  <c r="BI445" i="1" s="1"/>
  <c r="BI425" i="1"/>
  <c r="BI426" i="1" s="1"/>
  <c r="BN420" i="1"/>
  <c r="BC271" i="1"/>
  <c r="BC20" i="1" s="1"/>
  <c r="BH21" i="1" s="1"/>
  <c r="BC269" i="1"/>
  <c r="BA401" i="1"/>
  <c r="BA242" i="1"/>
  <c r="N82" i="2"/>
  <c r="N358" i="2"/>
  <c r="M358" i="2"/>
  <c r="M82" i="2"/>
  <c r="BO420" i="1"/>
  <c r="BJ425" i="1"/>
  <c r="BJ426" i="1" s="1"/>
  <c r="BJ421" i="1"/>
  <c r="BA174" i="1"/>
  <c r="BA220" i="1"/>
  <c r="BA225" i="1"/>
  <c r="BF220" i="1"/>
  <c r="BO448" i="1"/>
  <c r="BJ448" i="1"/>
  <c r="BJ455" i="1"/>
  <c r="BH460" i="1"/>
  <c r="BM460" i="1"/>
  <c r="BF243" i="1"/>
  <c r="BF405" i="1"/>
  <c r="BK405" i="1"/>
  <c r="BJ412" i="1"/>
  <c r="BE412" i="1"/>
  <c r="BE419" i="1"/>
  <c r="C6" i="10"/>
  <c r="BF16" i="1"/>
  <c r="W19" i="3"/>
  <c r="BF13" i="1"/>
  <c r="BC8" i="1"/>
  <c r="BC391" i="1"/>
  <c r="BC400" i="1"/>
  <c r="BC396" i="1"/>
  <c r="BC404" i="1"/>
  <c r="BC408" i="1"/>
  <c r="BK397" i="1"/>
  <c r="BF397" i="1"/>
  <c r="BF241" i="1"/>
  <c r="BI255" i="1"/>
  <c r="BI256" i="1"/>
  <c r="BN255" i="1"/>
  <c r="M68" i="2"/>
  <c r="M69" i="2" s="1"/>
  <c r="M380" i="2"/>
  <c r="AW445" i="1"/>
  <c r="AW266" i="1"/>
  <c r="BK10" i="9"/>
  <c r="AW465" i="1"/>
  <c r="O385" i="2"/>
  <c r="X72" i="3"/>
  <c r="M343" i="2"/>
  <c r="M348" i="2" s="1"/>
  <c r="M84" i="2"/>
  <c r="BI28" i="1"/>
  <c r="BI22" i="1"/>
  <c r="BI14" i="1"/>
  <c r="BI8" i="1"/>
  <c r="BN6" i="1"/>
  <c r="BI396" i="1"/>
  <c r="BI404" i="1"/>
  <c r="BI391" i="1"/>
  <c r="BI408" i="1"/>
  <c r="BI400" i="1"/>
  <c r="BA310" i="1"/>
  <c r="BA232" i="1" s="1"/>
  <c r="BK307" i="1"/>
  <c r="BE235" i="1"/>
  <c r="BE236" i="1" s="1"/>
  <c r="AT235" i="1"/>
  <c r="BC22" i="1" l="1"/>
  <c r="BK412" i="1"/>
  <c r="BA412" i="1"/>
  <c r="AQ42" i="7"/>
  <c r="AX87" i="1"/>
  <c r="AX90" i="1" s="1"/>
  <c r="AX324" i="1" s="1"/>
  <c r="AX321" i="1" s="1"/>
  <c r="AU75" i="1"/>
  <c r="AU76" i="1" s="1"/>
  <c r="AU77" i="1" s="1"/>
  <c r="AV89" i="1"/>
  <c r="AP42" i="7"/>
  <c r="AM42" i="7"/>
  <c r="AR75" i="1"/>
  <c r="AR76" i="1" s="1"/>
  <c r="AR77" i="1" s="1"/>
  <c r="AS87" i="1"/>
  <c r="AS90" i="1" s="1"/>
  <c r="AS324" i="1" s="1"/>
  <c r="AS321" i="1" s="1"/>
  <c r="AN42" i="7"/>
  <c r="AS75" i="1"/>
  <c r="AS76" i="1" s="1"/>
  <c r="AS77" i="1" s="1"/>
  <c r="AT87" i="1"/>
  <c r="AT90" i="1" s="1"/>
  <c r="AT324" i="1" s="1"/>
  <c r="AT321" i="1" s="1"/>
  <c r="AQ89" i="1"/>
  <c r="AP75" i="1"/>
  <c r="AP76" i="1" s="1"/>
  <c r="AP77" i="1" s="1"/>
  <c r="AL42" i="7"/>
  <c r="AT75" i="1"/>
  <c r="AT76" i="1" s="1"/>
  <c r="AT77" i="1" s="1"/>
  <c r="AU87" i="1"/>
  <c r="AU90" i="1" s="1"/>
  <c r="AU324" i="1" s="1"/>
  <c r="AU321" i="1" s="1"/>
  <c r="AO42" i="7"/>
  <c r="AP87" i="1"/>
  <c r="AP90" i="1" s="1"/>
  <c r="AP324" i="1" s="1"/>
  <c r="AP321" i="1" s="1"/>
  <c r="AO75" i="1"/>
  <c r="AO76" i="1" s="1"/>
  <c r="AO77" i="1" s="1"/>
  <c r="AK42" i="7"/>
  <c r="AO87" i="1"/>
  <c r="AO90" i="1" s="1"/>
  <c r="AO324" i="1" s="1"/>
  <c r="AO321" i="1" s="1"/>
  <c r="AN75" i="1"/>
  <c r="AN76" i="1" s="1"/>
  <c r="AN77" i="1" s="1"/>
  <c r="AJ42" i="7"/>
  <c r="AN87" i="1"/>
  <c r="AN90" i="1" s="1"/>
  <c r="AN324" i="1" s="1"/>
  <c r="AN321" i="1" s="1"/>
  <c r="AI42" i="7"/>
  <c r="AM75" i="1"/>
  <c r="AM76" i="1" s="1"/>
  <c r="AM77" i="1" s="1"/>
  <c r="AZ171" i="1"/>
  <c r="AT45" i="7" s="1"/>
  <c r="AZ53" i="1"/>
  <c r="BA96" i="1"/>
  <c r="BN3" i="9"/>
  <c r="AZ95" i="1"/>
  <c r="AZ97" i="1"/>
  <c r="AZ138" i="1" s="1"/>
  <c r="AZ167" i="1"/>
  <c r="BE98" i="1"/>
  <c r="AZ98" i="1"/>
  <c r="AT41" i="7"/>
  <c r="AZ87" i="1"/>
  <c r="AS42" i="7"/>
  <c r="AR42" i="7"/>
  <c r="AY87" i="1"/>
  <c r="AY90" i="1" s="1"/>
  <c r="AY324" i="1" s="1"/>
  <c r="AY321" i="1" s="1"/>
  <c r="BF412" i="1"/>
  <c r="BK426" i="1"/>
  <c r="BP308" i="1"/>
  <c r="BK308" i="1"/>
  <c r="BK312" i="1"/>
  <c r="BK306" i="1"/>
  <c r="BK230" i="1" s="1"/>
  <c r="BK231" i="1" s="1"/>
  <c r="AV308" i="1"/>
  <c r="AV312" i="1"/>
  <c r="BK425" i="1"/>
  <c r="BK421" i="1"/>
  <c r="BP420" i="1"/>
  <c r="BK35" i="1"/>
  <c r="BK439" i="1"/>
  <c r="BK442" i="1" s="1"/>
  <c r="O91" i="2" s="1"/>
  <c r="O368" i="2"/>
  <c r="BK252" i="1"/>
  <c r="BY9" i="9"/>
  <c r="BK466" i="1"/>
  <c r="E6" i="5" s="1"/>
  <c r="BK464" i="1"/>
  <c r="BJ459" i="1"/>
  <c r="BJ431" i="1"/>
  <c r="BJ430" i="1"/>
  <c r="BJ456" i="1"/>
  <c r="BO456" i="1"/>
  <c r="BJ465" i="1"/>
  <c r="BJ443" i="1" s="1"/>
  <c r="BI272" i="1"/>
  <c r="BD282" i="1"/>
  <c r="BD285" i="1" s="1"/>
  <c r="AW10" i="7"/>
  <c r="AW34" i="7" s="1"/>
  <c r="BG460" i="1"/>
  <c r="BL460" i="1"/>
  <c r="AZ175" i="1"/>
  <c r="BE175" i="1"/>
  <c r="AY429" i="1"/>
  <c r="BD429" i="1"/>
  <c r="BM8" i="9"/>
  <c r="AY464" i="1"/>
  <c r="BF308" i="1"/>
  <c r="BA308" i="1"/>
  <c r="BA312" i="1"/>
  <c r="BH245" i="1"/>
  <c r="BH246" i="1" s="1"/>
  <c r="V8" i="18"/>
  <c r="BH237" i="1"/>
  <c r="BH279" i="1"/>
  <c r="BH5" i="1"/>
  <c r="BH413" i="1" s="1"/>
  <c r="BM237" i="1"/>
  <c r="BH259" i="1"/>
  <c r="BH250" i="1"/>
  <c r="BH273" i="1"/>
  <c r="BD249" i="1"/>
  <c r="AS9" i="7"/>
  <c r="AY249" i="1"/>
  <c r="AY12" i="1"/>
  <c r="AY257" i="1"/>
  <c r="BE271" i="1"/>
  <c r="BE20" i="1" s="1"/>
  <c r="BJ21" i="1" s="1"/>
  <c r="BE269" i="1"/>
  <c r="BA255" i="1"/>
  <c r="BA257" i="1"/>
  <c r="M426" i="2" s="1"/>
  <c r="O40" i="27" s="1"/>
  <c r="O50" i="27" s="1"/>
  <c r="C21" i="10"/>
  <c r="G29" i="10"/>
  <c r="N385" i="2"/>
  <c r="W72" i="3"/>
  <c r="AS48" i="7"/>
  <c r="AS47" i="7"/>
  <c r="BC13" i="1"/>
  <c r="O388" i="2"/>
  <c r="X79" i="3"/>
  <c r="BE425" i="1"/>
  <c r="BE426" i="1" s="1"/>
  <c r="BE442" i="1"/>
  <c r="BE445" i="1" s="1"/>
  <c r="BE421" i="1"/>
  <c r="BA269" i="1"/>
  <c r="M83" i="2"/>
  <c r="M292" i="2" s="1"/>
  <c r="M296" i="2" s="1"/>
  <c r="M360" i="2" s="1"/>
  <c r="M362" i="2" s="1"/>
  <c r="M85" i="2"/>
  <c r="BA271" i="1"/>
  <c r="U6" i="18"/>
  <c r="BG236" i="1"/>
  <c r="BC258" i="1"/>
  <c r="AX258" i="1"/>
  <c r="AR22" i="7"/>
  <c r="AR33" i="7"/>
  <c r="AR278" i="1"/>
  <c r="AR275" i="1"/>
  <c r="E196" i="6"/>
  <c r="E197" i="6" s="1"/>
  <c r="BA419" i="1"/>
  <c r="BO7" i="9"/>
  <c r="BA447" i="1"/>
  <c r="C2" i="5"/>
  <c r="AX430" i="1"/>
  <c r="AX459" i="1"/>
  <c r="AX456" i="1"/>
  <c r="BC456" i="1"/>
  <c r="AT30" i="7"/>
  <c r="BN7" i="9"/>
  <c r="AZ419" i="1"/>
  <c r="AZ447" i="1"/>
  <c r="AT32" i="7"/>
  <c r="AT31" i="7"/>
  <c r="BE226" i="1"/>
  <c r="AX445" i="1"/>
  <c r="AX465" i="1"/>
  <c r="AX266" i="1"/>
  <c r="BL10" i="9"/>
  <c r="BO308" i="1"/>
  <c r="BJ306" i="1"/>
  <c r="BJ230" i="1" s="1"/>
  <c r="BJ231" i="1" s="1"/>
  <c r="BJ234" i="1" s="1"/>
  <c r="BJ312" i="1"/>
  <c r="BJ308" i="1"/>
  <c r="W247" i="3"/>
  <c r="K25" i="11"/>
  <c r="K35" i="11" s="1"/>
  <c r="K45" i="11" s="1"/>
  <c r="BF277" i="1"/>
  <c r="BF283" i="1" s="1"/>
  <c r="BD275" i="1"/>
  <c r="BR11" i="9"/>
  <c r="BI278" i="1"/>
  <c r="AW269" i="1"/>
  <c r="AW271" i="1"/>
  <c r="AW20" i="1" s="1"/>
  <c r="BA175" i="1"/>
  <c r="BF175" i="1"/>
  <c r="N357" i="2"/>
  <c r="BF254" i="1"/>
  <c r="AY448" i="1"/>
  <c r="AY455" i="1"/>
  <c r="AY431" i="1" s="1"/>
  <c r="BJ258" i="1"/>
  <c r="BE259" i="1"/>
  <c r="AV10" i="7"/>
  <c r="AV34" i="7" s="1"/>
  <c r="BC273" i="1"/>
  <c r="BC282" i="1"/>
  <c r="BH272" i="1"/>
  <c r="BC275" i="1"/>
  <c r="AY420" i="1"/>
  <c r="AY421" i="1"/>
  <c r="AY425" i="1"/>
  <c r="X248" i="3"/>
  <c r="X24" i="3"/>
  <c r="X249" i="3" s="1"/>
  <c r="X127" i="3"/>
  <c r="X136" i="3" s="1"/>
  <c r="X137" i="3" s="1"/>
  <c r="BB278" i="1"/>
  <c r="BK11" i="9"/>
  <c r="AW278" i="1"/>
  <c r="M385" i="2"/>
  <c r="V74" i="3"/>
  <c r="BE245" i="1"/>
  <c r="BE246" i="1" s="1"/>
  <c r="BE5" i="1"/>
  <c r="BE413" i="1" s="1"/>
  <c r="BE250" i="1"/>
  <c r="BE279" i="1"/>
  <c r="F80" i="4"/>
  <c r="F83" i="4" s="1"/>
  <c r="D5" i="5"/>
  <c r="BF266" i="1"/>
  <c r="BT10" i="9"/>
  <c r="BA201" i="1"/>
  <c r="BF201" i="1"/>
  <c r="BK455" i="1"/>
  <c r="BK463" i="1"/>
  <c r="BK371" i="1"/>
  <c r="O411" i="2"/>
  <c r="BP448" i="1"/>
  <c r="BJ420" i="1"/>
  <c r="BJ255" i="1"/>
  <c r="BJ256" i="1"/>
  <c r="BO255" i="1"/>
  <c r="AU235" i="1"/>
  <c r="M428" i="2" l="1"/>
  <c r="O42" i="27" s="1"/>
  <c r="O8" i="27" s="1"/>
  <c r="BA20" i="1"/>
  <c r="AX88" i="1"/>
  <c r="O56" i="27"/>
  <c r="O58" i="27" s="1"/>
  <c r="O61" i="27" s="1"/>
  <c r="O63" i="27" s="1"/>
  <c r="O53" i="27"/>
  <c r="O54" i="27" s="1"/>
  <c r="AU88" i="1"/>
  <c r="AT88" i="1"/>
  <c r="AT322" i="1"/>
  <c r="AT305" i="1"/>
  <c r="AT306" i="1" s="1"/>
  <c r="AT230" i="1" s="1"/>
  <c r="AT229" i="1"/>
  <c r="V51" i="3"/>
  <c r="V243" i="3" s="1"/>
  <c r="F16" i="18"/>
  <c r="BA167" i="1"/>
  <c r="BA98" i="1"/>
  <c r="BA95" i="1"/>
  <c r="BA126" i="1" s="1"/>
  <c r="BA127" i="1" s="1"/>
  <c r="BO3" i="9"/>
  <c r="BF94" i="1"/>
  <c r="CV41" i="7"/>
  <c r="BA97" i="1"/>
  <c r="BF98" i="1"/>
  <c r="BF97" i="1"/>
  <c r="M399" i="2"/>
  <c r="BB94" i="1"/>
  <c r="AP229" i="1"/>
  <c r="AP305" i="1"/>
  <c r="AP306" i="1" s="1"/>
  <c r="BA53" i="1"/>
  <c r="AZ42" i="1"/>
  <c r="BD322" i="1"/>
  <c r="AY229" i="1"/>
  <c r="AY322" i="1"/>
  <c r="AY305" i="1"/>
  <c r="AY306" i="1" s="1"/>
  <c r="AY230" i="1" s="1"/>
  <c r="AS229" i="1"/>
  <c r="AS305" i="1"/>
  <c r="AS306" i="1" s="1"/>
  <c r="AS230" i="1" s="1"/>
  <c r="AS322" i="1"/>
  <c r="BA89" i="1"/>
  <c r="AT42" i="7"/>
  <c r="AZ88" i="1"/>
  <c r="AU229" i="1"/>
  <c r="AU305" i="1"/>
  <c r="AU306" i="1" s="1"/>
  <c r="AU230" i="1" s="1"/>
  <c r="AU322" i="1"/>
  <c r="AY88" i="1"/>
  <c r="AZ90" i="1"/>
  <c r="AZ324" i="1" s="1"/>
  <c r="AZ321" i="1" s="1"/>
  <c r="AN305" i="1"/>
  <c r="AN306" i="1" s="1"/>
  <c r="AN229" i="1"/>
  <c r="AN88" i="1"/>
  <c r="AP88" i="1"/>
  <c r="AW87" i="1"/>
  <c r="AV75" i="1"/>
  <c r="AV76" i="1" s="1"/>
  <c r="AV77" i="1" s="1"/>
  <c r="BA87" i="1"/>
  <c r="AO305" i="1"/>
  <c r="AO306" i="1" s="1"/>
  <c r="AO229" i="1"/>
  <c r="AV87" i="1"/>
  <c r="AV90" i="1" s="1"/>
  <c r="AV324" i="1" s="1"/>
  <c r="AR87" i="1"/>
  <c r="AQ75" i="1"/>
  <c r="AQ76" i="1" s="1"/>
  <c r="AQ77" i="1" s="1"/>
  <c r="BC322" i="1"/>
  <c r="AX305" i="1"/>
  <c r="AX306" i="1" s="1"/>
  <c r="AX230" i="1" s="1"/>
  <c r="AX229" i="1"/>
  <c r="AX322" i="1"/>
  <c r="AO88" i="1"/>
  <c r="AS88" i="1"/>
  <c r="AV313" i="1"/>
  <c r="AV235" i="1" s="1"/>
  <c r="E7" i="18" s="1"/>
  <c r="O94" i="2"/>
  <c r="O92" i="2"/>
  <c r="BC278" i="1"/>
  <c r="BL11" i="9"/>
  <c r="BB272" i="1"/>
  <c r="AW282" i="1"/>
  <c r="AW272" i="1"/>
  <c r="AQ10" i="7"/>
  <c r="AQ34" i="7" s="1"/>
  <c r="AX460" i="1"/>
  <c r="BC460" i="1"/>
  <c r="AY258" i="1"/>
  <c r="BD258" i="1"/>
  <c r="BO460" i="1"/>
  <c r="W79" i="3"/>
  <c r="N388" i="2"/>
  <c r="BD13" i="1"/>
  <c r="G80" i="4"/>
  <c r="G83" i="4" s="1"/>
  <c r="E5" i="5"/>
  <c r="BY10" i="9"/>
  <c r="BK465" i="1"/>
  <c r="BK443" i="1" s="1"/>
  <c r="BK266" i="1"/>
  <c r="BK445" i="1"/>
  <c r="AZ464" i="1"/>
  <c r="BE429" i="1"/>
  <c r="BN8" i="9"/>
  <c r="AZ429" i="1"/>
  <c r="BB21" i="1"/>
  <c r="BA448" i="1"/>
  <c r="BA371" i="1"/>
  <c r="BA463" i="1"/>
  <c r="M411" i="2"/>
  <c r="BA455" i="1"/>
  <c r="AS22" i="7"/>
  <c r="AS33" i="7"/>
  <c r="AZ257" i="1"/>
  <c r="AZ12" i="1"/>
  <c r="BE13" i="1" s="1"/>
  <c r="AT9" i="7"/>
  <c r="BE249" i="1"/>
  <c r="AZ249" i="1"/>
  <c r="BL237" i="1"/>
  <c r="BG259" i="1"/>
  <c r="BG245" i="1"/>
  <c r="BG246" i="1" s="1"/>
  <c r="BG279" i="1"/>
  <c r="BG5" i="1"/>
  <c r="BG413" i="1" s="1"/>
  <c r="U8" i="18"/>
  <c r="BG250" i="1"/>
  <c r="BG273" i="1"/>
  <c r="BK254" i="1"/>
  <c r="O130" i="2"/>
  <c r="O357" i="2"/>
  <c r="O390" i="2"/>
  <c r="Q45" i="27" s="1"/>
  <c r="Q10" i="27" s="1"/>
  <c r="Q9" i="27" s="1"/>
  <c r="X82" i="3"/>
  <c r="BI21" i="1"/>
  <c r="BA442" i="1"/>
  <c r="BA445" i="1" s="1"/>
  <c r="BA425" i="1"/>
  <c r="BA426" i="1" s="1"/>
  <c r="BA421" i="1"/>
  <c r="BA420" i="1"/>
  <c r="AY266" i="1"/>
  <c r="AY465" i="1"/>
  <c r="BM10" i="9"/>
  <c r="AY445" i="1"/>
  <c r="BC285" i="1"/>
  <c r="BE282" i="1"/>
  <c r="BE285" i="1" s="1"/>
  <c r="AZ235" i="1"/>
  <c r="BA313" i="1"/>
  <c r="BA235" i="1" s="1"/>
  <c r="F7" i="18" s="1"/>
  <c r="BE28" i="1"/>
  <c r="BE8" i="1"/>
  <c r="BE22" i="1"/>
  <c r="BE14" i="1"/>
  <c r="BE404" i="1"/>
  <c r="BE396" i="1"/>
  <c r="BE400" i="1"/>
  <c r="BE391" i="1"/>
  <c r="BE408" i="1"/>
  <c r="BK278" i="1"/>
  <c r="BT11" i="9"/>
  <c r="F11" i="18"/>
  <c r="B9" i="10"/>
  <c r="B24" i="10" s="1"/>
  <c r="M324" i="2"/>
  <c r="BA272" i="1"/>
  <c r="CV10" i="7"/>
  <c r="CV34" i="7" s="1"/>
  <c r="V29" i="3"/>
  <c r="C12" i="5"/>
  <c r="C16" i="5" s="1"/>
  <c r="V30" i="3"/>
  <c r="V15" i="3"/>
  <c r="M367" i="2"/>
  <c r="M372" i="2" s="1"/>
  <c r="M373" i="2" s="1"/>
  <c r="M374" i="2" s="1"/>
  <c r="BK373" i="1"/>
  <c r="BP372" i="1"/>
  <c r="AY430" i="1"/>
  <c r="AY459" i="1"/>
  <c r="AY460" i="1" s="1"/>
  <c r="AY456" i="1"/>
  <c r="AZ455" i="1"/>
  <c r="AZ430" i="1" s="1"/>
  <c r="AZ448" i="1"/>
  <c r="BE448" i="1"/>
  <c r="K46" i="11"/>
  <c r="AZ425" i="1"/>
  <c r="AZ420" i="1"/>
  <c r="AZ421" i="1"/>
  <c r="BH14" i="1"/>
  <c r="BH8" i="1"/>
  <c r="BH6" i="1"/>
  <c r="BH404" i="1"/>
  <c r="BH400" i="1"/>
  <c r="BH408" i="1"/>
  <c r="BH396" i="1"/>
  <c r="BH28" i="1"/>
  <c r="BH22" i="1"/>
  <c r="BH391" i="1"/>
  <c r="BM6" i="1"/>
  <c r="BK459" i="1"/>
  <c r="E3" i="5"/>
  <c r="BP456" i="1"/>
  <c r="BK430" i="1"/>
  <c r="BK431" i="1"/>
  <c r="O419" i="2" s="1"/>
  <c r="BF257" i="1"/>
  <c r="BF255" i="1"/>
  <c r="F29" i="18"/>
  <c r="F64" i="18" s="1"/>
  <c r="BA258" i="1"/>
  <c r="BK234" i="1"/>
  <c r="CX32" i="7"/>
  <c r="BE420" i="1"/>
  <c r="BF269" i="1"/>
  <c r="N85" i="2"/>
  <c r="BF271" i="1"/>
  <c r="BF20" i="1" s="1"/>
  <c r="N83" i="2"/>
  <c r="N292" i="2" s="1"/>
  <c r="N296" i="2" s="1"/>
  <c r="AX271" i="1"/>
  <c r="AX269" i="1"/>
  <c r="AT47" i="7"/>
  <c r="AT48" i="7"/>
  <c r="M388" i="2"/>
  <c r="V79" i="3"/>
  <c r="AW275" i="1"/>
  <c r="X6" i="18"/>
  <c r="BJ236" i="1"/>
  <c r="BJ272" i="1"/>
  <c r="BE275" i="1"/>
  <c r="BE273" i="1"/>
  <c r="AX10" i="7"/>
  <c r="AX34" i="7" s="1"/>
  <c r="O59" i="27" l="1"/>
  <c r="BA90" i="1"/>
  <c r="BA324" i="1" s="1"/>
  <c r="AX275" i="1"/>
  <c r="AX20" i="1"/>
  <c r="BC21" i="1" s="1"/>
  <c r="BF272" i="1"/>
  <c r="N428" i="2"/>
  <c r="P42" i="27" s="1"/>
  <c r="P8" i="27" s="1"/>
  <c r="BF258" i="1"/>
  <c r="N426" i="2"/>
  <c r="P40" i="27" s="1"/>
  <c r="P50" i="27" s="1"/>
  <c r="BF282" i="1"/>
  <c r="F73" i="4" s="1"/>
  <c r="AY231" i="1"/>
  <c r="AY234" i="1" s="1"/>
  <c r="AY236" i="1" s="1"/>
  <c r="AY259" i="1" s="1"/>
  <c r="AT231" i="1"/>
  <c r="AT234" i="1" s="1"/>
  <c r="AT236" i="1" s="1"/>
  <c r="AT5" i="1" s="1"/>
  <c r="AT413" i="1" s="1"/>
  <c r="BA212" i="1"/>
  <c r="BA214" i="1"/>
  <c r="BA104" i="1"/>
  <c r="BA143" i="1"/>
  <c r="BA138" i="1"/>
  <c r="AX231" i="1"/>
  <c r="AX234" i="1" s="1"/>
  <c r="AX236" i="1" s="1"/>
  <c r="AX273" i="1" s="1"/>
  <c r="BF125" i="1"/>
  <c r="BF95" i="1"/>
  <c r="BF126" i="1" s="1"/>
  <c r="AN230" i="1"/>
  <c r="AN231" i="1" s="1"/>
  <c r="AN234" i="1" s="1"/>
  <c r="AN236" i="1" s="1"/>
  <c r="AN326" i="1"/>
  <c r="AZ229" i="1"/>
  <c r="BE322" i="1"/>
  <c r="AZ322" i="1"/>
  <c r="AZ305" i="1"/>
  <c r="AZ306" i="1" s="1"/>
  <c r="AZ230" i="1" s="1"/>
  <c r="AR90" i="1"/>
  <c r="AR324" i="1" s="1"/>
  <c r="AR321" i="1" s="1"/>
  <c r="AR88" i="1"/>
  <c r="AU231" i="1"/>
  <c r="AU234" i="1" s="1"/>
  <c r="AU236" i="1" s="1"/>
  <c r="BA42" i="1"/>
  <c r="BF61" i="1"/>
  <c r="BF68" i="1" s="1"/>
  <c r="N401" i="2" s="1"/>
  <c r="BB61" i="1"/>
  <c r="BA61" i="1"/>
  <c r="BA68" i="1" s="1"/>
  <c r="M401" i="2" s="1"/>
  <c r="AO326" i="1"/>
  <c r="AO230" i="1"/>
  <c r="AO231" i="1" s="1"/>
  <c r="AO234" i="1" s="1"/>
  <c r="AO236" i="1" s="1"/>
  <c r="AP326" i="1"/>
  <c r="AP230" i="1"/>
  <c r="AP231" i="1" s="1"/>
  <c r="AP234" i="1" s="1"/>
  <c r="AP236" i="1" s="1"/>
  <c r="BB97" i="1"/>
  <c r="BB95" i="1"/>
  <c r="AV88" i="1"/>
  <c r="BA75" i="1"/>
  <c r="BA76" i="1" s="1"/>
  <c r="BA77" i="1" s="1"/>
  <c r="BA88" i="1"/>
  <c r="BF87" i="1"/>
  <c r="BB87" i="1"/>
  <c r="N408" i="2"/>
  <c r="M433" i="2"/>
  <c r="M408" i="2"/>
  <c r="BF203" i="1"/>
  <c r="BF214" i="1"/>
  <c r="BF104" i="1"/>
  <c r="BF212" i="1"/>
  <c r="BF138" i="1"/>
  <c r="BF143" i="1"/>
  <c r="AW90" i="1"/>
  <c r="AW324" i="1" s="1"/>
  <c r="AW321" i="1" s="1"/>
  <c r="AW88" i="1"/>
  <c r="AS231" i="1"/>
  <c r="AS234" i="1" s="1"/>
  <c r="AS236" i="1" s="1"/>
  <c r="AS279" i="1" s="1"/>
  <c r="M91" i="2"/>
  <c r="M92" i="2" s="1"/>
  <c r="AY271" i="1"/>
  <c r="AY269" i="1"/>
  <c r="AT22" i="7"/>
  <c r="AT33" i="7"/>
  <c r="AZ258" i="1"/>
  <c r="BE258" i="1"/>
  <c r="AZ266" i="1"/>
  <c r="AZ445" i="1"/>
  <c r="AZ465" i="1"/>
  <c r="BN10" i="9"/>
  <c r="AX278" i="1"/>
  <c r="AS275" i="1"/>
  <c r="AS278" i="1"/>
  <c r="BK236" i="1"/>
  <c r="O133" i="2" s="1"/>
  <c r="H6" i="18"/>
  <c r="BD278" i="1"/>
  <c r="BM11" i="9"/>
  <c r="M390" i="2"/>
  <c r="O45" i="27" s="1"/>
  <c r="O10" i="27" s="1"/>
  <c r="O9" i="27" s="1"/>
  <c r="V82" i="3"/>
  <c r="BK271" i="1"/>
  <c r="O83" i="2"/>
  <c r="O292" i="2" s="1"/>
  <c r="O296" i="2" s="1"/>
  <c r="O360" i="2" s="1"/>
  <c r="O362" i="2" s="1"/>
  <c r="O85" i="2"/>
  <c r="BK269" i="1"/>
  <c r="BJ237" i="1"/>
  <c r="BJ5" i="1"/>
  <c r="BJ413" i="1" s="1"/>
  <c r="BJ279" i="1"/>
  <c r="BJ245" i="1"/>
  <c r="BJ246" i="1" s="1"/>
  <c r="X8" i="18"/>
  <c r="BJ250" i="1"/>
  <c r="BO237" i="1"/>
  <c r="BJ259" i="1"/>
  <c r="BJ273" i="1"/>
  <c r="BL6" i="1"/>
  <c r="BG400" i="1"/>
  <c r="BG408" i="1"/>
  <c r="BG8" i="1"/>
  <c r="BG28" i="1"/>
  <c r="BG391" i="1"/>
  <c r="BG404" i="1"/>
  <c r="BG14" i="1"/>
  <c r="BG22" i="1"/>
  <c r="BG396" i="1"/>
  <c r="BA465" i="1"/>
  <c r="BA443" i="1" s="1"/>
  <c r="C3" i="5"/>
  <c r="BA456" i="1"/>
  <c r="BA431" i="1"/>
  <c r="M419" i="2" s="1"/>
  <c r="BA430" i="1"/>
  <c r="BA459" i="1"/>
  <c r="AZ431" i="1"/>
  <c r="AZ456" i="1"/>
  <c r="BE456" i="1"/>
  <c r="BC272" i="1"/>
  <c r="AX282" i="1"/>
  <c r="AX285" i="1" s="1"/>
  <c r="AR10" i="7"/>
  <c r="AR34" i="7" s="1"/>
  <c r="AX272" i="1"/>
  <c r="X31" i="3"/>
  <c r="X84" i="3"/>
  <c r="O395" i="2"/>
  <c r="BA372" i="1"/>
  <c r="BA373" i="1"/>
  <c r="BA374" i="1" s="1"/>
  <c r="N360" i="2"/>
  <c r="N362" i="2" s="1"/>
  <c r="O422" i="2"/>
  <c r="O423" i="2" s="1"/>
  <c r="O413" i="2"/>
  <c r="BP460" i="1"/>
  <c r="G29" i="18"/>
  <c r="G64" i="18" s="1"/>
  <c r="BK258" i="1"/>
  <c r="BF275" i="1"/>
  <c r="G11" i="18"/>
  <c r="C9" i="10"/>
  <c r="N324" i="2"/>
  <c r="N326" i="2" s="1"/>
  <c r="W29" i="3"/>
  <c r="CW10" i="7"/>
  <c r="CW34" i="7" s="1"/>
  <c r="D12" i="5"/>
  <c r="D16" i="5" s="1"/>
  <c r="BP374" i="1"/>
  <c r="O135" i="2"/>
  <c r="O131" i="2"/>
  <c r="O132" i="2"/>
  <c r="X20" i="3"/>
  <c r="L30" i="11" s="1"/>
  <c r="L35" i="11" s="1"/>
  <c r="L45" i="11" s="1"/>
  <c r="P131" i="2"/>
  <c r="BK255" i="1"/>
  <c r="BK256" i="1"/>
  <c r="BP255" i="1"/>
  <c r="W82" i="3"/>
  <c r="N390" i="2"/>
  <c r="P45" i="27" s="1"/>
  <c r="P10" i="27" s="1"/>
  <c r="P9" i="27" s="1"/>
  <c r="AW285" i="1"/>
  <c r="AT237" i="1" l="1"/>
  <c r="W14" i="3"/>
  <c r="BF285" i="1"/>
  <c r="AT250" i="1"/>
  <c r="AT245" i="1"/>
  <c r="AT246" i="1" s="1"/>
  <c r="AT273" i="1"/>
  <c r="AY250" i="1"/>
  <c r="AY275" i="1"/>
  <c r="AY20" i="1"/>
  <c r="O428" i="2"/>
  <c r="Q42" i="27" s="1"/>
  <c r="Q8" i="27" s="1"/>
  <c r="BK20" i="1"/>
  <c r="AY279" i="1"/>
  <c r="AY5" i="1"/>
  <c r="AY408" i="1" s="1"/>
  <c r="AY245" i="1"/>
  <c r="AY246" i="1" s="1"/>
  <c r="AT259" i="1"/>
  <c r="AY237" i="1"/>
  <c r="P56" i="27"/>
  <c r="P58" i="27" s="1"/>
  <c r="Q59" i="27" s="1"/>
  <c r="P53" i="27"/>
  <c r="AZ231" i="1"/>
  <c r="AZ234" i="1" s="1"/>
  <c r="AZ236" i="1" s="1"/>
  <c r="AZ237" i="1" s="1"/>
  <c r="M94" i="2"/>
  <c r="AT400" i="1"/>
  <c r="AT408" i="1"/>
  <c r="AT28" i="1"/>
  <c r="AT391" i="1"/>
  <c r="AT396" i="1"/>
  <c r="AT404" i="1"/>
  <c r="AT14" i="1"/>
  <c r="AN245" i="1"/>
  <c r="AN246" i="1" s="1"/>
  <c r="AN279" i="1"/>
  <c r="AN250" i="1"/>
  <c r="AN259" i="1"/>
  <c r="AN5" i="1"/>
  <c r="AN413" i="1" s="1"/>
  <c r="AN273" i="1"/>
  <c r="BB88" i="1"/>
  <c r="BB90" i="1"/>
  <c r="BB324" i="1" s="1"/>
  <c r="BB321" i="1" s="1"/>
  <c r="BF88" i="1"/>
  <c r="BF90" i="1"/>
  <c r="BF324" i="1" s="1"/>
  <c r="M400" i="2"/>
  <c r="V244" i="3"/>
  <c r="BA43" i="1"/>
  <c r="BF127" i="1"/>
  <c r="AU237" i="1"/>
  <c r="AU5" i="1"/>
  <c r="AU413" i="1" s="1"/>
  <c r="AU273" i="1"/>
  <c r="AU259" i="1"/>
  <c r="AU250" i="1"/>
  <c r="AU245" i="1"/>
  <c r="AU246" i="1" s="1"/>
  <c r="BK149" i="1"/>
  <c r="BF149" i="1"/>
  <c r="CW53" i="7"/>
  <c r="CW54" i="7"/>
  <c r="AY16" i="7"/>
  <c r="AY19" i="7"/>
  <c r="BF213" i="1"/>
  <c r="BK213" i="1"/>
  <c r="CW50" i="7"/>
  <c r="AV321" i="1"/>
  <c r="AR229" i="1"/>
  <c r="AR305" i="1"/>
  <c r="AR306" i="1" s="1"/>
  <c r="AR230" i="1" s="1"/>
  <c r="BF114" i="1"/>
  <c r="BF115" i="1" s="1"/>
  <c r="BF210" i="1"/>
  <c r="CW39" i="7"/>
  <c r="BB203" i="1"/>
  <c r="BB138" i="1"/>
  <c r="AX250" i="1"/>
  <c r="AX5" i="1"/>
  <c r="AX413" i="1" s="1"/>
  <c r="AX245" i="1"/>
  <c r="AX246" i="1" s="1"/>
  <c r="BC237" i="1"/>
  <c r="AX237" i="1"/>
  <c r="AX259" i="1"/>
  <c r="AX279" i="1"/>
  <c r="BF215" i="1"/>
  <c r="BK215" i="1"/>
  <c r="AP245" i="1"/>
  <c r="AP246" i="1" s="1"/>
  <c r="AP279" i="1"/>
  <c r="AP5" i="1"/>
  <c r="AP413" i="1" s="1"/>
  <c r="AP273" i="1"/>
  <c r="AP250" i="1"/>
  <c r="AP259" i="1"/>
  <c r="AS245" i="1"/>
  <c r="AS246" i="1" s="1"/>
  <c r="AS273" i="1"/>
  <c r="AS5" i="1"/>
  <c r="AS250" i="1"/>
  <c r="AS259" i="1"/>
  <c r="AS237" i="1"/>
  <c r="BF205" i="1"/>
  <c r="BK204" i="1"/>
  <c r="CV54" i="7"/>
  <c r="BA149" i="1"/>
  <c r="CV53" i="7"/>
  <c r="AO279" i="1"/>
  <c r="AO250" i="1"/>
  <c r="AO259" i="1"/>
  <c r="AO273" i="1"/>
  <c r="AO5" i="1"/>
  <c r="AO413" i="1" s="1"/>
  <c r="AO245" i="1"/>
  <c r="AO246" i="1" s="1"/>
  <c r="CV39" i="7"/>
  <c r="BA114" i="1"/>
  <c r="AW322" i="1"/>
  <c r="BA321" i="1"/>
  <c r="AW229" i="1"/>
  <c r="AW305" i="1"/>
  <c r="AW306" i="1" s="1"/>
  <c r="AW230" i="1" s="1"/>
  <c r="BA215" i="1"/>
  <c r="BA210" i="1"/>
  <c r="BA213" i="1"/>
  <c r="CV50" i="7"/>
  <c r="AZ271" i="1"/>
  <c r="AZ269" i="1"/>
  <c r="W31" i="3"/>
  <c r="W84" i="3"/>
  <c r="N395" i="2"/>
  <c r="L46" i="11"/>
  <c r="BO6" i="1"/>
  <c r="BJ6" i="1"/>
  <c r="BJ396" i="1"/>
  <c r="BJ404" i="1"/>
  <c r="BJ22" i="1"/>
  <c r="BJ8" i="1"/>
  <c r="BJ28" i="1"/>
  <c r="BJ391" i="1"/>
  <c r="BJ400" i="1"/>
  <c r="BJ408" i="1"/>
  <c r="BJ14" i="1"/>
  <c r="BK279" i="1"/>
  <c r="O288" i="2"/>
  <c r="CX7" i="7"/>
  <c r="O252" i="2"/>
  <c r="BK245" i="1"/>
  <c r="BK246" i="1" s="1"/>
  <c r="O255" i="2"/>
  <c r="O74" i="2"/>
  <c r="O416" i="2"/>
  <c r="Q39" i="27" s="1"/>
  <c r="BK5" i="1"/>
  <c r="BK413" i="1" s="1"/>
  <c r="O242" i="2"/>
  <c r="O249" i="2"/>
  <c r="O76" i="2"/>
  <c r="O146" i="2"/>
  <c r="O245" i="2"/>
  <c r="H8" i="18"/>
  <c r="O264" i="2"/>
  <c r="BP237" i="1"/>
  <c r="BK250" i="1"/>
  <c r="BK259" i="1"/>
  <c r="W30" i="3"/>
  <c r="W15" i="3"/>
  <c r="N367" i="2"/>
  <c r="N372" i="2" s="1"/>
  <c r="N373" i="2" s="1"/>
  <c r="N374" i="2" s="1"/>
  <c r="AZ459" i="1"/>
  <c r="AZ460" i="1" s="1"/>
  <c r="BA460" i="1"/>
  <c r="M422" i="2"/>
  <c r="M423" i="2" s="1"/>
  <c r="M424" i="2" s="1"/>
  <c r="M413" i="2"/>
  <c r="AT278" i="1"/>
  <c r="AT22" i="1"/>
  <c r="AT275" i="1"/>
  <c r="AT279" i="1"/>
  <c r="O136" i="2"/>
  <c r="O145" i="2"/>
  <c r="O367" i="2"/>
  <c r="O372" i="2" s="1"/>
  <c r="O373" i="2" s="1"/>
  <c r="X30" i="3"/>
  <c r="X15" i="3"/>
  <c r="H11" i="18"/>
  <c r="D9" i="10"/>
  <c r="D24" i="10" s="1"/>
  <c r="O324" i="2"/>
  <c r="O326" i="2" s="1"/>
  <c r="BK275" i="1"/>
  <c r="X29" i="3"/>
  <c r="E12" i="5"/>
  <c r="E16" i="5" s="1"/>
  <c r="CX10" i="7"/>
  <c r="CX34" i="7" s="1"/>
  <c r="BK272" i="1"/>
  <c r="BK273" i="1"/>
  <c r="BP272" i="1"/>
  <c r="V31" i="3"/>
  <c r="V84" i="3"/>
  <c r="M395" i="2"/>
  <c r="P424" i="2"/>
  <c r="BA277" i="1"/>
  <c r="BA283" i="1" s="1"/>
  <c r="BE278" i="1"/>
  <c r="BN11" i="9"/>
  <c r="AY278" i="1"/>
  <c r="C24" i="10"/>
  <c r="G32" i="10"/>
  <c r="BD21" i="1"/>
  <c r="BD272" i="1"/>
  <c r="AY273" i="1"/>
  <c r="AS10" i="7"/>
  <c r="AS34" i="7" s="1"/>
  <c r="AY282" i="1"/>
  <c r="AY272" i="1"/>
  <c r="AY22" i="1" l="1"/>
  <c r="AY396" i="1"/>
  <c r="AY14" i="1"/>
  <c r="AY391" i="1"/>
  <c r="AY404" i="1"/>
  <c r="BE237" i="1"/>
  <c r="AZ250" i="1"/>
  <c r="BP21" i="1"/>
  <c r="BK21" i="1"/>
  <c r="AZ275" i="1"/>
  <c r="AZ20" i="1"/>
  <c r="BE21" i="1" s="1"/>
  <c r="AZ259" i="1"/>
  <c r="AS22" i="1"/>
  <c r="AS413" i="1"/>
  <c r="AY400" i="1"/>
  <c r="AY413" i="1"/>
  <c r="AZ245" i="1"/>
  <c r="AZ246" i="1" s="1"/>
  <c r="AZ279" i="1"/>
  <c r="AZ5" i="1"/>
  <c r="AZ413" i="1" s="1"/>
  <c r="P54" i="27"/>
  <c r="Q54" i="27"/>
  <c r="P59" i="27"/>
  <c r="P61" i="27"/>
  <c r="P63" i="27" s="1"/>
  <c r="AW231" i="1"/>
  <c r="AW234" i="1" s="1"/>
  <c r="AW236" i="1" s="1"/>
  <c r="AW245" i="1" s="1"/>
  <c r="AW246" i="1" s="1"/>
  <c r="AR231" i="1"/>
  <c r="AR234" i="1" s="1"/>
  <c r="AR236" i="1" s="1"/>
  <c r="AR279" i="1" s="1"/>
  <c r="BA115" i="1"/>
  <c r="BA119" i="1"/>
  <c r="BF119" i="1" s="1"/>
  <c r="BK119" i="1" s="1"/>
  <c r="BP119" i="1" s="1"/>
  <c r="BU119" i="1" s="1"/>
  <c r="BZ119" i="1" s="1"/>
  <c r="CE119" i="1" s="1"/>
  <c r="CJ119" i="1" s="1"/>
  <c r="CO119" i="1" s="1"/>
  <c r="CP119" i="1" s="1"/>
  <c r="CQ119" i="1" s="1"/>
  <c r="CR119" i="1" s="1"/>
  <c r="CS119" i="1" s="1"/>
  <c r="CT119" i="1" s="1"/>
  <c r="BK211" i="1"/>
  <c r="CW49" i="7"/>
  <c r="BF142" i="1"/>
  <c r="BF211" i="1"/>
  <c r="AX16" i="7"/>
  <c r="AX19" i="7"/>
  <c r="AO28" i="1"/>
  <c r="AO22" i="1"/>
  <c r="AO14" i="1"/>
  <c r="AS391" i="1"/>
  <c r="AS404" i="1"/>
  <c r="AS396" i="1"/>
  <c r="AS400" i="1"/>
  <c r="AS408" i="1"/>
  <c r="AS28" i="1"/>
  <c r="AS14" i="1"/>
  <c r="AV305" i="1"/>
  <c r="AV306" i="1" s="1"/>
  <c r="AV230" i="1" s="1"/>
  <c r="AV229" i="1"/>
  <c r="BG322" i="1"/>
  <c r="BB322" i="1"/>
  <c r="BB305" i="1"/>
  <c r="BB306" i="1" s="1"/>
  <c r="BB230" i="1" s="1"/>
  <c r="BB229" i="1"/>
  <c r="BF321" i="1"/>
  <c r="CV49" i="7"/>
  <c r="BA142" i="1"/>
  <c r="BA211" i="1"/>
  <c r="AN14" i="1"/>
  <c r="AN22" i="1"/>
  <c r="AN28" i="1"/>
  <c r="BC6" i="1"/>
  <c r="AX408" i="1"/>
  <c r="AX391" i="1"/>
  <c r="AX400" i="1"/>
  <c r="AX396" i="1"/>
  <c r="AX404" i="1"/>
  <c r="AX14" i="1"/>
  <c r="AX22" i="1"/>
  <c r="AP14" i="1"/>
  <c r="AP28" i="1"/>
  <c r="AP22" i="1"/>
  <c r="AU391" i="1"/>
  <c r="AU404" i="1"/>
  <c r="AU28" i="1"/>
  <c r="AU408" i="1"/>
  <c r="AU14" i="1"/>
  <c r="D9" i="6" s="1"/>
  <c r="AU400" i="1"/>
  <c r="AU396" i="1"/>
  <c r="BA229" i="1"/>
  <c r="BA305" i="1"/>
  <c r="BA306" i="1" s="1"/>
  <c r="BA230" i="1" s="1"/>
  <c r="BA322" i="1"/>
  <c r="BG204" i="1"/>
  <c r="BB205" i="1"/>
  <c r="O374" i="2"/>
  <c r="P374" i="2"/>
  <c r="AY285" i="1"/>
  <c r="AZ282" i="1"/>
  <c r="AZ285" i="1" s="1"/>
  <c r="BO11" i="9"/>
  <c r="BA278" i="1"/>
  <c r="BA275" i="1"/>
  <c r="BF278" i="1"/>
  <c r="BK22" i="1"/>
  <c r="BK8" i="1"/>
  <c r="BK18" i="1" s="1"/>
  <c r="BK28" i="1"/>
  <c r="D5" i="10"/>
  <c r="D20" i="10" s="1"/>
  <c r="X18" i="3"/>
  <c r="X246" i="3" s="1"/>
  <c r="BP6" i="1"/>
  <c r="BK400" i="1"/>
  <c r="BK396" i="1"/>
  <c r="BK408" i="1"/>
  <c r="BK391" i="1"/>
  <c r="BK404" i="1"/>
  <c r="BK14" i="1"/>
  <c r="AZ278" i="1"/>
  <c r="AU275" i="1"/>
  <c r="AU22" i="1"/>
  <c r="AU278" i="1"/>
  <c r="AU279" i="1"/>
  <c r="O432" i="2"/>
  <c r="O207" i="2"/>
  <c r="O137" i="2"/>
  <c r="P137" i="2"/>
  <c r="CX30" i="7"/>
  <c r="CX8" i="7"/>
  <c r="CX31" i="7" s="1"/>
  <c r="BE272" i="1"/>
  <c r="AZ273" i="1"/>
  <c r="AT10" i="7"/>
  <c r="AT34" i="7" s="1"/>
  <c r="AZ272" i="1"/>
  <c r="AZ391" i="1" l="1"/>
  <c r="AW250" i="1"/>
  <c r="AW5" i="1"/>
  <c r="AW413" i="1" s="1"/>
  <c r="AW279" i="1"/>
  <c r="AW259" i="1"/>
  <c r="AW273" i="1"/>
  <c r="AZ22" i="1"/>
  <c r="BE6" i="1"/>
  <c r="AR245" i="1"/>
  <c r="AR246" i="1" s="1"/>
  <c r="AR5" i="1"/>
  <c r="AR408" i="1" s="1"/>
  <c r="AZ408" i="1"/>
  <c r="AZ14" i="1"/>
  <c r="AZ400" i="1"/>
  <c r="AZ396" i="1"/>
  <c r="AZ404" i="1"/>
  <c r="AR273" i="1"/>
  <c r="AR259" i="1"/>
  <c r="AR250" i="1"/>
  <c r="AW237" i="1"/>
  <c r="BB231" i="1"/>
  <c r="BB234" i="1" s="1"/>
  <c r="BB236" i="1" s="1"/>
  <c r="BB259" i="1" s="1"/>
  <c r="AV231" i="1"/>
  <c r="BA231" i="1"/>
  <c r="BA148" i="1"/>
  <c r="CV52" i="7"/>
  <c r="BK148" i="1"/>
  <c r="CW52" i="7"/>
  <c r="BF148" i="1"/>
  <c r="BF305" i="1"/>
  <c r="BF306" i="1" s="1"/>
  <c r="BF230" i="1" s="1"/>
  <c r="BK322" i="1"/>
  <c r="BF229" i="1"/>
  <c r="BF322" i="1"/>
  <c r="BA282" i="1"/>
  <c r="E73" i="4" s="1"/>
  <c r="BK9" i="1"/>
  <c r="BA21" i="1"/>
  <c r="BF21" i="1"/>
  <c r="CX47" i="7"/>
  <c r="CX48" i="7"/>
  <c r="AW404" i="1" l="1"/>
  <c r="AW391" i="1"/>
  <c r="AW408" i="1"/>
  <c r="AW28" i="1"/>
  <c r="AW396" i="1"/>
  <c r="AW22" i="1"/>
  <c r="AW14" i="1"/>
  <c r="AW400" i="1"/>
  <c r="AR400" i="1"/>
  <c r="AR22" i="1"/>
  <c r="AR404" i="1"/>
  <c r="AR14" i="1"/>
  <c r="AR413" i="1"/>
  <c r="AR396" i="1"/>
  <c r="AR28" i="1"/>
  <c r="BG237" i="1"/>
  <c r="BB273" i="1"/>
  <c r="AR391" i="1"/>
  <c r="BB5" i="1"/>
  <c r="BB22" i="1" s="1"/>
  <c r="BB245" i="1"/>
  <c r="BB246" i="1" s="1"/>
  <c r="BB237" i="1"/>
  <c r="BB279" i="1"/>
  <c r="BB250" i="1"/>
  <c r="V14" i="3"/>
  <c r="AV11" i="7"/>
  <c r="BQ13" i="9"/>
  <c r="BQ14" i="9" s="1"/>
  <c r="BC31" i="1"/>
  <c r="BC35" i="1"/>
  <c r="AV12" i="7" s="1"/>
  <c r="BC256" i="1"/>
  <c r="BC28" i="1"/>
  <c r="BF231" i="1"/>
  <c r="CW32" i="7" s="1"/>
  <c r="CV32" i="7"/>
  <c r="BA234" i="1"/>
  <c r="AW16" i="7"/>
  <c r="AW19" i="7"/>
  <c r="BA285" i="1"/>
  <c r="BH159" i="1"/>
  <c r="BC168" i="1"/>
  <c r="AV40" i="7"/>
  <c r="BC161" i="1"/>
  <c r="CU32" i="7"/>
  <c r="AV234" i="1"/>
  <c r="BB408" i="1" l="1"/>
  <c r="BB400" i="1"/>
  <c r="BB28" i="1"/>
  <c r="BB413" i="1"/>
  <c r="BB391" i="1"/>
  <c r="BB396" i="1"/>
  <c r="BB404" i="1"/>
  <c r="BB6" i="1"/>
  <c r="BG6" i="1"/>
  <c r="BB8" i="1"/>
  <c r="BB14" i="1"/>
  <c r="BH169" i="1"/>
  <c r="BI159" i="1"/>
  <c r="BD168" i="1"/>
  <c r="AW40" i="7"/>
  <c r="BD161" i="1"/>
  <c r="BR13" i="9"/>
  <c r="BR14" i="9" s="1"/>
  <c r="AW11" i="7"/>
  <c r="BD31" i="1"/>
  <c r="BD35" i="1"/>
  <c r="AW12" i="7" s="1"/>
  <c r="BD256" i="1"/>
  <c r="BA236" i="1"/>
  <c r="F6" i="18"/>
  <c r="E6" i="18"/>
  <c r="AV236" i="1"/>
  <c r="BF27" i="1"/>
  <c r="AV57" i="7"/>
  <c r="BC163" i="1"/>
  <c r="BH162" i="1"/>
  <c r="BF158" i="1"/>
  <c r="AV16" i="7"/>
  <c r="AV19" i="7"/>
  <c r="AV24" i="7"/>
  <c r="AV28" i="7" s="1"/>
  <c r="AV35" i="7"/>
  <c r="M252" i="2" l="1"/>
  <c r="BA237" i="1"/>
  <c r="BA250" i="1"/>
  <c r="M416" i="2"/>
  <c r="O39" i="27" s="1"/>
  <c r="M255" i="2"/>
  <c r="M242" i="2"/>
  <c r="BA5" i="1"/>
  <c r="BA413" i="1" s="1"/>
  <c r="CV7" i="7"/>
  <c r="M133" i="2"/>
  <c r="M76" i="2"/>
  <c r="BA259" i="1"/>
  <c r="M288" i="2"/>
  <c r="BA273" i="1"/>
  <c r="F8" i="18"/>
  <c r="BA245" i="1"/>
  <c r="BA246" i="1" s="1"/>
  <c r="M74" i="2"/>
  <c r="M146" i="2"/>
  <c r="M264" i="2"/>
  <c r="M245" i="2"/>
  <c r="M249" i="2"/>
  <c r="BA279" i="1"/>
  <c r="AW24" i="7"/>
  <c r="AW28" i="7" s="1"/>
  <c r="AW35" i="7"/>
  <c r="BE163" i="1"/>
  <c r="AW57" i="7"/>
  <c r="BD163" i="1"/>
  <c r="BI162" i="1"/>
  <c r="BK159" i="1"/>
  <c r="CW40" i="7"/>
  <c r="BF161" i="1"/>
  <c r="BI169" i="1"/>
  <c r="BK169" i="1" s="1"/>
  <c r="BF31" i="1"/>
  <c r="W22" i="3"/>
  <c r="G12" i="18"/>
  <c r="C7" i="10"/>
  <c r="BT13" i="9"/>
  <c r="BT14" i="9" s="1"/>
  <c r="CW11" i="7"/>
  <c r="CW35" i="7" s="1"/>
  <c r="BK29" i="1"/>
  <c r="BF35" i="1"/>
  <c r="BF256" i="1"/>
  <c r="L249" i="2"/>
  <c r="L245" i="2"/>
  <c r="L133" i="2"/>
  <c r="AV5" i="1"/>
  <c r="AV413" i="1" s="1"/>
  <c r="AV259" i="1"/>
  <c r="AV273" i="1"/>
  <c r="L76" i="2"/>
  <c r="L255" i="2"/>
  <c r="L288" i="2"/>
  <c r="E8" i="18"/>
  <c r="L416" i="2"/>
  <c r="N39" i="27" s="1"/>
  <c r="AV279" i="1"/>
  <c r="CU7" i="7"/>
  <c r="L146" i="2"/>
  <c r="L252" i="2"/>
  <c r="L74" i="2"/>
  <c r="AV250" i="1"/>
  <c r="L264" i="2"/>
  <c r="AV245" i="1"/>
  <c r="AV246" i="1" s="1"/>
  <c r="L242" i="2"/>
  <c r="BF168" i="1"/>
  <c r="W252" i="3" s="1"/>
  <c r="C22" i="10" l="1"/>
  <c r="G30" i="10"/>
  <c r="C8" i="10"/>
  <c r="AV404" i="1"/>
  <c r="AV408" i="1"/>
  <c r="AV22" i="1"/>
  <c r="AV14" i="1"/>
  <c r="U18" i="3"/>
  <c r="U246" i="3" s="1"/>
  <c r="AV391" i="1"/>
  <c r="AV400" i="1"/>
  <c r="AV28" i="1"/>
  <c r="AV396" i="1"/>
  <c r="CV30" i="7"/>
  <c r="CV8" i="7"/>
  <c r="CV31" i="7" s="1"/>
  <c r="K51" i="11"/>
  <c r="W23" i="3"/>
  <c r="BA396" i="1"/>
  <c r="BA404" i="1"/>
  <c r="BA391" i="1"/>
  <c r="BA6" i="1"/>
  <c r="BA400" i="1"/>
  <c r="BA14" i="1"/>
  <c r="B5" i="10"/>
  <c r="B20" i="10" s="1"/>
  <c r="BA8" i="1"/>
  <c r="BA18" i="1" s="1"/>
  <c r="V18" i="3"/>
  <c r="V246" i="3" s="1"/>
  <c r="BA408" i="1"/>
  <c r="BA22" i="1"/>
  <c r="M207" i="2"/>
  <c r="M432" i="2"/>
  <c r="CW57" i="7"/>
  <c r="BF163" i="1"/>
  <c r="BG163" i="1"/>
  <c r="BK162" i="1"/>
  <c r="AU16" i="7"/>
  <c r="AU19" i="7"/>
  <c r="CU30" i="7"/>
  <c r="CU8" i="7"/>
  <c r="CU31" i="7" s="1"/>
  <c r="L207" i="2"/>
  <c r="L432" i="2"/>
  <c r="CU47" i="7" l="1"/>
  <c r="CU48" i="7"/>
  <c r="W24" i="3"/>
  <c r="W249" i="3" s="1"/>
  <c r="W127" i="3"/>
  <c r="W136" i="3" s="1"/>
  <c r="W137" i="3" s="1"/>
  <c r="W248" i="3"/>
  <c r="G31" i="10"/>
  <c r="C23" i="10"/>
  <c r="O57" i="11"/>
  <c r="K52" i="11"/>
  <c r="BA9" i="1"/>
  <c r="CV48" i="7"/>
  <c r="CV47" i="7"/>
  <c r="C140" i="11" l="1"/>
  <c r="D263" i="11" s="1"/>
  <c r="D264" i="11" s="1"/>
  <c r="D200" i="11"/>
  <c r="D202" i="11" s="1"/>
  <c r="D154" i="11"/>
  <c r="D158" i="11" s="1"/>
  <c r="D161" i="11" s="1"/>
  <c r="O58" i="11"/>
  <c r="O64" i="11" s="1"/>
  <c r="O72" i="11" s="1"/>
  <c r="O63" i="11"/>
  <c r="O71" i="11" s="1"/>
  <c r="AT16" i="7"/>
  <c r="AT19" i="7"/>
  <c r="D162" i="11" l="1"/>
  <c r="D164" i="11"/>
  <c r="D275" i="11"/>
  <c r="D268" i="11"/>
  <c r="D285" i="11" s="1"/>
  <c r="C231" i="11" l="1"/>
  <c r="D173" i="11"/>
  <c r="D166" i="11"/>
  <c r="D174" i="11" l="1"/>
  <c r="E164" i="11"/>
  <c r="C230" i="11"/>
  <c r="E239" i="11"/>
  <c r="D239" i="11" l="1"/>
  <c r="D237" i="11" s="1"/>
  <c r="D238" i="11" s="1"/>
  <c r="E237" i="11"/>
  <c r="AS16" i="7"/>
  <c r="AS19" i="7"/>
  <c r="AR11" i="7" l="1"/>
  <c r="BL13" i="9"/>
  <c r="BL14" i="9" s="1"/>
  <c r="AX35" i="1"/>
  <c r="AR12" i="7" s="1"/>
  <c r="AX256" i="1"/>
  <c r="AX28" i="1"/>
  <c r="BC159" i="1" l="1"/>
  <c r="AX168" i="1"/>
  <c r="AX159" i="1"/>
  <c r="AX161" i="1"/>
  <c r="AR40" i="7"/>
  <c r="BC137" i="1"/>
  <c r="AR38" i="7"/>
  <c r="AX137" i="1"/>
  <c r="BL6" i="9"/>
  <c r="AR16" i="7"/>
  <c r="AR19" i="7"/>
  <c r="AS11" i="7"/>
  <c r="BM13" i="9"/>
  <c r="BM14" i="9" s="1"/>
  <c r="AY35" i="1"/>
  <c r="AS12" i="7" s="1"/>
  <c r="AY256" i="1"/>
  <c r="AY28" i="1"/>
  <c r="AR24" i="7"/>
  <c r="AR28" i="7" s="1"/>
  <c r="AR35" i="7"/>
  <c r="AS24" i="7" l="1"/>
  <c r="AS28" i="7" s="1"/>
  <c r="AS35" i="7"/>
  <c r="BD159" i="1"/>
  <c r="AY159" i="1"/>
  <c r="AS40" i="7"/>
  <c r="AY168" i="1"/>
  <c r="AY161" i="1"/>
  <c r="AY137" i="1"/>
  <c r="AS38" i="7"/>
  <c r="BM6" i="9"/>
  <c r="BD137" i="1"/>
  <c r="AT11" i="7"/>
  <c r="BN13" i="9"/>
  <c r="BN14" i="9" s="1"/>
  <c r="AZ35" i="1"/>
  <c r="AT12" i="7" s="1"/>
  <c r="AZ256" i="1"/>
  <c r="AZ28" i="1"/>
  <c r="BA27" i="1"/>
  <c r="AX163" i="1"/>
  <c r="AX162" i="1"/>
  <c r="AR57" i="7"/>
  <c r="BC162" i="1"/>
  <c r="AX169" i="1"/>
  <c r="BC169" i="1"/>
  <c r="BA158" i="1"/>
  <c r="BF159" i="1" l="1"/>
  <c r="BA159" i="1"/>
  <c r="BA161" i="1"/>
  <c r="BA168" i="1"/>
  <c r="CV40" i="7"/>
  <c r="AT24" i="7"/>
  <c r="AT28" i="7" s="1"/>
  <c r="AT35" i="7"/>
  <c r="AY163" i="1"/>
  <c r="AY162" i="1"/>
  <c r="AS57" i="7"/>
  <c r="BD162" i="1"/>
  <c r="AY169" i="1"/>
  <c r="BD169" i="1"/>
  <c r="V22" i="3"/>
  <c r="F12" i="18"/>
  <c r="B7" i="10"/>
  <c r="CV11" i="7"/>
  <c r="CV35" i="7" s="1"/>
  <c r="BA29" i="1"/>
  <c r="BA31" i="1"/>
  <c r="BO13" i="9"/>
  <c r="BO14" i="9" s="1"/>
  <c r="BA35" i="1"/>
  <c r="BA256" i="1"/>
  <c r="BA28" i="1"/>
  <c r="BF29" i="1"/>
  <c r="AZ161" i="1"/>
  <c r="AZ159" i="1"/>
  <c r="AZ168" i="1"/>
  <c r="AT40" i="7"/>
  <c r="BE159" i="1"/>
  <c r="BA136" i="1"/>
  <c r="BN6" i="9"/>
  <c r="AT38" i="7"/>
  <c r="BE137" i="1"/>
  <c r="AZ137" i="1"/>
  <c r="J51" i="11" l="1"/>
  <c r="V23" i="3"/>
  <c r="AT57" i="7"/>
  <c r="BE162" i="1"/>
  <c r="AZ162" i="1"/>
  <c r="AZ163" i="1"/>
  <c r="BE169" i="1"/>
  <c r="BF169" i="1" s="1"/>
  <c r="AZ169" i="1"/>
  <c r="CV38" i="7"/>
  <c r="V251" i="3"/>
  <c r="BA137" i="1"/>
  <c r="BF137" i="1"/>
  <c r="BA105" i="1"/>
  <c r="F17" i="18"/>
  <c r="BO6" i="9"/>
  <c r="BA169" i="1"/>
  <c r="V252" i="3"/>
  <c r="AQ16" i="7"/>
  <c r="AQ19" i="7"/>
  <c r="BA162" i="1"/>
  <c r="CV57" i="7"/>
  <c r="BA163" i="1"/>
  <c r="BB163" i="1"/>
  <c r="BF162" i="1"/>
  <c r="B8" i="10"/>
  <c r="B23" i="10" s="1"/>
  <c r="B22" i="10"/>
  <c r="BA106" i="1" l="1"/>
  <c r="BF106" i="1"/>
  <c r="V127" i="3"/>
  <c r="V136" i="3" s="1"/>
  <c r="V137" i="3" s="1"/>
  <c r="V24" i="3"/>
  <c r="V249" i="3" s="1"/>
  <c r="V248" i="3"/>
  <c r="N57" i="11"/>
  <c r="L57" i="11"/>
  <c r="K57" i="11"/>
  <c r="M57" i="11"/>
  <c r="J57" i="11"/>
  <c r="J52" i="11"/>
  <c r="C200" i="11" l="1"/>
  <c r="C202" i="11" s="1"/>
  <c r="G202" i="11" s="1"/>
  <c r="C154" i="11"/>
  <c r="C156" i="11" s="1"/>
  <c r="N58" i="11"/>
  <c r="N64" i="11" s="1"/>
  <c r="N72" i="11" s="1"/>
  <c r="N63" i="11"/>
  <c r="N71" i="11" s="1"/>
  <c r="P77" i="11"/>
  <c r="Q77" i="11"/>
  <c r="M58" i="11"/>
  <c r="M64" i="11" s="1"/>
  <c r="M72" i="11" s="1"/>
  <c r="M63" i="11"/>
  <c r="M71" i="11" s="1"/>
  <c r="O77" i="11"/>
  <c r="K58" i="11"/>
  <c r="K64" i="11" s="1"/>
  <c r="K72" i="11" s="1"/>
  <c r="K63" i="11"/>
  <c r="K71" i="11" s="1"/>
  <c r="M77" i="11"/>
  <c r="J58" i="11"/>
  <c r="J64" i="11" s="1"/>
  <c r="J72" i="11" s="1"/>
  <c r="J63" i="11"/>
  <c r="J71" i="11" s="1"/>
  <c r="K77" i="11"/>
  <c r="L77" i="11"/>
  <c r="L58" i="11"/>
  <c r="L64" i="11" s="1"/>
  <c r="L72" i="11" s="1"/>
  <c r="N77" i="11"/>
  <c r="L63" i="11"/>
  <c r="L71" i="11" s="1"/>
  <c r="AB43" i="7" l="1"/>
  <c r="AA42" i="7"/>
  <c r="AC42" i="7"/>
  <c r="AI16" i="7" l="1"/>
  <c r="AI19" i="7"/>
  <c r="AJ87" i="1"/>
  <c r="AJ90" i="1" s="1"/>
  <c r="AJ324" i="1" s="1"/>
  <c r="AJ321" i="1" s="1"/>
  <c r="AI75" i="1"/>
  <c r="AI76" i="1" s="1"/>
  <c r="AI77" i="1" s="1"/>
  <c r="AF42" i="7"/>
  <c r="AI87" i="1"/>
  <c r="AI90" i="1" s="1"/>
  <c r="AI324" i="1" s="1"/>
  <c r="AI321" i="1" s="1"/>
  <c r="AH75" i="1"/>
  <c r="AH76" i="1" s="1"/>
  <c r="AH77" i="1" s="1"/>
  <c r="AE42" i="7"/>
  <c r="AH16" i="7"/>
  <c r="AH19" i="7"/>
  <c r="AG42" i="7"/>
  <c r="AK87" i="1"/>
  <c r="AK90" i="1" s="1"/>
  <c r="AK324" i="1" s="1"/>
  <c r="AK321" i="1" s="1"/>
  <c r="AJ75" i="1"/>
  <c r="AJ76" i="1" s="1"/>
  <c r="AJ77" i="1" s="1"/>
  <c r="AJ16" i="7"/>
  <c r="AJ19" i="7"/>
  <c r="AG89" i="1"/>
  <c r="AD42" i="7"/>
  <c r="AG16" i="7"/>
  <c r="AG19" i="7"/>
  <c r="AF16" i="7"/>
  <c r="AF19" i="7"/>
  <c r="AE16" i="7"/>
  <c r="AE19" i="7"/>
  <c r="AD16" i="7"/>
  <c r="AD19" i="7"/>
  <c r="AB16" i="7"/>
  <c r="AB19" i="7"/>
  <c r="AC16" i="7"/>
  <c r="AC19" i="7"/>
  <c r="AL16" i="7"/>
  <c r="AL19" i="7"/>
  <c r="AK75" i="1"/>
  <c r="AK76" i="1" s="1"/>
  <c r="AK77" i="1" s="1"/>
  <c r="AH42" i="7"/>
  <c r="AL89" i="1"/>
  <c r="AK16" i="7"/>
  <c r="AK19" i="7"/>
  <c r="AB42" i="7"/>
  <c r="AI88" i="1" l="1"/>
  <c r="AJ88" i="1"/>
  <c r="AP322" i="1"/>
  <c r="AK305" i="1"/>
  <c r="AK306" i="1" s="1"/>
  <c r="AK229" i="1"/>
  <c r="AN16" i="7"/>
  <c r="AN19" i="7"/>
  <c r="AP16" i="7"/>
  <c r="AP19" i="7"/>
  <c r="AK88" i="1"/>
  <c r="AN322" i="1"/>
  <c r="AI305" i="1"/>
  <c r="AI306" i="1" s="1"/>
  <c r="AI229" i="1"/>
  <c r="AQ87" i="1"/>
  <c r="AM87" i="1"/>
  <c r="AL75" i="1"/>
  <c r="AL76" i="1" s="1"/>
  <c r="AL77" i="1" s="1"/>
  <c r="AO16" i="7"/>
  <c r="AO19" i="7"/>
  <c r="AG88" i="1"/>
  <c r="AL87" i="1"/>
  <c r="AL90" i="1" s="1"/>
  <c r="AL324" i="1" s="1"/>
  <c r="AH87" i="1"/>
  <c r="AA16" i="7"/>
  <c r="AA19" i="7"/>
  <c r="AO322" i="1"/>
  <c r="AJ229" i="1"/>
  <c r="AJ305" i="1"/>
  <c r="AJ306" i="1" s="1"/>
  <c r="AM16" i="7"/>
  <c r="AM19" i="7"/>
  <c r="AM90" i="1" l="1"/>
  <c r="AM324" i="1" s="1"/>
  <c r="AM321" i="1" s="1"/>
  <c r="AM88" i="1"/>
  <c r="AQ90" i="1"/>
  <c r="AQ324" i="1" s="1"/>
  <c r="AQ88" i="1"/>
  <c r="AJ326" i="1"/>
  <c r="AJ230" i="1"/>
  <c r="AJ231" i="1" s="1"/>
  <c r="AJ234" i="1" s="1"/>
  <c r="AJ236" i="1" s="1"/>
  <c r="AI230" i="1"/>
  <c r="AI231" i="1" s="1"/>
  <c r="AI234" i="1" s="1"/>
  <c r="AI236" i="1" s="1"/>
  <c r="AI326" i="1"/>
  <c r="AH90" i="1"/>
  <c r="AH324" i="1" s="1"/>
  <c r="AH321" i="1" s="1"/>
  <c r="AH88" i="1"/>
  <c r="AK230" i="1"/>
  <c r="AK231" i="1" s="1"/>
  <c r="AK234" i="1" s="1"/>
  <c r="AK236" i="1" s="1"/>
  <c r="AK326" i="1"/>
  <c r="AL88" i="1"/>
  <c r="AK237" i="1" l="1"/>
  <c r="AK273" i="1"/>
  <c r="AK279" i="1"/>
  <c r="AK250" i="1"/>
  <c r="AK259" i="1"/>
  <c r="AK5" i="1"/>
  <c r="AK413" i="1" s="1"/>
  <c r="AK245" i="1"/>
  <c r="AK246" i="1" s="1"/>
  <c r="AP237" i="1"/>
  <c r="AH305" i="1"/>
  <c r="AH306" i="1" s="1"/>
  <c r="AL321" i="1"/>
  <c r="AH229" i="1"/>
  <c r="AI279" i="1"/>
  <c r="AI5" i="1"/>
  <c r="AI413" i="1" s="1"/>
  <c r="AI259" i="1"/>
  <c r="AI237" i="1"/>
  <c r="AI250" i="1"/>
  <c r="AI245" i="1"/>
  <c r="AI246" i="1" s="1"/>
  <c r="AI273" i="1"/>
  <c r="AN237" i="1"/>
  <c r="AJ237" i="1"/>
  <c r="AJ5" i="1"/>
  <c r="AJ413" i="1" s="1"/>
  <c r="AJ250" i="1"/>
  <c r="AJ259" i="1"/>
  <c r="AJ273" i="1"/>
  <c r="AJ245" i="1"/>
  <c r="AJ246" i="1" s="1"/>
  <c r="AJ279" i="1"/>
  <c r="AO237" i="1"/>
  <c r="AR322" i="1"/>
  <c r="AQ321" i="1"/>
  <c r="AM229" i="1"/>
  <c r="AM305" i="1"/>
  <c r="AM306" i="1" s="1"/>
  <c r="AM322" i="1"/>
  <c r="AI28" i="1" l="1"/>
  <c r="AI22" i="1"/>
  <c r="AI14" i="1"/>
  <c r="AL229" i="1"/>
  <c r="AL305" i="1"/>
  <c r="AL306" i="1" s="1"/>
  <c r="AL230" i="1" s="1"/>
  <c r="AL231" i="1" s="1"/>
  <c r="AH326" i="1"/>
  <c r="AH230" i="1"/>
  <c r="AH231" i="1" s="1"/>
  <c r="AH234" i="1" s="1"/>
  <c r="AH236" i="1" s="1"/>
  <c r="AJ14" i="1"/>
  <c r="AJ28" i="1"/>
  <c r="AJ22" i="1"/>
  <c r="AK22" i="1"/>
  <c r="AK14" i="1"/>
  <c r="AK28" i="1"/>
  <c r="AM230" i="1"/>
  <c r="AM231" i="1" s="1"/>
  <c r="AM234" i="1" s="1"/>
  <c r="AM236" i="1" s="1"/>
  <c r="AM326" i="1"/>
  <c r="AV322" i="1"/>
  <c r="AQ229" i="1"/>
  <c r="AQ305" i="1"/>
  <c r="AQ306" i="1" s="1"/>
  <c r="AQ230" i="1" s="1"/>
  <c r="AQ322" i="1"/>
  <c r="AQ231" i="1" l="1"/>
  <c r="AQ234" i="1" s="1"/>
  <c r="AM259" i="1"/>
  <c r="AM245" i="1"/>
  <c r="AM246" i="1" s="1"/>
  <c r="AM273" i="1"/>
  <c r="AM250" i="1"/>
  <c r="AM5" i="1"/>
  <c r="AM413" i="1" s="1"/>
  <c r="AM279" i="1"/>
  <c r="AM237" i="1"/>
  <c r="AR237" i="1"/>
  <c r="AL234" i="1"/>
  <c r="AL236" i="1" s="1"/>
  <c r="CS32" i="7"/>
  <c r="AH273" i="1"/>
  <c r="AH250" i="1"/>
  <c r="AH279" i="1"/>
  <c r="AH5" i="1"/>
  <c r="AH413" i="1" s="1"/>
  <c r="AH245" i="1"/>
  <c r="AH246" i="1" s="1"/>
  <c r="AH259" i="1"/>
  <c r="CT32" i="7" l="1"/>
  <c r="AH22" i="1"/>
  <c r="AH14" i="1"/>
  <c r="AH28" i="1"/>
  <c r="AM22" i="1"/>
  <c r="AM14" i="1"/>
  <c r="AM28" i="1"/>
  <c r="J245" i="2"/>
  <c r="CS7" i="7"/>
  <c r="AL5" i="1"/>
  <c r="AL413" i="1" s="1"/>
  <c r="J133" i="2"/>
  <c r="J76" i="2"/>
  <c r="J146" i="2"/>
  <c r="J249" i="2"/>
  <c r="AL279" i="1"/>
  <c r="AL273" i="1"/>
  <c r="J74" i="2"/>
  <c r="AL245" i="1"/>
  <c r="AL246" i="1" s="1"/>
  <c r="AL259" i="1"/>
  <c r="AL237" i="1"/>
  <c r="J288" i="2"/>
  <c r="J416" i="2"/>
  <c r="L39" i="27" s="1"/>
  <c r="J242" i="2"/>
  <c r="AL250" i="1"/>
  <c r="J255" i="2"/>
  <c r="J264" i="2"/>
  <c r="J252" i="2"/>
  <c r="D6" i="18"/>
  <c r="AQ236" i="1"/>
  <c r="K252" i="2" l="1"/>
  <c r="K76" i="2"/>
  <c r="AQ5" i="1"/>
  <c r="AQ413" i="1" s="1"/>
  <c r="K249" i="2"/>
  <c r="K288" i="2"/>
  <c r="K416" i="2"/>
  <c r="M39" i="27" s="1"/>
  <c r="K255" i="2"/>
  <c r="AQ259" i="1"/>
  <c r="K245" i="2"/>
  <c r="AQ237" i="1"/>
  <c r="AQ245" i="1"/>
  <c r="AQ246" i="1" s="1"/>
  <c r="AQ250" i="1"/>
  <c r="K146" i="2"/>
  <c r="D8" i="18"/>
  <c r="K242" i="2"/>
  <c r="CT7" i="7"/>
  <c r="K264" i="2"/>
  <c r="AQ279" i="1"/>
  <c r="K74" i="2"/>
  <c r="AQ273" i="1"/>
  <c r="K133" i="2"/>
  <c r="AV237" i="1"/>
  <c r="AL396" i="1"/>
  <c r="AL391" i="1"/>
  <c r="AL400" i="1"/>
  <c r="AL14" i="1"/>
  <c r="AL6" i="1"/>
  <c r="AL408" i="1"/>
  <c r="AL28" i="1"/>
  <c r="AL22" i="1"/>
  <c r="S18" i="3"/>
  <c r="S246" i="3" s="1"/>
  <c r="AL404" i="1"/>
  <c r="CS8" i="7"/>
  <c r="CS31" i="7" s="1"/>
  <c r="CS30" i="7"/>
  <c r="J207" i="2"/>
  <c r="J432" i="2"/>
  <c r="K207" i="2" l="1"/>
  <c r="K432" i="2"/>
  <c r="CS48" i="7"/>
  <c r="CS47" i="7"/>
  <c r="AQ391" i="1"/>
  <c r="AQ408" i="1"/>
  <c r="T18" i="3"/>
  <c r="T246" i="3" s="1"/>
  <c r="AQ396" i="1"/>
  <c r="AQ404" i="1"/>
  <c r="AQ6" i="1"/>
  <c r="AQ28" i="1"/>
  <c r="AQ14" i="1"/>
  <c r="AQ400" i="1"/>
  <c r="AQ22" i="1"/>
  <c r="AV6" i="1"/>
  <c r="CT30" i="7"/>
  <c r="CT8" i="7"/>
  <c r="CT31" i="7" s="1"/>
  <c r="CT48" i="7" l="1"/>
  <c r="CT47" i="7"/>
  <c r="BW233" i="1" l="1"/>
  <c r="BX233" i="1" l="1"/>
  <c r="BW328" i="1" l="1"/>
  <c r="BW306" i="1"/>
  <c r="BW230" i="1" s="1"/>
  <c r="BW231" i="1" s="1"/>
  <c r="BW234" i="1" s="1"/>
  <c r="BW308" i="1"/>
  <c r="BW289" i="1"/>
  <c r="BW312" i="1"/>
  <c r="CB308" i="1"/>
  <c r="BX328" i="1" l="1"/>
  <c r="BX306" i="1"/>
  <c r="BX230" i="1" s="1"/>
  <c r="BX231" i="1" s="1"/>
  <c r="BX234" i="1" s="1"/>
  <c r="BX312" i="1"/>
  <c r="BX289" i="1"/>
  <c r="BX308" i="1"/>
  <c r="CC308" i="1"/>
  <c r="BZ311" i="1"/>
  <c r="BY233" i="1"/>
  <c r="AH6" i="18"/>
  <c r="BW236" i="1"/>
  <c r="BF224" i="1"/>
  <c r="BF225" i="1" s="1"/>
  <c r="BD225" i="1"/>
  <c r="BY328" i="1"/>
  <c r="BK226" i="1" l="1"/>
  <c r="F196" i="6"/>
  <c r="F197" i="6" s="1"/>
  <c r="BT7" i="9"/>
  <c r="BF419" i="1"/>
  <c r="BF226" i="1"/>
  <c r="BF447" i="1"/>
  <c r="D2" i="5"/>
  <c r="BI226" i="1"/>
  <c r="BD447" i="1"/>
  <c r="AW31" i="7"/>
  <c r="BD419" i="1"/>
  <c r="BD226" i="1"/>
  <c r="AW32" i="7"/>
  <c r="AW30" i="7"/>
  <c r="BR7" i="9"/>
  <c r="BW245" i="1"/>
  <c r="BW246" i="1" s="1"/>
  <c r="AH8" i="18"/>
  <c r="BW5" i="1"/>
  <c r="BW413" i="1" s="1"/>
  <c r="BW237" i="1"/>
  <c r="BW250" i="1"/>
  <c r="BW279" i="1"/>
  <c r="CB237" i="1"/>
  <c r="BW259" i="1"/>
  <c r="BW273" i="1"/>
  <c r="BZ233" i="1"/>
  <c r="BD233" i="1"/>
  <c r="BD234" i="1" s="1"/>
  <c r="BD312" i="1"/>
  <c r="BF311" i="1"/>
  <c r="BX236" i="1"/>
  <c r="AI6" i="18"/>
  <c r="BZ307" i="1"/>
  <c r="BZ328" i="1" s="1"/>
  <c r="BY306" i="1"/>
  <c r="BY230" i="1" s="1"/>
  <c r="BY231" i="1" s="1"/>
  <c r="BY234" i="1" s="1"/>
  <c r="BY312" i="1"/>
  <c r="BY289" i="1"/>
  <c r="BY308" i="1"/>
  <c r="CD308" i="1"/>
  <c r="D19" i="16" l="1"/>
  <c r="D20" i="14"/>
  <c r="AC20" i="14" s="1"/>
  <c r="BK448" i="1"/>
  <c r="BF371" i="1"/>
  <c r="BF463" i="1"/>
  <c r="BF455" i="1"/>
  <c r="BF448" i="1"/>
  <c r="N411" i="2"/>
  <c r="BI448" i="1"/>
  <c r="BD448" i="1"/>
  <c r="BD455" i="1"/>
  <c r="AW48" i="7"/>
  <c r="AW47" i="7"/>
  <c r="AJ6" i="18"/>
  <c r="BY236" i="1"/>
  <c r="BW28" i="1"/>
  <c r="BW6" i="1"/>
  <c r="BW8" i="1"/>
  <c r="BW14" i="1"/>
  <c r="BW22" i="1"/>
  <c r="CB6" i="1"/>
  <c r="BW396" i="1"/>
  <c r="BW391" i="1"/>
  <c r="BW400" i="1"/>
  <c r="BW404" i="1"/>
  <c r="BW408" i="1"/>
  <c r="BK420" i="1"/>
  <c r="BF442" i="1"/>
  <c r="BF420" i="1"/>
  <c r="BF421" i="1"/>
  <c r="BF425" i="1"/>
  <c r="BI420" i="1"/>
  <c r="BD442" i="1"/>
  <c r="BD445" i="1" s="1"/>
  <c r="BD425" i="1"/>
  <c r="BD426" i="1" s="1"/>
  <c r="BF426" i="1" s="1"/>
  <c r="BD421" i="1"/>
  <c r="BD420" i="1"/>
  <c r="BZ308" i="1"/>
  <c r="BZ289" i="1"/>
  <c r="BZ306" i="1"/>
  <c r="BZ230" i="1" s="1"/>
  <c r="BZ312" i="1"/>
  <c r="CE308" i="1"/>
  <c r="BD235" i="1"/>
  <c r="BD236" i="1" s="1"/>
  <c r="BF313" i="1"/>
  <c r="BF235" i="1" s="1"/>
  <c r="G7" i="18" s="1"/>
  <c r="BX250" i="1"/>
  <c r="BX237" i="1"/>
  <c r="AI8" i="18"/>
  <c r="BX245" i="1"/>
  <c r="BX246" i="1" s="1"/>
  <c r="BX5" i="1"/>
  <c r="BX413" i="1" s="1"/>
  <c r="CC237" i="1"/>
  <c r="BX279" i="1"/>
  <c r="BX259" i="1"/>
  <c r="BX273" i="1"/>
  <c r="BF233" i="1"/>
  <c r="BF234" i="1" s="1"/>
  <c r="BF312" i="1"/>
  <c r="BF445" i="1" l="1"/>
  <c r="N91" i="2"/>
  <c r="BD237" i="1"/>
  <c r="BD5" i="1"/>
  <c r="BD413" i="1" s="1"/>
  <c r="BD245" i="1"/>
  <c r="BD246" i="1" s="1"/>
  <c r="BD250" i="1"/>
  <c r="BI237" i="1"/>
  <c r="BD259" i="1"/>
  <c r="BD273" i="1"/>
  <c r="BD279" i="1"/>
  <c r="BD459" i="1"/>
  <c r="BD456" i="1"/>
  <c r="BD431" i="1"/>
  <c r="BD430" i="1"/>
  <c r="BI456" i="1"/>
  <c r="BD465" i="1"/>
  <c r="BF236" i="1"/>
  <c r="G6" i="18"/>
  <c r="BX14" i="1"/>
  <c r="BX8" i="1"/>
  <c r="BX6" i="1"/>
  <c r="BX28" i="1"/>
  <c r="CC6" i="1"/>
  <c r="BX400" i="1"/>
  <c r="BX396" i="1"/>
  <c r="BX408" i="1"/>
  <c r="BX404" i="1"/>
  <c r="BX391" i="1"/>
  <c r="BX22" i="1"/>
  <c r="BF459" i="1"/>
  <c r="BF456" i="1"/>
  <c r="D3" i="5"/>
  <c r="BF430" i="1"/>
  <c r="BF431" i="1"/>
  <c r="N419" i="2" s="1"/>
  <c r="BF465" i="1"/>
  <c r="BF443" i="1" s="1"/>
  <c r="BK456" i="1"/>
  <c r="D14" i="14"/>
  <c r="BZ231" i="1"/>
  <c r="D13" i="16"/>
  <c r="BK372" i="1"/>
  <c r="BF372" i="1"/>
  <c r="BF373" i="1"/>
  <c r="BY5" i="1"/>
  <c r="BY413" i="1" s="1"/>
  <c r="BY245" i="1"/>
  <c r="BY246" i="1" s="1"/>
  <c r="AJ8" i="18"/>
  <c r="BY237" i="1"/>
  <c r="BY250" i="1"/>
  <c r="CD237" i="1"/>
  <c r="BY279" i="1"/>
  <c r="BY259" i="1"/>
  <c r="BY273" i="1"/>
  <c r="CH233" i="1"/>
  <c r="E15" i="14" l="1"/>
  <c r="AC14" i="14"/>
  <c r="BF374" i="1"/>
  <c r="BK374" i="1"/>
  <c r="BD460" i="1"/>
  <c r="BI460" i="1"/>
  <c r="DA32" i="7"/>
  <c r="D16" i="14"/>
  <c r="D15" i="16"/>
  <c r="BZ234" i="1"/>
  <c r="BD6" i="1"/>
  <c r="BD8" i="1"/>
  <c r="BD28" i="1"/>
  <c r="BD14" i="1"/>
  <c r="BD404" i="1"/>
  <c r="BD396" i="1"/>
  <c r="BD400" i="1"/>
  <c r="BD391" i="1"/>
  <c r="BD408" i="1"/>
  <c r="BI6" i="1"/>
  <c r="BD22" i="1"/>
  <c r="E14" i="16"/>
  <c r="E80" i="16"/>
  <c r="CG233" i="1"/>
  <c r="CJ311" i="1"/>
  <c r="N94" i="2"/>
  <c r="N92" i="2"/>
  <c r="N288" i="2"/>
  <c r="N252" i="2"/>
  <c r="N76" i="2"/>
  <c r="BF245" i="1"/>
  <c r="BF246" i="1" s="1"/>
  <c r="CW7" i="7"/>
  <c r="N245" i="2"/>
  <c r="N416" i="2"/>
  <c r="P39" i="27" s="1"/>
  <c r="N255" i="2"/>
  <c r="G8" i="18"/>
  <c r="BF237" i="1"/>
  <c r="N146" i="2"/>
  <c r="N74" i="2"/>
  <c r="N242" i="2"/>
  <c r="BF5" i="1"/>
  <c r="BF413" i="1" s="1"/>
  <c r="N249" i="2"/>
  <c r="N264" i="2"/>
  <c r="N133" i="2"/>
  <c r="BF250" i="1"/>
  <c r="BF279" i="1"/>
  <c r="BF273" i="1"/>
  <c r="BF259" i="1"/>
  <c r="BK237" i="1"/>
  <c r="BK460" i="1"/>
  <c r="BE459" i="1"/>
  <c r="N422" i="2"/>
  <c r="N423" i="2" s="1"/>
  <c r="BF460" i="1"/>
  <c r="N413" i="2"/>
  <c r="BY28" i="1"/>
  <c r="BY8" i="1"/>
  <c r="BY14" i="1"/>
  <c r="BY6" i="1"/>
  <c r="CD6" i="1"/>
  <c r="BY400" i="1"/>
  <c r="BY404" i="1"/>
  <c r="BY391" i="1"/>
  <c r="BY408" i="1"/>
  <c r="BY396" i="1"/>
  <c r="BY22" i="1"/>
  <c r="E17" i="14" l="1"/>
  <c r="AC16" i="14"/>
  <c r="W18" i="3"/>
  <c r="W246" i="3" s="1"/>
  <c r="BF28" i="1"/>
  <c r="C5" i="10"/>
  <c r="C20" i="10" s="1"/>
  <c r="BF8" i="1"/>
  <c r="BF18" i="1" s="1"/>
  <c r="BF6" i="1"/>
  <c r="BF391" i="1"/>
  <c r="BF404" i="1"/>
  <c r="BF400" i="1"/>
  <c r="BF408" i="1"/>
  <c r="BF396" i="1"/>
  <c r="BF14" i="1"/>
  <c r="BF22" i="1"/>
  <c r="BK6" i="1"/>
  <c r="CL308" i="1"/>
  <c r="BE460" i="1"/>
  <c r="BJ460" i="1"/>
  <c r="K6" i="18"/>
  <c r="D21" i="14"/>
  <c r="BZ236" i="1"/>
  <c r="D20" i="16"/>
  <c r="CJ233" i="1"/>
  <c r="CH328" i="1"/>
  <c r="CH312" i="1"/>
  <c r="CH289" i="1"/>
  <c r="CH306" i="1"/>
  <c r="CH230" i="1" s="1"/>
  <c r="CH231" i="1" s="1"/>
  <c r="CH234" i="1" s="1"/>
  <c r="CH308" i="1"/>
  <c r="N424" i="2"/>
  <c r="O424" i="2"/>
  <c r="E81" i="16"/>
  <c r="E16" i="16"/>
  <c r="CW8" i="7"/>
  <c r="CW31" i="7" s="1"/>
  <c r="CW30" i="7"/>
  <c r="N432" i="2"/>
  <c r="N207" i="2"/>
  <c r="E22" i="14" l="1"/>
  <c r="AC21" i="14"/>
  <c r="AQ6" i="18"/>
  <c r="CH236" i="1"/>
  <c r="CM237" i="1" s="1"/>
  <c r="F19" i="16"/>
  <c r="F20" i="14"/>
  <c r="AE20" i="14" s="1"/>
  <c r="O20" i="16"/>
  <c r="P21" i="16" s="1"/>
  <c r="E21" i="16"/>
  <c r="BZ245" i="1"/>
  <c r="BZ246" i="1" s="1"/>
  <c r="R264" i="2"/>
  <c r="DA7" i="7"/>
  <c r="R146" i="2"/>
  <c r="BZ250" i="1"/>
  <c r="K8" i="18"/>
  <c r="R255" i="2"/>
  <c r="T255" i="2" s="1"/>
  <c r="V255" i="2" s="1"/>
  <c r="W255" i="2" s="1"/>
  <c r="X255" i="2" s="1"/>
  <c r="Y255" i="2" s="1"/>
  <c r="Z255" i="2" s="1"/>
  <c r="AA255" i="2" s="1"/>
  <c r="R288" i="2"/>
  <c r="R74" i="2"/>
  <c r="J98" i="4" s="1"/>
  <c r="D25" i="14"/>
  <c r="CN7" i="9"/>
  <c r="R76" i="2"/>
  <c r="R242" i="2"/>
  <c r="R252" i="2"/>
  <c r="R416" i="2"/>
  <c r="T39" i="27" s="1"/>
  <c r="BZ5" i="1"/>
  <c r="BZ413" i="1" s="1"/>
  <c r="R249" i="2"/>
  <c r="D24" i="16"/>
  <c r="BZ237" i="1"/>
  <c r="R245" i="2"/>
  <c r="CE237" i="1"/>
  <c r="BZ279" i="1"/>
  <c r="R133" i="2"/>
  <c r="BZ259" i="1"/>
  <c r="BZ273" i="1"/>
  <c r="CW48" i="7"/>
  <c r="CW47" i="7"/>
  <c r="CG306" i="1"/>
  <c r="CG230" i="1" s="1"/>
  <c r="CG231" i="1" s="1"/>
  <c r="CG234" i="1" s="1"/>
  <c r="CG289" i="1"/>
  <c r="CG312" i="1"/>
  <c r="CG308" i="1"/>
  <c r="CJ307" i="1"/>
  <c r="CG328" i="1"/>
  <c r="BF9" i="1"/>
  <c r="CG236" i="1" l="1"/>
  <c r="AP6" i="18"/>
  <c r="CJ289" i="1"/>
  <c r="CJ312" i="1"/>
  <c r="CJ308" i="1"/>
  <c r="CJ306" i="1"/>
  <c r="CO306" i="1" s="1"/>
  <c r="CP306" i="1" s="1"/>
  <c r="CJ328" i="1"/>
  <c r="CO328" i="1" s="1"/>
  <c r="CH250" i="1"/>
  <c r="CH279" i="1"/>
  <c r="CH5" i="1"/>
  <c r="CM6" i="1" s="1"/>
  <c r="CH245" i="1"/>
  <c r="CH237" i="1"/>
  <c r="AQ8" i="18"/>
  <c r="L672" i="21"/>
  <c r="CH259" i="1"/>
  <c r="CH273" i="1"/>
  <c r="D29" i="16"/>
  <c r="D37" i="16"/>
  <c r="O24" i="16"/>
  <c r="E84" i="16"/>
  <c r="E25" i="16"/>
  <c r="D33" i="16"/>
  <c r="DA8" i="7"/>
  <c r="DA31" i="7" s="1"/>
  <c r="DA30" i="7"/>
  <c r="BZ28" i="1"/>
  <c r="BZ14" i="1"/>
  <c r="BZ6" i="1"/>
  <c r="AA18" i="3"/>
  <c r="AA246" i="3" s="1"/>
  <c r="G5" i="10"/>
  <c r="BZ8" i="1"/>
  <c r="CE6" i="1"/>
  <c r="BZ391" i="1"/>
  <c r="BZ408" i="1"/>
  <c r="BZ400" i="1"/>
  <c r="BZ396" i="1"/>
  <c r="BZ404" i="1"/>
  <c r="BZ22" i="1"/>
  <c r="R432" i="2"/>
  <c r="R181" i="2"/>
  <c r="R223" i="2"/>
  <c r="R222" i="2"/>
  <c r="R207" i="2"/>
  <c r="AC25" i="14"/>
  <c r="D38" i="14"/>
  <c r="D30" i="14"/>
  <c r="E26" i="14"/>
  <c r="AD26" i="14" s="1"/>
  <c r="D33" i="14"/>
  <c r="D34" i="14"/>
  <c r="CH413" i="1" l="1"/>
  <c r="CL237" i="1"/>
  <c r="L679" i="21"/>
  <c r="CH246" i="1"/>
  <c r="L680" i="21" s="1"/>
  <c r="CP328" i="1"/>
  <c r="CQ328" i="1" s="1"/>
  <c r="CR328" i="1" s="1"/>
  <c r="CS328" i="1" s="1"/>
  <c r="CT328" i="1" s="1"/>
  <c r="CJ230" i="1"/>
  <c r="CH8" i="1"/>
  <c r="CH6" i="1"/>
  <c r="CH22" i="1"/>
  <c r="CH28" i="1"/>
  <c r="CH14" i="1"/>
  <c r="CH408" i="1"/>
  <c r="CH396" i="1"/>
  <c r="CH404" i="1"/>
  <c r="CH391" i="1"/>
  <c r="CH400" i="1"/>
  <c r="W24" i="16"/>
  <c r="O29" i="16"/>
  <c r="W29" i="16" s="1"/>
  <c r="O22" i="16"/>
  <c r="P23" i="16" s="1"/>
  <c r="O37" i="16"/>
  <c r="W37" i="16" s="1"/>
  <c r="P25" i="16"/>
  <c r="X25" i="16" s="1"/>
  <c r="O33" i="16"/>
  <c r="W33" i="16" s="1"/>
  <c r="DA48" i="7"/>
  <c r="DA47" i="7"/>
  <c r="BZ9" i="1"/>
  <c r="CV8" i="1"/>
  <c r="BZ18" i="1"/>
  <c r="BZ33" i="1"/>
  <c r="J99" i="4" s="1"/>
  <c r="G28" i="10"/>
  <c r="G20" i="10"/>
  <c r="L609" i="21"/>
  <c r="L695" i="21"/>
  <c r="AP8" i="18"/>
  <c r="CG237" i="1"/>
  <c r="CG245" i="1"/>
  <c r="CG250" i="1"/>
  <c r="K672" i="21"/>
  <c r="CG5" i="1"/>
  <c r="CG279" i="1"/>
  <c r="CG259" i="1"/>
  <c r="E7" i="17"/>
  <c r="CG273" i="1"/>
  <c r="CL6" i="1" l="1"/>
  <c r="CG413" i="1"/>
  <c r="K609" i="21"/>
  <c r="K695" i="21"/>
  <c r="W672" i="21"/>
  <c r="CG8" i="1"/>
  <c r="CG14" i="1"/>
  <c r="CG6" i="1"/>
  <c r="CG28" i="1"/>
  <c r="CG404" i="1"/>
  <c r="CG408" i="1"/>
  <c r="CG400" i="1"/>
  <c r="CG391" i="1"/>
  <c r="CG396" i="1"/>
  <c r="CG22" i="1"/>
  <c r="CJ231" i="1"/>
  <c r="F13" i="16"/>
  <c r="F14" i="14"/>
  <c r="L28" i="21"/>
  <c r="L612" i="21"/>
  <c r="L552" i="21" s="1"/>
  <c r="E28" i="17"/>
  <c r="F8" i="17"/>
  <c r="G7" i="17"/>
  <c r="E29" i="17"/>
  <c r="E22" i="17"/>
  <c r="E24" i="17"/>
  <c r="E21" i="17"/>
  <c r="E23" i="17"/>
  <c r="E25" i="17"/>
  <c r="K679" i="21"/>
  <c r="W679" i="21" s="1"/>
  <c r="CG246" i="1"/>
  <c r="K680" i="21" s="1"/>
  <c r="W680" i="21" s="1"/>
  <c r="CO230" i="1"/>
  <c r="J237" i="21"/>
  <c r="F15" i="14" l="1"/>
  <c r="AE14" i="14"/>
  <c r="E31" i="17"/>
  <c r="L237" i="21"/>
  <c r="J239" i="21"/>
  <c r="J242" i="21"/>
  <c r="J249" i="21"/>
  <c r="W609" i="21"/>
  <c r="W695" i="21"/>
  <c r="L578" i="21"/>
  <c r="L572" i="21"/>
  <c r="L34" i="21"/>
  <c r="G26" i="17"/>
  <c r="G23" i="17"/>
  <c r="L8" i="17" s="1"/>
  <c r="G22" i="17"/>
  <c r="L7" i="17" s="1"/>
  <c r="G25" i="17"/>
  <c r="L9" i="17" s="1"/>
  <c r="G24" i="17"/>
  <c r="G21" i="17"/>
  <c r="CQ306" i="1"/>
  <c r="CP230" i="1"/>
  <c r="G14" i="14"/>
  <c r="G13" i="16"/>
  <c r="F80" i="16"/>
  <c r="F14" i="16"/>
  <c r="DC32" i="7"/>
  <c r="CJ234" i="1"/>
  <c r="F16" i="14"/>
  <c r="AE16" i="14" s="1"/>
  <c r="F15" i="16"/>
  <c r="K612" i="21"/>
  <c r="K552" i="21" s="1"/>
  <c r="K28" i="21"/>
  <c r="G15" i="14" l="1"/>
  <c r="AF14" i="14"/>
  <c r="W612" i="21"/>
  <c r="W552" i="21" s="1"/>
  <c r="W28" i="21"/>
  <c r="G14" i="16"/>
  <c r="G80" i="16"/>
  <c r="K572" i="21"/>
  <c r="K578" i="21"/>
  <c r="K34" i="21"/>
  <c r="F81" i="16"/>
  <c r="F16" i="16"/>
  <c r="H14" i="14"/>
  <c r="H13" i="16"/>
  <c r="F17" i="14"/>
  <c r="N16" i="14"/>
  <c r="CR306" i="1"/>
  <c r="CQ230" i="1"/>
  <c r="CJ236" i="1"/>
  <c r="F21" i="14"/>
  <c r="F20" i="16"/>
  <c r="M6" i="18"/>
  <c r="G31" i="17"/>
  <c r="L239" i="21"/>
  <c r="L242" i="21"/>
  <c r="L249" i="21"/>
  <c r="F22" i="14" l="1"/>
  <c r="AE21" i="14"/>
  <c r="H15" i="14"/>
  <c r="AG14" i="14"/>
  <c r="H14" i="16"/>
  <c r="H80" i="16"/>
  <c r="F61" i="16"/>
  <c r="F21" i="16"/>
  <c r="W576" i="21"/>
  <c r="W578" i="21"/>
  <c r="W33" i="21"/>
  <c r="W577" i="21"/>
  <c r="CJ5" i="1"/>
  <c r="CJ245" i="1"/>
  <c r="DC7" i="7"/>
  <c r="T288" i="2"/>
  <c r="T416" i="2"/>
  <c r="V39" i="27" s="1"/>
  <c r="M8" i="18"/>
  <c r="CJ250" i="1"/>
  <c r="T74" i="2"/>
  <c r="L98" i="4" s="1"/>
  <c r="CJ237" i="1"/>
  <c r="F24" i="16"/>
  <c r="T146" i="2"/>
  <c r="F25" i="14"/>
  <c r="T76" i="2"/>
  <c r="N672" i="21"/>
  <c r="T133" i="2"/>
  <c r="CX7" i="9"/>
  <c r="CJ279" i="1"/>
  <c r="CJ259" i="1"/>
  <c r="CJ273" i="1"/>
  <c r="T252" i="2"/>
  <c r="T249" i="2"/>
  <c r="V249" i="2" s="1"/>
  <c r="T242" i="2"/>
  <c r="V242" i="2" s="1"/>
  <c r="T245" i="2"/>
  <c r="V245" i="2" s="1"/>
  <c r="T264" i="2"/>
  <c r="I14" i="14"/>
  <c r="I13" i="16"/>
  <c r="CR230" i="1"/>
  <c r="CS306" i="1"/>
  <c r="DF6" i="1" l="1"/>
  <c r="DH6" i="1" s="1"/>
  <c r="DF7" i="1"/>
  <c r="DH7" i="1" s="1"/>
  <c r="CJ413" i="1"/>
  <c r="I15" i="14"/>
  <c r="AH14" i="14"/>
  <c r="CJ14" i="1"/>
  <c r="CJ28" i="1"/>
  <c r="I5" i="10"/>
  <c r="I20" i="10" s="1"/>
  <c r="AC18" i="3"/>
  <c r="AC246" i="3" s="1"/>
  <c r="CJ6" i="1"/>
  <c r="CJ396" i="1"/>
  <c r="CJ391" i="1"/>
  <c r="CJ408" i="1"/>
  <c r="CP408" i="1" s="1"/>
  <c r="CQ408" i="1" s="1"/>
  <c r="CR408" i="1" s="1"/>
  <c r="CS408" i="1" s="1"/>
  <c r="CT408" i="1" s="1"/>
  <c r="CJ400" i="1"/>
  <c r="CJ22" i="1"/>
  <c r="CJ404" i="1"/>
  <c r="DC8" i="7"/>
  <c r="DC31" i="7" s="1"/>
  <c r="DC30" i="7"/>
  <c r="I14" i="16"/>
  <c r="I80" i="16"/>
  <c r="W245" i="2"/>
  <c r="N679" i="21"/>
  <c r="CJ246" i="1"/>
  <c r="N25" i="14"/>
  <c r="F26" i="14"/>
  <c r="AE26" i="14" s="1"/>
  <c r="AE25" i="14"/>
  <c r="F30" i="14"/>
  <c r="F38" i="14"/>
  <c r="F34" i="14"/>
  <c r="F33" i="14"/>
  <c r="CT306" i="1"/>
  <c r="CS230" i="1"/>
  <c r="W249" i="2"/>
  <c r="F62" i="16"/>
  <c r="Y61" i="16"/>
  <c r="N343" i="21"/>
  <c r="N609" i="21"/>
  <c r="G5" i="23"/>
  <c r="N695" i="21"/>
  <c r="Y24" i="16"/>
  <c r="F29" i="16"/>
  <c r="Y29" i="16" s="1"/>
  <c r="F84" i="16"/>
  <c r="F25" i="16"/>
  <c r="Y25" i="16" s="1"/>
  <c r="F37" i="16"/>
  <c r="Y37" i="16" s="1"/>
  <c r="F33" i="16"/>
  <c r="Y33" i="16" s="1"/>
  <c r="W242" i="2"/>
  <c r="J13" i="16"/>
  <c r="J14" i="14"/>
  <c r="T223" i="2"/>
  <c r="V223" i="2" s="1"/>
  <c r="T181" i="2"/>
  <c r="V181" i="2" s="1"/>
  <c r="T432" i="2"/>
  <c r="T207" i="2"/>
  <c r="V207" i="2" s="1"/>
  <c r="T222" i="2"/>
  <c r="W222" i="2" s="1"/>
  <c r="W223" i="2" l="1"/>
  <c r="J15" i="14"/>
  <c r="AI14" i="14"/>
  <c r="K14" i="14"/>
  <c r="K15" i="14" s="1"/>
  <c r="K13" i="16"/>
  <c r="N680" i="21"/>
  <c r="CJ428" i="1"/>
  <c r="CT230" i="1"/>
  <c r="W181" i="2"/>
  <c r="W207" i="2"/>
  <c r="DC48" i="7"/>
  <c r="DC47" i="7"/>
  <c r="CP391" i="1"/>
  <c r="I5" i="23"/>
  <c r="E35" i="17"/>
  <c r="G7" i="23"/>
  <c r="G29" i="23"/>
  <c r="G10" i="23"/>
  <c r="G17" i="23"/>
  <c r="M609" i="21"/>
  <c r="M612" i="21" s="1"/>
  <c r="N612" i="21"/>
  <c r="N552" i="21" s="1"/>
  <c r="N24" i="21"/>
  <c r="N468" i="21"/>
  <c r="O468" i="21" s="1"/>
  <c r="N344" i="21"/>
  <c r="N469" i="21"/>
  <c r="O469" i="21" s="1"/>
  <c r="O374" i="21"/>
  <c r="N348" i="21"/>
  <c r="O344" i="21"/>
  <c r="X343" i="21"/>
  <c r="N382" i="21"/>
  <c r="N2" i="21" s="1"/>
  <c r="C11" i="25"/>
  <c r="C50" i="25" s="1"/>
  <c r="N374" i="21"/>
  <c r="N380" i="21"/>
  <c r="N354" i="21"/>
  <c r="N267" i="21"/>
  <c r="N381" i="21"/>
  <c r="N365" i="21"/>
  <c r="N1" i="21" s="1"/>
  <c r="J80" i="16"/>
  <c r="J14" i="16"/>
  <c r="X245" i="2"/>
  <c r="X242" i="2"/>
  <c r="X249" i="2"/>
  <c r="L14" i="14" l="1"/>
  <c r="L15" i="14" s="1"/>
  <c r="L13" i="16"/>
  <c r="CQ391" i="1"/>
  <c r="P469" i="21"/>
  <c r="O463" i="21"/>
  <c r="CX8" i="9"/>
  <c r="CX14" i="9" s="1"/>
  <c r="CJ431" i="1"/>
  <c r="T419" i="2" s="1"/>
  <c r="CJ430" i="1"/>
  <c r="CJ429" i="1"/>
  <c r="N576" i="21"/>
  <c r="N572" i="21"/>
  <c r="D38" i="22"/>
  <c r="N578" i="21"/>
  <c r="N577" i="21"/>
  <c r="X222" i="2"/>
  <c r="Y249" i="2"/>
  <c r="X207" i="2"/>
  <c r="P468" i="21"/>
  <c r="O462" i="21"/>
  <c r="G31" i="23"/>
  <c r="G41" i="23"/>
  <c r="G34" i="23"/>
  <c r="K80" i="16"/>
  <c r="K14" i="16"/>
  <c r="Y242" i="2"/>
  <c r="Y245" i="2"/>
  <c r="X223" i="2"/>
  <c r="E49" i="17"/>
  <c r="G35" i="17"/>
  <c r="E43" i="17"/>
  <c r="G43" i="17" s="1"/>
  <c r="E46" i="17"/>
  <c r="E52" i="17"/>
  <c r="E56" i="17"/>
  <c r="E58" i="17"/>
  <c r="E59" i="17"/>
  <c r="L35" i="17" s="1"/>
  <c r="E55" i="17"/>
  <c r="E57" i="17"/>
  <c r="K5" i="23"/>
  <c r="I29" i="23"/>
  <c r="I7" i="23"/>
  <c r="L5" i="23"/>
  <c r="I10" i="23"/>
  <c r="I17" i="23"/>
  <c r="X181" i="2"/>
  <c r="Q469" i="21" l="1"/>
  <c r="P463" i="21"/>
  <c r="Y181" i="2"/>
  <c r="D46" i="22"/>
  <c r="D47" i="22"/>
  <c r="Z245" i="2"/>
  <c r="Z242" i="2"/>
  <c r="CR391" i="1"/>
  <c r="I31" i="23"/>
  <c r="I41" i="23"/>
  <c r="I34" i="23"/>
  <c r="P462" i="21"/>
  <c r="Q468" i="21"/>
  <c r="Y223" i="2"/>
  <c r="L14" i="16"/>
  <c r="L80" i="16"/>
  <c r="N13" i="16"/>
  <c r="G46" i="17"/>
  <c r="G52" i="17"/>
  <c r="E192" i="17" s="1"/>
  <c r="G49" i="17"/>
  <c r="L37" i="17" s="1"/>
  <c r="H35" i="17"/>
  <c r="G56" i="17"/>
  <c r="G57" i="17"/>
  <c r="G55" i="17"/>
  <c r="G58" i="17"/>
  <c r="G59" i="17"/>
  <c r="Z249" i="2"/>
  <c r="Y207" i="2"/>
  <c r="Y222" i="2"/>
  <c r="O465" i="21"/>
  <c r="O531" i="21"/>
  <c r="O423" i="21"/>
  <c r="D24" i="25" s="1"/>
  <c r="Z222" i="2" l="1"/>
  <c r="Z207" i="2"/>
  <c r="J59" i="17"/>
  <c r="J58" i="17"/>
  <c r="Z223" i="2"/>
  <c r="J55" i="17"/>
  <c r="Z181" i="2"/>
  <c r="J57" i="17"/>
  <c r="L36" i="17"/>
  <c r="CS391" i="1"/>
  <c r="P531" i="21"/>
  <c r="P423" i="21"/>
  <c r="E24" i="25" s="1"/>
  <c r="J56" i="17"/>
  <c r="L34" i="17"/>
  <c r="R469" i="21"/>
  <c r="Q463" i="21"/>
  <c r="AA245" i="2"/>
  <c r="O508" i="21"/>
  <c r="D37" i="25" s="1"/>
  <c r="O466" i="21"/>
  <c r="P461" i="21"/>
  <c r="O497" i="21"/>
  <c r="O534" i="21"/>
  <c r="O517" i="21"/>
  <c r="X517" i="21" s="1"/>
  <c r="Q462" i="21"/>
  <c r="R468" i="21"/>
  <c r="AA242" i="2"/>
  <c r="AA249" i="2"/>
  <c r="Q531" i="21" l="1"/>
  <c r="Q423" i="21"/>
  <c r="F24" i="25" s="1"/>
  <c r="AA181" i="2"/>
  <c r="S469" i="21"/>
  <c r="R463" i="21"/>
  <c r="P464" i="21"/>
  <c r="P465" i="21" s="1"/>
  <c r="AA207" i="2"/>
  <c r="AA223" i="2"/>
  <c r="AA222" i="2"/>
  <c r="R462" i="21"/>
  <c r="S468" i="21"/>
  <c r="CT391" i="1"/>
  <c r="T469" i="21" l="1"/>
  <c r="T463" i="21" s="1"/>
  <c r="S463" i="21"/>
  <c r="P497" i="21"/>
  <c r="P466" i="21"/>
  <c r="P517" i="21"/>
  <c r="Y517" i="21" s="1"/>
  <c r="P534" i="21"/>
  <c r="P508" i="21"/>
  <c r="E37" i="25" s="1"/>
  <c r="Q461" i="21"/>
  <c r="T468" i="21"/>
  <c r="T462" i="21" s="1"/>
  <c r="S462" i="21"/>
  <c r="R531" i="21"/>
  <c r="R423" i="21"/>
  <c r="G24" i="25" s="1"/>
  <c r="Q464" i="21" l="1"/>
  <c r="Q465" i="21" s="1"/>
  <c r="S423" i="21"/>
  <c r="S531" i="21"/>
  <c r="T531" i="21"/>
  <c r="T423" i="21"/>
  <c r="R461" i="21" l="1"/>
  <c r="Q534" i="21"/>
  <c r="Q517" i="21"/>
  <c r="Z517" i="21" s="1"/>
  <c r="Q508" i="21"/>
  <c r="F37" i="25" s="1"/>
  <c r="Q466" i="21"/>
  <c r="Q497" i="21"/>
  <c r="R464" i="21" l="1"/>
  <c r="R465" i="21" s="1"/>
  <c r="R497" i="21" l="1"/>
  <c r="R466" i="21"/>
  <c r="S461" i="21"/>
  <c r="R534" i="21"/>
  <c r="R517" i="21"/>
  <c r="AA517" i="21" s="1"/>
  <c r="R508" i="21"/>
  <c r="G37" i="25" s="1"/>
  <c r="S464" i="21" l="1"/>
  <c r="S465" i="21" s="1"/>
  <c r="S508" i="21" l="1"/>
  <c r="T461" i="21"/>
  <c r="T464" i="21" s="1"/>
  <c r="T465" i="21" s="1"/>
  <c r="S466" i="21"/>
  <c r="S534" i="21"/>
  <c r="S497" i="21"/>
  <c r="S517" i="21"/>
  <c r="AB517" i="21" s="1"/>
  <c r="T517" i="21" l="1"/>
  <c r="T466" i="21"/>
  <c r="T534" i="21"/>
  <c r="T497" i="21"/>
  <c r="T508" i="21"/>
  <c r="CO42" i="1" l="1"/>
  <c r="V400" i="2" s="1"/>
  <c r="CP42" i="1"/>
  <c r="AE244" i="3" s="1"/>
  <c r="CQ42" i="1"/>
  <c r="CR42" i="1"/>
  <c r="CS42" i="1"/>
  <c r="CT42" i="1"/>
  <c r="CO62" i="1"/>
  <c r="CO69" i="1" s="1"/>
  <c r="CO57" i="1"/>
  <c r="CP57" i="1"/>
  <c r="CQ57" i="1"/>
  <c r="CR57" i="1"/>
  <c r="CS57" i="1"/>
  <c r="CT57" i="1"/>
  <c r="CO61" i="1"/>
  <c r="CO68" i="1" s="1"/>
  <c r="V401" i="2" s="1"/>
  <c r="CP61" i="1"/>
  <c r="CP68" i="1" s="1"/>
  <c r="W401" i="2" s="1"/>
  <c r="CQ61" i="1"/>
  <c r="CQ68" i="1" s="1"/>
  <c r="X401" i="2" s="1"/>
  <c r="CR61" i="1"/>
  <c r="CR68" i="1" s="1"/>
  <c r="Y401" i="2" s="1"/>
  <c r="CS61" i="1"/>
  <c r="CS68" i="1" s="1"/>
  <c r="Z401" i="2" s="1"/>
  <c r="CT61" i="1"/>
  <c r="CT68" i="1" s="1"/>
  <c r="AA401" i="2" s="1"/>
  <c r="CP74" i="1"/>
  <c r="CQ74" i="1"/>
  <c r="CR74" i="1"/>
  <c r="CS74" i="1"/>
  <c r="CT74" i="1"/>
  <c r="CP75" i="1"/>
  <c r="CQ75" i="1"/>
  <c r="CR75" i="1"/>
  <c r="CS75" i="1"/>
  <c r="CT75" i="1"/>
  <c r="CO96" i="1"/>
  <c r="CP96" i="1"/>
  <c r="CQ94" i="1" s="1"/>
  <c r="CQ125" i="1" s="1"/>
  <c r="CQ96" i="1"/>
  <c r="AF51" i="3" s="1"/>
  <c r="AF243" i="3" s="1"/>
  <c r="CR96" i="1"/>
  <c r="R388" i="21" s="1"/>
  <c r="CS96" i="1"/>
  <c r="CS89" i="1" s="1"/>
  <c r="CT96" i="1"/>
  <c r="L51" i="14" s="1"/>
  <c r="CP43" i="1" l="1"/>
  <c r="CO89" i="1"/>
  <c r="CO90" i="1" s="1"/>
  <c r="CO97" i="1"/>
  <c r="K55" i="16"/>
  <c r="DH41" i="7"/>
  <c r="CR82" i="1"/>
  <c r="I55" i="16"/>
  <c r="AB55" i="16" s="1"/>
  <c r="DF41" i="7"/>
  <c r="CS62" i="1"/>
  <c r="CS69" i="1" s="1"/>
  <c r="P16" i="18"/>
  <c r="Q388" i="21"/>
  <c r="DC3" i="9"/>
  <c r="CQ89" i="1"/>
  <c r="CR87" i="1" s="1"/>
  <c r="CR98" i="1"/>
  <c r="CT62" i="1"/>
  <c r="CT69" i="1" s="1"/>
  <c r="CO43" i="1"/>
  <c r="Q16" i="18"/>
  <c r="H55" i="16"/>
  <c r="AA55" i="16" s="1"/>
  <c r="S388" i="21"/>
  <c r="R16" i="18"/>
  <c r="CR62" i="1"/>
  <c r="CR69" i="1" s="1"/>
  <c r="DD41" i="7"/>
  <c r="P388" i="21"/>
  <c r="N16" i="18"/>
  <c r="CS165" i="1"/>
  <c r="DH44" i="7" s="1"/>
  <c r="O388" i="21"/>
  <c r="G55" i="16"/>
  <c r="G58" i="16" s="1"/>
  <c r="Z58" i="16" s="1"/>
  <c r="J55" i="16"/>
  <c r="AC55" i="16" s="1"/>
  <c r="CR165" i="1"/>
  <c r="DG44" i="7" s="1"/>
  <c r="CT98" i="1"/>
  <c r="DG41" i="7"/>
  <c r="AD244" i="3"/>
  <c r="T388" i="21"/>
  <c r="CR89" i="1"/>
  <c r="CS87" i="1" s="1"/>
  <c r="CS90" i="1" s="1"/>
  <c r="CP62" i="1"/>
  <c r="CP69" i="1" s="1"/>
  <c r="S16" i="18"/>
  <c r="L55" i="16"/>
  <c r="CT89" i="1"/>
  <c r="DF3" i="9"/>
  <c r="DI41" i="7"/>
  <c r="CT82" i="1"/>
  <c r="CT165" i="1"/>
  <c r="DI44" i="7" s="1"/>
  <c r="CQ165" i="1"/>
  <c r="DF44" i="7" s="1"/>
  <c r="CS82" i="1"/>
  <c r="CT80" i="1" s="1"/>
  <c r="CS98" i="1"/>
  <c r="CQ82" i="1"/>
  <c r="CR80" i="1" s="1"/>
  <c r="CQ62" i="1"/>
  <c r="CQ69" i="1" s="1"/>
  <c r="DE3" i="9"/>
  <c r="DD3" i="9"/>
  <c r="CT87" i="1"/>
  <c r="AH244" i="3"/>
  <c r="Z400" i="2"/>
  <c r="CS43" i="1"/>
  <c r="W399" i="2"/>
  <c r="CQ97" i="1"/>
  <c r="H51" i="14"/>
  <c r="CP82" i="1"/>
  <c r="CP98" i="1"/>
  <c r="CP89" i="1"/>
  <c r="CP165" i="1"/>
  <c r="CQ98" i="1"/>
  <c r="O16" i="18"/>
  <c r="AE51" i="3"/>
  <c r="AE243" i="3" s="1"/>
  <c r="DB3" i="9"/>
  <c r="AG244" i="3"/>
  <c r="Y400" i="2"/>
  <c r="CR43" i="1"/>
  <c r="V399" i="2"/>
  <c r="CP97" i="1"/>
  <c r="G51" i="14"/>
  <c r="CO95" i="1"/>
  <c r="CO126" i="1" s="1"/>
  <c r="CO127" i="1" s="1"/>
  <c r="CO82" i="1"/>
  <c r="CO83" i="1" s="1"/>
  <c r="CO98" i="1"/>
  <c r="CO165" i="1"/>
  <c r="AD51" i="3"/>
  <c r="AD243" i="3" s="1"/>
  <c r="DA3" i="9"/>
  <c r="CP94" i="1"/>
  <c r="CP125" i="1" s="1"/>
  <c r="DE41" i="7"/>
  <c r="CS80" i="1"/>
  <c r="AH51" i="3"/>
  <c r="AH243" i="3" s="1"/>
  <c r="Z399" i="2"/>
  <c r="CT94" i="1"/>
  <c r="CT125" i="1" s="1"/>
  <c r="CT97" i="1"/>
  <c r="K51" i="14"/>
  <c r="L54" i="14" s="1"/>
  <c r="AG51" i="3"/>
  <c r="AG243" i="3" s="1"/>
  <c r="Y399" i="2"/>
  <c r="CS94" i="1"/>
  <c r="CS125" i="1" s="1"/>
  <c r="CS97" i="1"/>
  <c r="J51" i="14"/>
  <c r="CR94" i="1"/>
  <c r="CR125" i="1" s="1"/>
  <c r="X399" i="2"/>
  <c r="CR97" i="1"/>
  <c r="I51" i="14"/>
  <c r="CQ95" i="1"/>
  <c r="CQ126" i="1" s="1"/>
  <c r="CQ127" i="1" s="1"/>
  <c r="AI244" i="3"/>
  <c r="AA400" i="2"/>
  <c r="CT43" i="1"/>
  <c r="AF244" i="3"/>
  <c r="X400" i="2"/>
  <c r="W400" i="2"/>
  <c r="AI51" i="3"/>
  <c r="AI243" i="3" s="1"/>
  <c r="AA399" i="2"/>
  <c r="CQ43" i="1"/>
  <c r="L58" i="16" l="1"/>
  <c r="CR83" i="1"/>
  <c r="CR319" i="1" s="1"/>
  <c r="CR316" i="1" s="1"/>
  <c r="I58" i="16"/>
  <c r="AB58" i="16" s="1"/>
  <c r="CT158" i="1"/>
  <c r="DI40" i="7" s="1"/>
  <c r="CR90" i="1"/>
  <c r="CS91" i="1" s="1"/>
  <c r="H58" i="16"/>
  <c r="AA58" i="16" s="1"/>
  <c r="Z55" i="16"/>
  <c r="CT166" i="1"/>
  <c r="K58" i="16"/>
  <c r="CT83" i="1"/>
  <c r="CT319" i="1" s="1"/>
  <c r="CT316" i="1" s="1"/>
  <c r="CS166" i="1"/>
  <c r="CS158" i="1"/>
  <c r="DH40" i="7" s="1"/>
  <c r="AA408" i="2"/>
  <c r="J58" i="16"/>
  <c r="AC58" i="16" s="1"/>
  <c r="CT90" i="1"/>
  <c r="CT324" i="1" s="1"/>
  <c r="CT321" i="1" s="1"/>
  <c r="CR158" i="1"/>
  <c r="CQ166" i="1"/>
  <c r="CS83" i="1"/>
  <c r="Y408" i="2"/>
  <c r="CQ158" i="1"/>
  <c r="DF40" i="7" s="1"/>
  <c r="CT88" i="1"/>
  <c r="CR166" i="1"/>
  <c r="CT81" i="1"/>
  <c r="CQ99" i="1"/>
  <c r="CQ142" i="1"/>
  <c r="CQ104" i="1"/>
  <c r="CQ143" i="1"/>
  <c r="CQ138" i="1"/>
  <c r="CQ87" i="1"/>
  <c r="X408" i="2"/>
  <c r="CQ80" i="1"/>
  <c r="J54" i="14"/>
  <c r="AI54" i="14" s="1"/>
  <c r="AI51" i="14"/>
  <c r="H54" i="14"/>
  <c r="AG54" i="14" s="1"/>
  <c r="AG51" i="14"/>
  <c r="CS324" i="1"/>
  <c r="CS321" i="1" s="1"/>
  <c r="AF51" i="14"/>
  <c r="G54" i="14"/>
  <c r="AF54" i="14" s="1"/>
  <c r="CP95" i="1"/>
  <c r="CP126" i="1" s="1"/>
  <c r="CP127" i="1" s="1"/>
  <c r="CT95" i="1"/>
  <c r="CT126" i="1" s="1"/>
  <c r="CT127" i="1" s="1"/>
  <c r="CS88" i="1"/>
  <c r="CO142" i="1"/>
  <c r="CO104" i="1"/>
  <c r="CO143" i="1"/>
  <c r="CO138" i="1"/>
  <c r="CO99" i="1"/>
  <c r="CR95" i="1"/>
  <c r="CR126" i="1" s="1"/>
  <c r="CR127" i="1" s="1"/>
  <c r="CR88" i="1"/>
  <c r="Z408" i="2"/>
  <c r="CO166" i="1"/>
  <c r="DD44" i="7"/>
  <c r="CO158" i="1"/>
  <c r="CP99" i="1"/>
  <c r="CP142" i="1"/>
  <c r="CP104" i="1"/>
  <c r="CP143" i="1"/>
  <c r="CP138" i="1"/>
  <c r="V408" i="2"/>
  <c r="W408" i="2"/>
  <c r="CR324" i="1"/>
  <c r="CR321" i="1" s="1"/>
  <c r="CS99" i="1"/>
  <c r="CS142" i="1"/>
  <c r="CS138" i="1"/>
  <c r="CS143" i="1"/>
  <c r="CS104" i="1"/>
  <c r="CO88" i="1"/>
  <c r="CO75" i="1"/>
  <c r="CP87" i="1"/>
  <c r="CP90" i="1" s="1"/>
  <c r="CS95" i="1"/>
  <c r="CS126" i="1" s="1"/>
  <c r="CS127" i="1" s="1"/>
  <c r="CR81" i="1"/>
  <c r="I54" i="14"/>
  <c r="AH54" i="14" s="1"/>
  <c r="AH51" i="14"/>
  <c r="K54" i="14"/>
  <c r="CS81" i="1"/>
  <c r="CO81" i="1"/>
  <c r="CP80" i="1"/>
  <c r="CP83" i="1" s="1"/>
  <c r="CO74" i="1"/>
  <c r="CR99" i="1"/>
  <c r="CR142" i="1"/>
  <c r="CR104" i="1"/>
  <c r="CR138" i="1"/>
  <c r="CR143" i="1"/>
  <c r="CT99" i="1"/>
  <c r="CT142" i="1"/>
  <c r="CT138" i="1"/>
  <c r="CT143" i="1"/>
  <c r="CT104" i="1"/>
  <c r="CP166" i="1"/>
  <c r="CP158" i="1"/>
  <c r="DE44" i="7"/>
  <c r="CS159" i="1" l="1"/>
  <c r="CT159" i="1"/>
  <c r="DG40" i="7"/>
  <c r="CT84" i="1"/>
  <c r="CS84" i="1"/>
  <c r="CS319" i="1"/>
  <c r="CS316" i="1" s="1"/>
  <c r="CS304" i="1" s="1"/>
  <c r="CQ159" i="1"/>
  <c r="CR159" i="1"/>
  <c r="CT91" i="1"/>
  <c r="CP81" i="1"/>
  <c r="CR114" i="1"/>
  <c r="CR115" i="1" s="1"/>
  <c r="DG39" i="7"/>
  <c r="CP149" i="1"/>
  <c r="DE53" i="7"/>
  <c r="DE54" i="7"/>
  <c r="CT229" i="1"/>
  <c r="CT322" i="1"/>
  <c r="CT305" i="1"/>
  <c r="CP91" i="1"/>
  <c r="CP324" i="1"/>
  <c r="CQ90" i="1"/>
  <c r="CQ88" i="1"/>
  <c r="CR148" i="1"/>
  <c r="DG52" i="7"/>
  <c r="CP88" i="1"/>
  <c r="CO91" i="1"/>
  <c r="CO324" i="1"/>
  <c r="CO114" i="1"/>
  <c r="CO115" i="1" s="1"/>
  <c r="DD39" i="7"/>
  <c r="CQ149" i="1"/>
  <c r="DF53" i="7"/>
  <c r="DF54" i="7"/>
  <c r="CR229" i="1"/>
  <c r="CR305" i="1"/>
  <c r="CR149" i="1"/>
  <c r="DG53" i="7"/>
  <c r="DG54" i="7"/>
  <c r="CQ83" i="1"/>
  <c r="CQ81" i="1"/>
  <c r="CP159" i="1"/>
  <c r="DE40" i="7"/>
  <c r="CO84" i="1"/>
  <c r="CO319" i="1"/>
  <c r="CO316" i="1" s="1"/>
  <c r="CP84" i="1"/>
  <c r="CP319" i="1"/>
  <c r="CP316" i="1" s="1"/>
  <c r="CO159" i="1"/>
  <c r="DD40" i="7"/>
  <c r="CO149" i="1"/>
  <c r="DD53" i="7"/>
  <c r="DD54" i="7"/>
  <c r="CT228" i="1"/>
  <c r="CT304" i="1"/>
  <c r="CS149" i="1"/>
  <c r="DH53" i="7"/>
  <c r="DH54" i="7"/>
  <c r="CT114" i="1"/>
  <c r="CT115" i="1" s="1"/>
  <c r="DI39" i="7"/>
  <c r="CO148" i="1"/>
  <c r="DD52" i="7"/>
  <c r="CQ114" i="1"/>
  <c r="CQ115" i="1" s="1"/>
  <c r="DF39" i="7"/>
  <c r="CP114" i="1"/>
  <c r="CP115" i="1" s="1"/>
  <c r="DE39" i="7"/>
  <c r="CP148" i="1"/>
  <c r="DE52" i="7"/>
  <c r="CS114" i="1"/>
  <c r="CS115" i="1" s="1"/>
  <c r="DH39" i="7"/>
  <c r="CS229" i="1"/>
  <c r="CS322" i="1"/>
  <c r="CS305" i="1"/>
  <c r="CQ148" i="1"/>
  <c r="DF52" i="7"/>
  <c r="DI54" i="7"/>
  <c r="DI53" i="7"/>
  <c r="CT149" i="1"/>
  <c r="CS148" i="1"/>
  <c r="DH52" i="7"/>
  <c r="CT148" i="1"/>
  <c r="DI52" i="7"/>
  <c r="CR228" i="1"/>
  <c r="CR304" i="1"/>
  <c r="CT317" i="1" l="1"/>
  <c r="CS228" i="1"/>
  <c r="CS317" i="1"/>
  <c r="L10" i="14"/>
  <c r="CT231" i="1"/>
  <c r="L9" i="16"/>
  <c r="J12" i="14"/>
  <c r="J11" i="16"/>
  <c r="CP321" i="1"/>
  <c r="CY324" i="1"/>
  <c r="CQ91" i="1"/>
  <c r="CQ324" i="1"/>
  <c r="CQ321" i="1" s="1"/>
  <c r="CR91" i="1"/>
  <c r="K10" i="14"/>
  <c r="CS231" i="1"/>
  <c r="K9" i="16"/>
  <c r="CR136" i="1"/>
  <c r="CR307" i="1"/>
  <c r="CO228" i="1"/>
  <c r="CO304" i="1"/>
  <c r="CO317" i="1"/>
  <c r="J10" i="14"/>
  <c r="CR231" i="1"/>
  <c r="J9" i="16"/>
  <c r="CP228" i="1"/>
  <c r="CP317" i="1"/>
  <c r="CP304" i="1"/>
  <c r="L12" i="14"/>
  <c r="L11" i="16"/>
  <c r="CS136" i="1"/>
  <c r="CS307" i="1"/>
  <c r="K12" i="14"/>
  <c r="K11" i="16"/>
  <c r="CO321" i="1"/>
  <c r="CX324" i="1"/>
  <c r="CT136" i="1"/>
  <c r="CT307" i="1"/>
  <c r="CQ84" i="1"/>
  <c r="CQ319" i="1"/>
  <c r="CQ316" i="1" s="1"/>
  <c r="CR84" i="1"/>
  <c r="K11" i="14" l="1"/>
  <c r="AG251" i="3"/>
  <c r="CR105" i="1"/>
  <c r="J57" i="14"/>
  <c r="Q17" i="18"/>
  <c r="DD6" i="9"/>
  <c r="DG38" i="7"/>
  <c r="R394" i="21"/>
  <c r="DH32" i="7"/>
  <c r="K16" i="14"/>
  <c r="K15" i="16"/>
  <c r="CT311" i="1"/>
  <c r="CT308" i="1"/>
  <c r="CS105" i="1"/>
  <c r="AH251" i="3"/>
  <c r="CS137" i="1"/>
  <c r="K57" i="14"/>
  <c r="R17" i="18"/>
  <c r="DE6" i="9"/>
  <c r="DH38" i="7"/>
  <c r="S394" i="21"/>
  <c r="AI10" i="14"/>
  <c r="K10" i="16"/>
  <c r="K78" i="16"/>
  <c r="AI12" i="14"/>
  <c r="CS311" i="1"/>
  <c r="CS308" i="1"/>
  <c r="L13" i="14"/>
  <c r="O12" i="14"/>
  <c r="CP305" i="1"/>
  <c r="CP307" i="1" s="1"/>
  <c r="CP229" i="1"/>
  <c r="CP322" i="1"/>
  <c r="N9" i="16"/>
  <c r="L10" i="16"/>
  <c r="L78" i="16"/>
  <c r="CQ229" i="1"/>
  <c r="CQ305" i="1"/>
  <c r="CQ322" i="1"/>
  <c r="CR322" i="1"/>
  <c r="H10" i="14"/>
  <c r="H9" i="16"/>
  <c r="J16" i="14"/>
  <c r="DG32" i="7"/>
  <c r="J15" i="16"/>
  <c r="DI32" i="7"/>
  <c r="L16" i="14"/>
  <c r="L15" i="16"/>
  <c r="L12" i="16"/>
  <c r="L79" i="16"/>
  <c r="N11" i="16"/>
  <c r="CQ228" i="1"/>
  <c r="CQ317" i="1"/>
  <c r="CQ304" i="1"/>
  <c r="CR317" i="1"/>
  <c r="L57" i="14"/>
  <c r="CT105" i="1"/>
  <c r="AI251" i="3"/>
  <c r="CT137" i="1"/>
  <c r="S17" i="18"/>
  <c r="DF6" i="9"/>
  <c r="DI38" i="7"/>
  <c r="T394" i="21"/>
  <c r="CO305" i="1"/>
  <c r="CO307" i="1" s="1"/>
  <c r="CO229" i="1"/>
  <c r="CO322" i="1"/>
  <c r="K79" i="16"/>
  <c r="K12" i="16"/>
  <c r="G10" i="14"/>
  <c r="G9" i="16"/>
  <c r="K13" i="14"/>
  <c r="CR311" i="1"/>
  <c r="L11" i="14"/>
  <c r="O10" i="14"/>
  <c r="CS106" i="1" l="1"/>
  <c r="CO136" i="1"/>
  <c r="L58" i="14"/>
  <c r="K58" i="14"/>
  <c r="CT106" i="1"/>
  <c r="CO137" i="1"/>
  <c r="CP308" i="1"/>
  <c r="CP311" i="1"/>
  <c r="H10" i="16"/>
  <c r="H78" i="16"/>
  <c r="H12" i="14"/>
  <c r="H11" i="16"/>
  <c r="K17" i="14"/>
  <c r="CO308" i="1"/>
  <c r="CO311" i="1"/>
  <c r="AI16" i="14"/>
  <c r="CP136" i="1"/>
  <c r="CS233" i="1"/>
  <c r="CS293" i="1"/>
  <c r="I10" i="14"/>
  <c r="CQ231" i="1"/>
  <c r="I9" i="16"/>
  <c r="AI57" i="14"/>
  <c r="K16" i="16"/>
  <c r="K81" i="16"/>
  <c r="G12" i="14"/>
  <c r="G11" i="16"/>
  <c r="G10" i="16"/>
  <c r="G78" i="16"/>
  <c r="CO231" i="1"/>
  <c r="I12" i="14"/>
  <c r="I11" i="16"/>
  <c r="CR233" i="1"/>
  <c r="CR293" i="1"/>
  <c r="H11" i="14"/>
  <c r="AG10" i="14"/>
  <c r="G11" i="14"/>
  <c r="AF10" i="14"/>
  <c r="CQ307" i="1"/>
  <c r="CQ136" i="1"/>
  <c r="CP231" i="1"/>
  <c r="L81" i="16"/>
  <c r="N15" i="16"/>
  <c r="L16" i="16"/>
  <c r="O16" i="14"/>
  <c r="L17" i="14"/>
  <c r="CT233" i="1"/>
  <c r="CT293" i="1"/>
  <c r="DD38" i="7" l="1"/>
  <c r="O394" i="21"/>
  <c r="G57" i="14"/>
  <c r="AF57" i="14" s="1"/>
  <c r="N17" i="18"/>
  <c r="AD251" i="3"/>
  <c r="CO105" i="1"/>
  <c r="CO106" i="1" s="1"/>
  <c r="DA6" i="9"/>
  <c r="CS300" i="1"/>
  <c r="G13" i="14"/>
  <c r="AF12" i="14"/>
  <c r="CP310" i="1"/>
  <c r="CP290" i="1" s="1"/>
  <c r="CO232" i="1"/>
  <c r="AF251" i="3"/>
  <c r="CQ137" i="1"/>
  <c r="P17" i="18"/>
  <c r="DC6" i="9"/>
  <c r="CQ105" i="1"/>
  <c r="I57" i="14"/>
  <c r="Q394" i="21"/>
  <c r="DF38" i="7"/>
  <c r="CR137" i="1"/>
  <c r="G12" i="16"/>
  <c r="G79" i="16"/>
  <c r="H79" i="16"/>
  <c r="H12" i="16"/>
  <c r="H13" i="14"/>
  <c r="AG12" i="14"/>
  <c r="AE251" i="3"/>
  <c r="CP137" i="1"/>
  <c r="DB6" i="9"/>
  <c r="CP105" i="1"/>
  <c r="O17" i="18"/>
  <c r="H57" i="14"/>
  <c r="P394" i="21"/>
  <c r="DE38" i="7"/>
  <c r="H16" i="14"/>
  <c r="DE32" i="7"/>
  <c r="H15" i="16"/>
  <c r="CQ308" i="1"/>
  <c r="CQ311" i="1"/>
  <c r="CR308" i="1"/>
  <c r="CP233" i="1"/>
  <c r="CP293" i="1"/>
  <c r="AH12" i="14"/>
  <c r="I13" i="14"/>
  <c r="J13" i="14"/>
  <c r="G16" i="14"/>
  <c r="DD32" i="7"/>
  <c r="G15" i="16"/>
  <c r="CO290" i="1"/>
  <c r="CO312" i="1"/>
  <c r="CO314" i="1" s="1"/>
  <c r="CO294" i="1" s="1"/>
  <c r="K20" i="14"/>
  <c r="K19" i="16"/>
  <c r="CT300" i="1"/>
  <c r="I10" i="16"/>
  <c r="I78" i="16"/>
  <c r="J10" i="16"/>
  <c r="J78" i="16"/>
  <c r="L20" i="14"/>
  <c r="L19" i="16"/>
  <c r="I16" i="14"/>
  <c r="DF32" i="7"/>
  <c r="I15" i="16"/>
  <c r="J20" i="14"/>
  <c r="AI20" i="14" s="1"/>
  <c r="J19" i="16"/>
  <c r="I11" i="14"/>
  <c r="AH10" i="14"/>
  <c r="J11" i="14"/>
  <c r="CO233" i="1"/>
  <c r="CO293" i="1"/>
  <c r="CO300" i="1" s="1"/>
  <c r="I79" i="16"/>
  <c r="I12" i="16"/>
  <c r="J79" i="16"/>
  <c r="J12" i="16"/>
  <c r="G58" i="14" l="1"/>
  <c r="CP106" i="1"/>
  <c r="CQ106" i="1"/>
  <c r="CR106" i="1"/>
  <c r="AF16" i="14"/>
  <c r="G17" i="14"/>
  <c r="G20" i="14"/>
  <c r="AF20" i="14" s="1"/>
  <c r="G19" i="16"/>
  <c r="AG57" i="14"/>
  <c r="H58" i="14"/>
  <c r="CQ233" i="1"/>
  <c r="CQ293" i="1"/>
  <c r="CP300" i="1"/>
  <c r="AH57" i="14"/>
  <c r="I58" i="14"/>
  <c r="J58" i="14"/>
  <c r="H20" i="14"/>
  <c r="AG20" i="14" s="1"/>
  <c r="H19" i="16"/>
  <c r="AH16" i="14"/>
  <c r="I17" i="14"/>
  <c r="J17" i="14"/>
  <c r="G18" i="14"/>
  <c r="G17" i="16"/>
  <c r="AD245" i="3"/>
  <c r="CO297" i="1"/>
  <c r="CP232" i="1"/>
  <c r="CQ310" i="1"/>
  <c r="CP312" i="1"/>
  <c r="CP314" i="1" s="1"/>
  <c r="CP294" i="1" s="1"/>
  <c r="I16" i="16"/>
  <c r="I81" i="16"/>
  <c r="J81" i="16"/>
  <c r="J16" i="16"/>
  <c r="CO292" i="1"/>
  <c r="CO301" i="1"/>
  <c r="G81" i="16"/>
  <c r="G16" i="16"/>
  <c r="H16" i="16"/>
  <c r="H81" i="16"/>
  <c r="CO234" i="1"/>
  <c r="AG16" i="14"/>
  <c r="H17" i="14"/>
  <c r="I20" i="14" l="1"/>
  <c r="AH20" i="14" s="1"/>
  <c r="I19" i="16"/>
  <c r="AF18" i="14"/>
  <c r="G19" i="14"/>
  <c r="AE245" i="3"/>
  <c r="CP297" i="1"/>
  <c r="CP292" i="1"/>
  <c r="CP301" i="1"/>
  <c r="CQ300" i="1"/>
  <c r="CR300" i="1"/>
  <c r="H18" i="14"/>
  <c r="H17" i="16"/>
  <c r="CP234" i="1"/>
  <c r="CQ232" i="1"/>
  <c r="CR310" i="1"/>
  <c r="CQ290" i="1"/>
  <c r="CQ312" i="1"/>
  <c r="CQ314" i="1" s="1"/>
  <c r="CQ294" i="1" s="1"/>
  <c r="CO236" i="1"/>
  <c r="CN236" i="1" s="1"/>
  <c r="G21" i="14"/>
  <c r="G20" i="16"/>
  <c r="N6" i="18"/>
  <c r="G18" i="16"/>
  <c r="G82" i="16"/>
  <c r="CO299" i="1"/>
  <c r="CO291" i="1"/>
  <c r="CO298" i="1" s="1"/>
  <c r="CN237" i="1" l="1"/>
  <c r="CN5" i="1"/>
  <c r="CN6" i="1" s="1"/>
  <c r="CP236" i="1"/>
  <c r="H21" i="14"/>
  <c r="O6" i="18"/>
  <c r="H20" i="16"/>
  <c r="G21" i="16"/>
  <c r="G61" i="16"/>
  <c r="AG18" i="14"/>
  <c r="H19" i="14"/>
  <c r="CP299" i="1"/>
  <c r="CP291" i="1"/>
  <c r="CP298" i="1" s="1"/>
  <c r="I18" i="14"/>
  <c r="I17" i="16"/>
  <c r="CQ234" i="1"/>
  <c r="H18" i="16"/>
  <c r="H82" i="16"/>
  <c r="AF21" i="14"/>
  <c r="G22" i="14"/>
  <c r="V244" i="2"/>
  <c r="V288" i="2"/>
  <c r="V241" i="2"/>
  <c r="V199" i="2"/>
  <c r="V416" i="2"/>
  <c r="W39" i="27" s="1"/>
  <c r="V264" i="2"/>
  <c r="V252" i="2"/>
  <c r="V73" i="2"/>
  <c r="V133" i="2"/>
  <c r="CO237" i="1"/>
  <c r="V248" i="2"/>
  <c r="G25" i="14"/>
  <c r="N8" i="18"/>
  <c r="CO5" i="1"/>
  <c r="DD7" i="7"/>
  <c r="DA7" i="9"/>
  <c r="G24" i="16"/>
  <c r="O609" i="21"/>
  <c r="E4" i="26"/>
  <c r="AG4" i="26" s="1"/>
  <c r="CQ292" i="1"/>
  <c r="CQ301" i="1"/>
  <c r="AF245" i="3"/>
  <c r="CQ297" i="1"/>
  <c r="CR232" i="1"/>
  <c r="CS310" i="1"/>
  <c r="CR312" i="1"/>
  <c r="CR314" i="1" s="1"/>
  <c r="CR294" i="1" s="1"/>
  <c r="CR290" i="1"/>
  <c r="CQ236" i="1" l="1"/>
  <c r="X73" i="2" s="1"/>
  <c r="P6" i="18"/>
  <c r="I21" i="14"/>
  <c r="I20" i="16"/>
  <c r="CQ299" i="1"/>
  <c r="CQ291" i="1"/>
  <c r="CQ298" i="1" s="1"/>
  <c r="AH18" i="14"/>
  <c r="I19" i="14"/>
  <c r="V189" i="2"/>
  <c r="V5" i="2"/>
  <c r="O701" i="21"/>
  <c r="O664" i="21" s="1"/>
  <c r="O666" i="21" s="1"/>
  <c r="V23" i="2"/>
  <c r="V29" i="2" s="1"/>
  <c r="V250" i="2"/>
  <c r="I18" i="16"/>
  <c r="I82" i="16"/>
  <c r="V243" i="2"/>
  <c r="V6" i="2"/>
  <c r="O24" i="21"/>
  <c r="O25" i="21" s="1"/>
  <c r="O711" i="21" s="1"/>
  <c r="V145" i="2"/>
  <c r="V139" i="2"/>
  <c r="V113" i="2"/>
  <c r="V146" i="2"/>
  <c r="V75" i="2"/>
  <c r="CO466" i="1"/>
  <c r="E19" i="26"/>
  <c r="AG19" i="26" s="1"/>
  <c r="Z24" i="16"/>
  <c r="G84" i="16"/>
  <c r="G25" i="16"/>
  <c r="Z25" i="16" s="1"/>
  <c r="V219" i="2"/>
  <c r="V186" i="2"/>
  <c r="V218" i="2"/>
  <c r="V246" i="2"/>
  <c r="V7" i="2"/>
  <c r="H21" i="16"/>
  <c r="H61" i="16"/>
  <c r="G62" i="16"/>
  <c r="Z61" i="16"/>
  <c r="DD8" i="7"/>
  <c r="DD31" i="7" s="1"/>
  <c r="DD30" i="7"/>
  <c r="AG21" i="14"/>
  <c r="H22" i="14"/>
  <c r="AG245" i="3"/>
  <c r="CR297" i="1"/>
  <c r="AD18" i="3"/>
  <c r="AD246" i="3" s="1"/>
  <c r="CV5" i="1"/>
  <c r="CO6" i="1"/>
  <c r="CO395" i="1"/>
  <c r="CO407" i="1"/>
  <c r="CO9" i="1"/>
  <c r="CO390" i="1"/>
  <c r="J5" i="10"/>
  <c r="J20" i="10" s="1"/>
  <c r="CO403" i="1"/>
  <c r="CO399" i="1"/>
  <c r="CR292" i="1"/>
  <c r="CR301" i="1"/>
  <c r="CS232" i="1"/>
  <c r="CT310" i="1"/>
  <c r="CS312" i="1"/>
  <c r="CS314" i="1" s="1"/>
  <c r="CS294" i="1" s="1"/>
  <c r="CS290" i="1"/>
  <c r="AF25" i="14"/>
  <c r="G26" i="14"/>
  <c r="AF26" i="14" s="1"/>
  <c r="J18" i="14"/>
  <c r="J17" i="16"/>
  <c r="CR234" i="1"/>
  <c r="W244" i="2"/>
  <c r="W288" i="2"/>
  <c r="W241" i="2"/>
  <c r="W73" i="2"/>
  <c r="W199" i="2"/>
  <c r="W189" i="2" s="1"/>
  <c r="W416" i="2"/>
  <c r="X39" i="27" s="1"/>
  <c r="W264" i="2"/>
  <c r="W252" i="2"/>
  <c r="CP237" i="1"/>
  <c r="W248" i="2"/>
  <c r="H25" i="14"/>
  <c r="O8" i="18"/>
  <c r="DB7" i="9"/>
  <c r="DE7" i="7"/>
  <c r="F4" i="26"/>
  <c r="AH4" i="26" s="1"/>
  <c r="CP5" i="1"/>
  <c r="H24" i="16"/>
  <c r="P609" i="21"/>
  <c r="CR236" i="1" l="1"/>
  <c r="Q6" i="18"/>
  <c r="J21" i="14"/>
  <c r="J20" i="16"/>
  <c r="W113" i="2"/>
  <c r="W100" i="2" s="1"/>
  <c r="W146" i="2"/>
  <c r="W75" i="2"/>
  <c r="W93" i="2" s="1"/>
  <c r="F19" i="26"/>
  <c r="AH19" i="26" s="1"/>
  <c r="DE8" i="7"/>
  <c r="DE31" i="7" s="1"/>
  <c r="DE30" i="7"/>
  <c r="W250" i="2"/>
  <c r="W23" i="2"/>
  <c r="W29" i="2" s="1"/>
  <c r="CO241" i="1"/>
  <c r="CO397" i="1"/>
  <c r="AG25" i="14"/>
  <c r="H26" i="14"/>
  <c r="AG26" i="14" s="1"/>
  <c r="AI18" i="14"/>
  <c r="J19" i="14"/>
  <c r="V142" i="2"/>
  <c r="W139" i="2"/>
  <c r="V78" i="2"/>
  <c r="V136" i="2"/>
  <c r="V137" i="2" s="1"/>
  <c r="V220" i="2"/>
  <c r="V124" i="2"/>
  <c r="O734" i="21"/>
  <c r="O610" i="21"/>
  <c r="O612" i="21" s="1"/>
  <c r="O552" i="21" s="1"/>
  <c r="O720" i="21"/>
  <c r="W7" i="2"/>
  <c r="W246" i="2"/>
  <c r="J18" i="16"/>
  <c r="J82" i="16"/>
  <c r="V100" i="2"/>
  <c r="V119" i="2"/>
  <c r="V116" i="2"/>
  <c r="W112" i="2" s="1"/>
  <c r="W114" i="2" s="1"/>
  <c r="AH245" i="3"/>
  <c r="CS297" i="1"/>
  <c r="CS301" i="1"/>
  <c r="CS292" i="1"/>
  <c r="I61" i="16"/>
  <c r="I21" i="16"/>
  <c r="AE18" i="3"/>
  <c r="AE246" i="3" s="1"/>
  <c r="CP6" i="1"/>
  <c r="CP395" i="1"/>
  <c r="CP407" i="1"/>
  <c r="CP399" i="1"/>
  <c r="CP390" i="1"/>
  <c r="K5" i="10"/>
  <c r="K20" i="10" s="1"/>
  <c r="CP403" i="1"/>
  <c r="CP9" i="1"/>
  <c r="N34" i="18"/>
  <c r="N60" i="18" s="1"/>
  <c r="N43" i="18"/>
  <c r="V11" i="2"/>
  <c r="V47" i="2"/>
  <c r="V59" i="2"/>
  <c r="V226" i="2"/>
  <c r="V258" i="2"/>
  <c r="AH21" i="14"/>
  <c r="I22" i="14"/>
  <c r="CR299" i="1"/>
  <c r="CR291" i="1"/>
  <c r="CR298" i="1" s="1"/>
  <c r="W243" i="2"/>
  <c r="W6" i="2"/>
  <c r="DD48" i="7"/>
  <c r="DD47" i="7"/>
  <c r="V76" i="2"/>
  <c r="V381" i="2"/>
  <c r="AD75" i="3" s="1"/>
  <c r="V370" i="2"/>
  <c r="V430" i="2"/>
  <c r="W43" i="27" s="1"/>
  <c r="V93" i="2"/>
  <c r="G36" i="14"/>
  <c r="G35" i="16"/>
  <c r="H62" i="16"/>
  <c r="AA61" i="16"/>
  <c r="CO244" i="1"/>
  <c r="CO409" i="1"/>
  <c r="CT232" i="1"/>
  <c r="CT312" i="1"/>
  <c r="CT314" i="1" s="1"/>
  <c r="CT294" i="1" s="1"/>
  <c r="CT290" i="1"/>
  <c r="K18" i="14"/>
  <c r="K19" i="14" s="1"/>
  <c r="K17" i="16"/>
  <c r="CS234" i="1"/>
  <c r="CO242" i="1"/>
  <c r="CO401" i="1"/>
  <c r="CO243" i="1"/>
  <c r="CO405" i="1"/>
  <c r="CO392" i="1"/>
  <c r="CO393" i="1"/>
  <c r="CO240" i="1"/>
  <c r="CO411" i="1"/>
  <c r="CO413" i="1" s="1"/>
  <c r="P24" i="21"/>
  <c r="P25" i="21" s="1"/>
  <c r="P711" i="21" s="1"/>
  <c r="W219" i="2"/>
  <c r="W186" i="2"/>
  <c r="W218" i="2"/>
  <c r="W124" i="2" s="1"/>
  <c r="W101" i="2" s="1"/>
  <c r="AA24" i="16"/>
  <c r="H25" i="16"/>
  <c r="AA25" i="16" s="1"/>
  <c r="H84" i="16"/>
  <c r="W5" i="2"/>
  <c r="X248" i="2"/>
  <c r="X244" i="2"/>
  <c r="X288" i="2"/>
  <c r="X199" i="2"/>
  <c r="X416" i="2"/>
  <c r="Y39" i="27" s="1"/>
  <c r="X264" i="2"/>
  <c r="CQ5" i="1"/>
  <c r="X252" i="2"/>
  <c r="X241" i="2"/>
  <c r="CQ237" i="1"/>
  <c r="I25" i="14"/>
  <c r="DC7" i="9"/>
  <c r="P8" i="18"/>
  <c r="G4" i="26"/>
  <c r="AI4" i="26" s="1"/>
  <c r="Q609" i="21"/>
  <c r="DF7" i="7"/>
  <c r="I24" i="16"/>
  <c r="W52" i="27" l="1"/>
  <c r="I62" i="16"/>
  <c r="AB61" i="16"/>
  <c r="W217" i="2"/>
  <c r="W220" i="2" s="1"/>
  <c r="V32" i="2"/>
  <c r="DE47" i="7"/>
  <c r="DE48" i="7"/>
  <c r="L18" i="14"/>
  <c r="L19" i="14" s="1"/>
  <c r="L17" i="16"/>
  <c r="CT234" i="1"/>
  <c r="O577" i="21"/>
  <c r="F38" i="22"/>
  <c r="O623" i="21"/>
  <c r="O554" i="21" s="1"/>
  <c r="O572" i="21"/>
  <c r="X5" i="2"/>
  <c r="V101" i="2"/>
  <c r="V109" i="2" s="1"/>
  <c r="V126" i="2"/>
  <c r="W123" i="2" s="1"/>
  <c r="AH25" i="14"/>
  <c r="I26" i="14"/>
  <c r="AH26" i="14" s="1"/>
  <c r="W47" i="2"/>
  <c r="W11" i="2"/>
  <c r="G36" i="16"/>
  <c r="Z36" i="16" s="1"/>
  <c r="Z35" i="16"/>
  <c r="G37" i="16"/>
  <c r="Z37" i="16" s="1"/>
  <c r="W258" i="2"/>
  <c r="CP243" i="1"/>
  <c r="CP405" i="1"/>
  <c r="W116" i="2"/>
  <c r="X112" i="2" s="1"/>
  <c r="W370" i="2"/>
  <c r="W381" i="2"/>
  <c r="AE75" i="3" s="1"/>
  <c r="W76" i="2"/>
  <c r="W430" i="2"/>
  <c r="X43" i="27" s="1"/>
  <c r="H35" i="16"/>
  <c r="H36" i="14"/>
  <c r="O34" i="18"/>
  <c r="O60" i="18" s="1"/>
  <c r="O43" i="18"/>
  <c r="CO419" i="1"/>
  <c r="CO412" i="1"/>
  <c r="CO246" i="1"/>
  <c r="X7" i="2"/>
  <c r="X246" i="2"/>
  <c r="X139" i="2"/>
  <c r="W78" i="2"/>
  <c r="CP392" i="1"/>
  <c r="CP411" i="1"/>
  <c r="CP413" i="1" s="1"/>
  <c r="CP393" i="1"/>
  <c r="CP240" i="1"/>
  <c r="W130" i="2"/>
  <c r="AD33" i="3"/>
  <c r="V80" i="2"/>
  <c r="V143" i="2"/>
  <c r="CT292" i="1"/>
  <c r="CT301" i="1"/>
  <c r="X250" i="2"/>
  <c r="X23" i="2"/>
  <c r="X29" i="2" s="1"/>
  <c r="X189" i="2"/>
  <c r="CP242" i="1"/>
  <c r="CP401" i="1"/>
  <c r="CS236" i="1"/>
  <c r="R6" i="18"/>
  <c r="K21" i="14"/>
  <c r="K22" i="14" s="1"/>
  <c r="K20" i="16"/>
  <c r="CP409" i="1"/>
  <c r="CP244" i="1"/>
  <c r="J21" i="16"/>
  <c r="J61" i="16"/>
  <c r="X219" i="2"/>
  <c r="X186" i="2"/>
  <c r="X218" i="2"/>
  <c r="X124" i="2" s="1"/>
  <c r="X101" i="2" s="1"/>
  <c r="P734" i="21"/>
  <c r="P610" i="21"/>
  <c r="P612" i="21" s="1"/>
  <c r="P552" i="21" s="1"/>
  <c r="P720" i="21"/>
  <c r="CS291" i="1"/>
  <c r="CS298" i="1" s="1"/>
  <c r="CS299" i="1"/>
  <c r="AF36" i="14"/>
  <c r="G37" i="14"/>
  <c r="G38" i="14"/>
  <c r="K18" i="16"/>
  <c r="K82" i="16"/>
  <c r="V432" i="2"/>
  <c r="CO27" i="1"/>
  <c r="CY28" i="1" s="1"/>
  <c r="V431" i="2"/>
  <c r="V433" i="2"/>
  <c r="V62" i="2"/>
  <c r="V379" i="2" s="1"/>
  <c r="AD73" i="3" s="1"/>
  <c r="AD131" i="3"/>
  <c r="M12" i="4"/>
  <c r="V347" i="2"/>
  <c r="CP241" i="1"/>
  <c r="CP397" i="1"/>
  <c r="AI21" i="14"/>
  <c r="J22" i="14"/>
  <c r="AB24" i="16"/>
  <c r="I84" i="16"/>
  <c r="I25" i="16"/>
  <c r="AB25" i="16" s="1"/>
  <c r="Q24" i="21"/>
  <c r="Q25" i="21" s="1"/>
  <c r="Q711" i="21" s="1"/>
  <c r="X6" i="2"/>
  <c r="X243" i="2"/>
  <c r="AF18" i="3"/>
  <c r="AF246" i="3" s="1"/>
  <c r="CQ6" i="1"/>
  <c r="CQ399" i="1"/>
  <c r="CQ395" i="1"/>
  <c r="CQ390" i="1"/>
  <c r="L5" i="10"/>
  <c r="L20" i="10" s="1"/>
  <c r="CQ403" i="1"/>
  <c r="CQ407" i="1"/>
  <c r="CQ9" i="1"/>
  <c r="DF8" i="7"/>
  <c r="DF31" i="7" s="1"/>
  <c r="DF30" i="7"/>
  <c r="X113" i="2"/>
  <c r="X100" i="2" s="1"/>
  <c r="X146" i="2"/>
  <c r="X75" i="2"/>
  <c r="G19" i="26"/>
  <c r="AI19" i="26" s="1"/>
  <c r="W226" i="2"/>
  <c r="W59" i="2"/>
  <c r="AI245" i="3"/>
  <c r="CT297" i="1"/>
  <c r="V387" i="2"/>
  <c r="AD81" i="3" s="1"/>
  <c r="AD129" i="3"/>
  <c r="O292" i="21"/>
  <c r="O616" i="21"/>
  <c r="Y248" i="2"/>
  <c r="Y244" i="2"/>
  <c r="Y288" i="2"/>
  <c r="Y241" i="2"/>
  <c r="Y73" i="2"/>
  <c r="Y199" i="2"/>
  <c r="Y189" i="2" s="1"/>
  <c r="Y416" i="2"/>
  <c r="Z39" i="27" s="1"/>
  <c r="J25" i="14"/>
  <c r="CR5" i="1"/>
  <c r="Y252" i="2"/>
  <c r="Y264" i="2"/>
  <c r="Q8" i="18"/>
  <c r="CR237" i="1"/>
  <c r="DD7" i="9"/>
  <c r="H4" i="26"/>
  <c r="AJ4" i="26" s="1"/>
  <c r="R609" i="21"/>
  <c r="DG7" i="7"/>
  <c r="J24" i="16"/>
  <c r="V105" i="2" l="1"/>
  <c r="V13" i="2" s="1"/>
  <c r="V19" i="2" s="1"/>
  <c r="V21" i="2" s="1"/>
  <c r="X52" i="27"/>
  <c r="X258" i="2"/>
  <c r="AF131" i="3" s="1"/>
  <c r="CP246" i="1"/>
  <c r="W347" i="2"/>
  <c r="W62" i="2"/>
  <c r="W379" i="2" s="1"/>
  <c r="AE73" i="3" s="1"/>
  <c r="AE131" i="3"/>
  <c r="N12" i="4"/>
  <c r="Y7" i="2"/>
  <c r="Y246" i="2"/>
  <c r="CP412" i="1"/>
  <c r="L21" i="14"/>
  <c r="L22" i="14" s="1"/>
  <c r="CT236" i="1"/>
  <c r="S6" i="18"/>
  <c r="L20" i="16"/>
  <c r="CO428" i="1"/>
  <c r="CO248" i="1"/>
  <c r="CN248" i="1" s="1"/>
  <c r="CN12" i="1" s="1"/>
  <c r="J84" i="16"/>
  <c r="AC24" i="16"/>
  <c r="J25" i="16"/>
  <c r="AC25" i="16" s="1"/>
  <c r="Y250" i="2"/>
  <c r="Y23" i="2"/>
  <c r="Y29" i="2" s="1"/>
  <c r="P34" i="18"/>
  <c r="P60" i="18" s="1"/>
  <c r="P43" i="18"/>
  <c r="AG36" i="14"/>
  <c r="H37" i="14"/>
  <c r="H38" i="14"/>
  <c r="L18" i="16"/>
  <c r="L82" i="16"/>
  <c r="AD22" i="3"/>
  <c r="R51" i="11" s="1"/>
  <c r="CO35" i="1"/>
  <c r="CO29" i="1"/>
  <c r="CO28" i="1"/>
  <c r="CO32" i="1" s="1"/>
  <c r="CO256" i="1"/>
  <c r="DA13" i="9"/>
  <c r="N12" i="18"/>
  <c r="CV27" i="1"/>
  <c r="M11" i="4"/>
  <c r="M94" i="4" s="1"/>
  <c r="J7" i="10"/>
  <c r="J22" i="10" s="1"/>
  <c r="DD11" i="7"/>
  <c r="DD35" i="7" s="1"/>
  <c r="H36" i="16"/>
  <c r="AA36" i="16" s="1"/>
  <c r="AA35" i="16"/>
  <c r="H37" i="16"/>
  <c r="AA37" i="16" s="1"/>
  <c r="P577" i="21"/>
  <c r="G38" i="22"/>
  <c r="G44" i="22" s="1"/>
  <c r="P623" i="21"/>
  <c r="P554" i="21" s="1"/>
  <c r="P572" i="21"/>
  <c r="DF47" i="7"/>
  <c r="DF48" i="7"/>
  <c r="W432" i="2"/>
  <c r="CP27" i="1"/>
  <c r="CZ28" i="1" s="1"/>
  <c r="W431" i="2"/>
  <c r="W433" i="2"/>
  <c r="DG8" i="7"/>
  <c r="DG31" i="7" s="1"/>
  <c r="DG30" i="7"/>
  <c r="CO421" i="1"/>
  <c r="CO425" i="1"/>
  <c r="CO420" i="1"/>
  <c r="CO442" i="1"/>
  <c r="X370" i="2"/>
  <c r="X381" i="2"/>
  <c r="AF75" i="3" s="1"/>
  <c r="X76" i="2"/>
  <c r="X430" i="2"/>
  <c r="Y43" i="27" s="1"/>
  <c r="I35" i="16"/>
  <c r="I36" i="14"/>
  <c r="X93" i="2"/>
  <c r="Q734" i="21"/>
  <c r="Q720" i="21"/>
  <c r="Q610" i="21"/>
  <c r="Q612" i="21" s="1"/>
  <c r="Q552" i="21" s="1"/>
  <c r="X226" i="2"/>
  <c r="X59" i="2"/>
  <c r="AC61" i="16"/>
  <c r="J62" i="16"/>
  <c r="CT291" i="1"/>
  <c r="CT298" i="1" s="1"/>
  <c r="CT299" i="1"/>
  <c r="V202" i="2"/>
  <c r="O700" i="21" s="1"/>
  <c r="O657" i="21" s="1"/>
  <c r="O659" i="21" s="1"/>
  <c r="V169" i="2"/>
  <c r="V170" i="2" s="1"/>
  <c r="N52" i="18"/>
  <c r="Y113" i="2"/>
  <c r="Y100" i="2" s="1"/>
  <c r="Y146" i="2"/>
  <c r="Y75" i="2"/>
  <c r="H19" i="26"/>
  <c r="AJ19" i="26" s="1"/>
  <c r="CQ409" i="1"/>
  <c r="CQ244" i="1"/>
  <c r="W125" i="2"/>
  <c r="W103" i="2" s="1"/>
  <c r="X217" i="2"/>
  <c r="X220" i="2" s="1"/>
  <c r="W32" i="2"/>
  <c r="Y219" i="2"/>
  <c r="Y186" i="2"/>
  <c r="Y218" i="2"/>
  <c r="Y124" i="2" s="1"/>
  <c r="Y101" i="2" s="1"/>
  <c r="CQ241" i="1"/>
  <c r="CQ397" i="1"/>
  <c r="AE20" i="3"/>
  <c r="W135" i="2"/>
  <c r="W131" i="2"/>
  <c r="W133" i="2"/>
  <c r="W140" i="2"/>
  <c r="CP437" i="1"/>
  <c r="CP419" i="1" s="1"/>
  <c r="X114" i="2"/>
  <c r="X116" i="2" s="1"/>
  <c r="Y112" i="2" s="1"/>
  <c r="Y5" i="2"/>
  <c r="CQ242" i="1"/>
  <c r="CQ401" i="1"/>
  <c r="Z252" i="2"/>
  <c r="Z248" i="2"/>
  <c r="Z241" i="2"/>
  <c r="Z73" i="2"/>
  <c r="Z199" i="2"/>
  <c r="K25" i="14"/>
  <c r="K26" i="14" s="1"/>
  <c r="CS5" i="1"/>
  <c r="Z264" i="2"/>
  <c r="Z288" i="2"/>
  <c r="Z416" i="2"/>
  <c r="AA39" i="27" s="1"/>
  <c r="R8" i="18"/>
  <c r="CS237" i="1"/>
  <c r="I4" i="26"/>
  <c r="AK4" i="26" s="1"/>
  <c r="Z244" i="2"/>
  <c r="S609" i="21"/>
  <c r="DH7" i="7"/>
  <c r="DE7" i="9"/>
  <c r="K24" i="16"/>
  <c r="R24" i="21"/>
  <c r="R25" i="21" s="1"/>
  <c r="R711" i="21" s="1"/>
  <c r="AG18" i="3"/>
  <c r="AG246" i="3" s="1"/>
  <c r="CR9" i="1"/>
  <c r="CR6" i="1"/>
  <c r="CR399" i="1"/>
  <c r="CR395" i="1"/>
  <c r="CR390" i="1"/>
  <c r="M5" i="10"/>
  <c r="M20" i="10" s="1"/>
  <c r="CR403" i="1"/>
  <c r="CR407" i="1"/>
  <c r="P292" i="21"/>
  <c r="P616" i="21"/>
  <c r="Y6" i="2"/>
  <c r="Y243" i="2"/>
  <c r="Y139" i="2"/>
  <c r="X78" i="2"/>
  <c r="CQ243" i="1"/>
  <c r="CQ405" i="1"/>
  <c r="AI25" i="14"/>
  <c r="J26" i="14"/>
  <c r="AI26" i="14" s="1"/>
  <c r="AE129" i="3"/>
  <c r="W387" i="2"/>
  <c r="AE81" i="3" s="1"/>
  <c r="CQ240" i="1"/>
  <c r="CQ392" i="1"/>
  <c r="CQ411" i="1"/>
  <c r="CQ413" i="1" s="1"/>
  <c r="CQ393" i="1"/>
  <c r="K21" i="16"/>
  <c r="K61" i="16"/>
  <c r="K62" i="16" s="1"/>
  <c r="W102" i="2"/>
  <c r="W119" i="2"/>
  <c r="X47" i="2"/>
  <c r="X11" i="2"/>
  <c r="W99" i="2" l="1"/>
  <c r="O12" i="4"/>
  <c r="X62" i="2"/>
  <c r="X379" i="2" s="1"/>
  <c r="AF73" i="3" s="1"/>
  <c r="X347" i="2"/>
  <c r="Y52" i="27"/>
  <c r="CN13" i="1"/>
  <c r="CN14" i="1"/>
  <c r="CN249" i="1"/>
  <c r="CN250" i="1"/>
  <c r="Y258" i="2"/>
  <c r="Y347" i="2" s="1"/>
  <c r="R610" i="21"/>
  <c r="R612" i="21" s="1"/>
  <c r="R552" i="21" s="1"/>
  <c r="R734" i="21"/>
  <c r="R720" i="21"/>
  <c r="K84" i="16"/>
  <c r="K25" i="16"/>
  <c r="AH18" i="3"/>
  <c r="AH246" i="3" s="1"/>
  <c r="CS9" i="1"/>
  <c r="CS390" i="1"/>
  <c r="CS403" i="1"/>
  <c r="CS399" i="1"/>
  <c r="CS395" i="1"/>
  <c r="CS6" i="1"/>
  <c r="CS407" i="1"/>
  <c r="W79" i="2"/>
  <c r="W142" i="2"/>
  <c r="X387" i="2"/>
  <c r="AF81" i="3" s="1"/>
  <c r="AF129" i="3"/>
  <c r="CQ412" i="1"/>
  <c r="Q34" i="18"/>
  <c r="Q60" i="18" s="1"/>
  <c r="Q43" i="18"/>
  <c r="Z250" i="2"/>
  <c r="Z23" i="2"/>
  <c r="Z29" i="2" s="1"/>
  <c r="W105" i="2"/>
  <c r="Z5" i="2"/>
  <c r="DG47" i="7"/>
  <c r="DG48" i="7"/>
  <c r="V90" i="2"/>
  <c r="W57" i="27" s="1"/>
  <c r="N42" i="18"/>
  <c r="N46" i="18" s="1"/>
  <c r="N33" i="18"/>
  <c r="V341" i="2"/>
  <c r="V356" i="2"/>
  <c r="CO12" i="1"/>
  <c r="CO17" i="1" s="1"/>
  <c r="G28" i="14"/>
  <c r="V418" i="2"/>
  <c r="W41" i="27" s="1"/>
  <c r="CO249" i="1"/>
  <c r="CO257" i="1"/>
  <c r="V426" i="2" s="1"/>
  <c r="W40" i="27" s="1"/>
  <c r="W50" i="27" s="1"/>
  <c r="DD9" i="7"/>
  <c r="DD33" i="7" s="1"/>
  <c r="G27" i="16"/>
  <c r="N10" i="18"/>
  <c r="CO250" i="1"/>
  <c r="E5" i="26"/>
  <c r="AG5" i="26" s="1"/>
  <c r="CR240" i="1"/>
  <c r="CR392" i="1"/>
  <c r="CR411" i="1"/>
  <c r="CR413" i="1" s="1"/>
  <c r="CR393" i="1"/>
  <c r="Y93" i="2"/>
  <c r="O308" i="21"/>
  <c r="O646" i="21"/>
  <c r="O649" i="21" s="1"/>
  <c r="O567" i="21" s="1"/>
  <c r="O695" i="21"/>
  <c r="CO431" i="1"/>
  <c r="V419" i="2" s="1"/>
  <c r="CO430" i="1"/>
  <c r="DA8" i="9"/>
  <c r="CO429" i="1"/>
  <c r="CQ246" i="1"/>
  <c r="CR241" i="1"/>
  <c r="CR397" i="1"/>
  <c r="V171" i="2"/>
  <c r="V184" i="2" s="1"/>
  <c r="AH36" i="14"/>
  <c r="I37" i="14"/>
  <c r="I38" i="14"/>
  <c r="AE22" i="3"/>
  <c r="CP35" i="1"/>
  <c r="CP29" i="1"/>
  <c r="N11" i="4"/>
  <c r="N94" i="4" s="1"/>
  <c r="N96" i="4" s="1"/>
  <c r="CP28" i="1"/>
  <c r="CP32" i="1" s="1"/>
  <c r="DB13" i="9"/>
  <c r="O12" i="18"/>
  <c r="K7" i="10"/>
  <c r="K22" i="10" s="1"/>
  <c r="DE11" i="7"/>
  <c r="DE35" i="7" s="1"/>
  <c r="M102" i="4"/>
  <c r="M104" i="4" s="1"/>
  <c r="M96" i="4"/>
  <c r="H38" i="22"/>
  <c r="H44" i="22" s="1"/>
  <c r="Q577" i="21"/>
  <c r="Q623" i="21"/>
  <c r="Q554" i="21" s="1"/>
  <c r="Q572" i="21"/>
  <c r="Q292" i="21"/>
  <c r="Q616" i="21"/>
  <c r="S24" i="21"/>
  <c r="S25" i="21" s="1"/>
  <c r="S711" i="21" s="1"/>
  <c r="Z6" i="2"/>
  <c r="Z243" i="2"/>
  <c r="Z7" i="2"/>
  <c r="Z246" i="2"/>
  <c r="N20" i="16"/>
  <c r="L21" i="16"/>
  <c r="L61" i="16"/>
  <c r="L62" i="16" s="1"/>
  <c r="CP421" i="1"/>
  <c r="CP425" i="1"/>
  <c r="CP420" i="1"/>
  <c r="CR409" i="1"/>
  <c r="CR244" i="1"/>
  <c r="CR242" i="1"/>
  <c r="CR401" i="1"/>
  <c r="Y47" i="2"/>
  <c r="Y11" i="2"/>
  <c r="W107" i="2"/>
  <c r="W108" i="2" s="1"/>
  <c r="W435" i="2"/>
  <c r="CP252" i="1"/>
  <c r="W109" i="2"/>
  <c r="Z186" i="2"/>
  <c r="Z218" i="2"/>
  <c r="Z124" i="2" s="1"/>
  <c r="Z101" i="2" s="1"/>
  <c r="Z219" i="2"/>
  <c r="Y114" i="2"/>
  <c r="Y116" i="2" s="1"/>
  <c r="Z112" i="2" s="1"/>
  <c r="Y217" i="2"/>
  <c r="Y220" i="2" s="1"/>
  <c r="X32" i="2"/>
  <c r="X432" i="2"/>
  <c r="CQ27" i="1"/>
  <c r="DA28" i="1" s="1"/>
  <c r="X431" i="2"/>
  <c r="X433" i="2"/>
  <c r="DH8" i="7"/>
  <c r="DH31" i="7" s="1"/>
  <c r="DH30" i="7"/>
  <c r="Z75" i="2"/>
  <c r="Z113" i="2"/>
  <c r="Z100" i="2" s="1"/>
  <c r="Z146" i="2"/>
  <c r="I19" i="26"/>
  <c r="AK19" i="26" s="1"/>
  <c r="W145" i="2"/>
  <c r="W136" i="2"/>
  <c r="W137" i="2" s="1"/>
  <c r="Y370" i="2"/>
  <c r="Y381" i="2"/>
  <c r="AG75" i="3" s="1"/>
  <c r="Y76" i="2"/>
  <c r="Y430" i="2"/>
  <c r="Z43" i="27" s="1"/>
  <c r="Z52" i="27" s="1"/>
  <c r="J35" i="16"/>
  <c r="J36" i="14"/>
  <c r="CR243" i="1"/>
  <c r="CR405" i="1"/>
  <c r="W169" i="2"/>
  <c r="W170" i="2" s="1"/>
  <c r="W202" i="2"/>
  <c r="O52" i="18"/>
  <c r="I36" i="16"/>
  <c r="AB36" i="16" s="1"/>
  <c r="I37" i="16"/>
  <c r="AB37" i="16" s="1"/>
  <c r="AB35" i="16"/>
  <c r="W120" i="2"/>
  <c r="Z139" i="2"/>
  <c r="Y78" i="2"/>
  <c r="X102" i="2"/>
  <c r="X119" i="2"/>
  <c r="AA252" i="2"/>
  <c r="AA248" i="2"/>
  <c r="AA244" i="2"/>
  <c r="AA288" i="2"/>
  <c r="AA241" i="2"/>
  <c r="AA73" i="2"/>
  <c r="AA199" i="2"/>
  <c r="AA5" i="2" s="1"/>
  <c r="L25" i="14"/>
  <c r="CT5" i="1"/>
  <c r="CW5" i="1" s="1"/>
  <c r="AA264" i="2"/>
  <c r="AA416" i="2"/>
  <c r="AB39" i="27" s="1"/>
  <c r="S8" i="18"/>
  <c r="J4" i="26"/>
  <c r="DF7" i="9"/>
  <c r="L24" i="16"/>
  <c r="T609" i="21"/>
  <c r="CT237" i="1"/>
  <c r="DI7" i="7"/>
  <c r="CO464" i="1"/>
  <c r="CO443" i="1"/>
  <c r="U51" i="11"/>
  <c r="R52" i="11"/>
  <c r="R57" i="11"/>
  <c r="R58" i="11" s="1"/>
  <c r="Y226" i="2"/>
  <c r="Y59" i="2"/>
  <c r="Z189" i="2"/>
  <c r="W368" i="2"/>
  <c r="CP439" i="1"/>
  <c r="CP442" i="1" s="1"/>
  <c r="CP466" i="1"/>
  <c r="DB9" i="9"/>
  <c r="W126" i="2"/>
  <c r="X123" i="2" s="1"/>
  <c r="CP428" i="1"/>
  <c r="CP248" i="1"/>
  <c r="DA14" i="9" l="1"/>
  <c r="CP254" i="1"/>
  <c r="N9" i="4"/>
  <c r="N90" i="4" s="1"/>
  <c r="W56" i="27"/>
  <c r="W58" i="27" s="1"/>
  <c r="W53" i="27"/>
  <c r="W54" i="27" s="1"/>
  <c r="P12" i="4"/>
  <c r="AG131" i="3"/>
  <c r="AL4" i="26"/>
  <c r="L4" i="26"/>
  <c r="Y62" i="2"/>
  <c r="Y379" i="2" s="1"/>
  <c r="AG73" i="3" s="1"/>
  <c r="Z258" i="2"/>
  <c r="Z62" i="2" s="1"/>
  <c r="Z379" i="2" s="1"/>
  <c r="AH73" i="3" s="1"/>
  <c r="CP464" i="1"/>
  <c r="CP443" i="1"/>
  <c r="S720" i="21"/>
  <c r="S734" i="21"/>
  <c r="S610" i="21"/>
  <c r="S612" i="21" s="1"/>
  <c r="S552" i="21" s="1"/>
  <c r="Z217" i="2"/>
  <c r="Z220" i="2" s="1"/>
  <c r="Y32" i="2"/>
  <c r="W418" i="2"/>
  <c r="X41" i="27" s="1"/>
  <c r="W356" i="2"/>
  <c r="CP12" i="1"/>
  <c r="CP17" i="1" s="1"/>
  <c r="W341" i="2"/>
  <c r="H28" i="14"/>
  <c r="DE9" i="7"/>
  <c r="DE33" i="7" s="1"/>
  <c r="H27" i="16"/>
  <c r="CP249" i="1"/>
  <c r="O10" i="18"/>
  <c r="CP250" i="1"/>
  <c r="F5" i="26"/>
  <c r="AH5" i="26" s="1"/>
  <c r="CR246" i="1"/>
  <c r="X125" i="2"/>
  <c r="CQ248" i="1"/>
  <c r="CQ428" i="1"/>
  <c r="X130" i="2"/>
  <c r="AE33" i="3"/>
  <c r="W80" i="2"/>
  <c r="W143" i="2"/>
  <c r="N24" i="16"/>
  <c r="L25" i="16"/>
  <c r="L84" i="16"/>
  <c r="Z27" i="16"/>
  <c r="G29" i="16"/>
  <c r="Z29" i="16" s="1"/>
  <c r="G39" i="16"/>
  <c r="G28" i="16"/>
  <c r="Z28" i="16" s="1"/>
  <c r="O25" i="14"/>
  <c r="L26" i="14"/>
  <c r="AF22" i="3"/>
  <c r="CQ29" i="1"/>
  <c r="O11" i="4"/>
  <c r="O94" i="4" s="1"/>
  <c r="O96" i="4" s="1"/>
  <c r="CQ28" i="1"/>
  <c r="CQ32" i="1" s="1"/>
  <c r="DC13" i="9"/>
  <c r="P12" i="18"/>
  <c r="L7" i="10"/>
  <c r="L22" i="10" s="1"/>
  <c r="DF11" i="7"/>
  <c r="DF35" i="7" s="1"/>
  <c r="CS240" i="1"/>
  <c r="CS392" i="1"/>
  <c r="CS393" i="1"/>
  <c r="CS411" i="1"/>
  <c r="CS413" i="1" s="1"/>
  <c r="AA6" i="2"/>
  <c r="AA243" i="2"/>
  <c r="Z11" i="2"/>
  <c r="Z47" i="2"/>
  <c r="CP431" i="1"/>
  <c r="W419" i="2" s="1"/>
  <c r="CP429" i="1"/>
  <c r="CP430" i="1"/>
  <c r="DB8" i="9"/>
  <c r="DI8" i="7"/>
  <c r="DI31" i="7" s="1"/>
  <c r="DI30" i="7"/>
  <c r="X169" i="2"/>
  <c r="X170" i="2" s="1"/>
  <c r="X171" i="2" s="1"/>
  <c r="X184" i="2" s="1"/>
  <c r="X202" i="2"/>
  <c r="P52" i="18"/>
  <c r="V364" i="2"/>
  <c r="V365" i="2" s="1"/>
  <c r="Z370" i="2"/>
  <c r="Z381" i="2"/>
  <c r="AH75" i="3" s="1"/>
  <c r="Z76" i="2"/>
  <c r="Z430" i="2"/>
  <c r="AA43" i="27" s="1"/>
  <c r="K36" i="14"/>
  <c r="K35" i="16"/>
  <c r="F40" i="22"/>
  <c r="F47" i="22" s="1"/>
  <c r="O578" i="21"/>
  <c r="O598" i="21"/>
  <c r="M6" i="4"/>
  <c r="V91" i="2"/>
  <c r="CO260" i="1"/>
  <c r="CO258" i="1"/>
  <c r="N29" i="18"/>
  <c r="CO259" i="1"/>
  <c r="E7" i="26"/>
  <c r="AG7" i="26" s="1"/>
  <c r="AA189" i="2"/>
  <c r="CS409" i="1"/>
  <c r="CS244" i="1"/>
  <c r="Z93" i="2"/>
  <c r="AA7" i="2"/>
  <c r="AA246" i="2"/>
  <c r="W13" i="2"/>
  <c r="W19" i="2" s="1"/>
  <c r="W21" i="2" s="1"/>
  <c r="X99" i="2"/>
  <c r="M80" i="4"/>
  <c r="M83" i="4" s="1"/>
  <c r="DA10" i="9"/>
  <c r="CO465" i="1"/>
  <c r="AA47" i="2"/>
  <c r="AA75" i="2"/>
  <c r="AA113" i="2"/>
  <c r="AA100" i="2" s="1"/>
  <c r="AA146" i="2"/>
  <c r="J19" i="26"/>
  <c r="AL19" i="26" s="1"/>
  <c r="N37" i="18"/>
  <c r="N59" i="18"/>
  <c r="W357" i="2"/>
  <c r="CP255" i="1"/>
  <c r="P621" i="21"/>
  <c r="J38" i="14"/>
  <c r="AI36" i="14"/>
  <c r="J37" i="14"/>
  <c r="DH47" i="7"/>
  <c r="DH48" i="7"/>
  <c r="R43" i="18"/>
  <c r="R34" i="18"/>
  <c r="R60" i="18" s="1"/>
  <c r="CS241" i="1"/>
  <c r="CS397" i="1"/>
  <c r="R292" i="21"/>
  <c r="R616" i="21"/>
  <c r="AD19" i="3"/>
  <c r="CO14" i="1"/>
  <c r="J6" i="10"/>
  <c r="CO13" i="1"/>
  <c r="P308" i="21"/>
  <c r="P695" i="21"/>
  <c r="P646" i="21"/>
  <c r="P649" i="21" s="1"/>
  <c r="P567" i="21" s="1"/>
  <c r="O615" i="21"/>
  <c r="O618" i="21" s="1"/>
  <c r="O553" i="21" s="1"/>
  <c r="O291" i="21"/>
  <c r="Z114" i="2"/>
  <c r="Z116" i="2" s="1"/>
  <c r="AA112" i="2" s="1"/>
  <c r="Y102" i="2"/>
  <c r="Y120" i="2" s="1"/>
  <c r="Y119" i="2"/>
  <c r="AA250" i="2"/>
  <c r="AA23" i="2"/>
  <c r="AA29" i="2" s="1"/>
  <c r="Z59" i="2"/>
  <c r="Z226" i="2"/>
  <c r="X120" i="2"/>
  <c r="AC35" i="16"/>
  <c r="J37" i="16"/>
  <c r="AC37" i="16" s="1"/>
  <c r="J36" i="16"/>
  <c r="AC36" i="16" s="1"/>
  <c r="W171" i="2"/>
  <c r="W184" i="2" s="1"/>
  <c r="V378" i="2"/>
  <c r="V422" i="2"/>
  <c r="V423" i="2" s="1"/>
  <c r="V424" i="2" s="1"/>
  <c r="V58" i="2"/>
  <c r="V420" i="2"/>
  <c r="CS242" i="1"/>
  <c r="CS401" i="1"/>
  <c r="V366" i="2"/>
  <c r="T24" i="21"/>
  <c r="T25" i="21" s="1"/>
  <c r="T711" i="21" s="1"/>
  <c r="Y387" i="2"/>
  <c r="AG81" i="3" s="1"/>
  <c r="AG129" i="3"/>
  <c r="O339" i="21"/>
  <c r="O310" i="21"/>
  <c r="AA219" i="2"/>
  <c r="AA186" i="2"/>
  <c r="AA218" i="2"/>
  <c r="AA124" i="2" s="1"/>
  <c r="AA101" i="2" s="1"/>
  <c r="AI18" i="3"/>
  <c r="AI246" i="3" s="1"/>
  <c r="CT9" i="1"/>
  <c r="CT390" i="1"/>
  <c r="CT403" i="1"/>
  <c r="CT399" i="1"/>
  <c r="CT395" i="1"/>
  <c r="CT6" i="1"/>
  <c r="CT407" i="1"/>
  <c r="Z78" i="2"/>
  <c r="AA139" i="2"/>
  <c r="Y431" i="2"/>
  <c r="Y432" i="2"/>
  <c r="CR27" i="1"/>
  <c r="DB28" i="1" s="1"/>
  <c r="Y433" i="2"/>
  <c r="V227" i="2"/>
  <c r="V228" i="2" s="1"/>
  <c r="CR412" i="1"/>
  <c r="G29" i="14"/>
  <c r="G30" i="14"/>
  <c r="AF28" i="14"/>
  <c r="CS243" i="1"/>
  <c r="CS405" i="1"/>
  <c r="R572" i="21"/>
  <c r="R623" i="21"/>
  <c r="R554" i="21" s="1"/>
  <c r="R577" i="21"/>
  <c r="DB14" i="9" l="1"/>
  <c r="X103" i="2"/>
  <c r="X107" i="2" s="1"/>
  <c r="X108" i="2" s="1"/>
  <c r="AA52" i="27"/>
  <c r="W59" i="27"/>
  <c r="W61" i="27"/>
  <c r="W63" i="27" s="1"/>
  <c r="Z347" i="2"/>
  <c r="Q12" i="4"/>
  <c r="AH131" i="3"/>
  <c r="AA11" i="2"/>
  <c r="X126" i="2"/>
  <c r="Y123" i="2" s="1"/>
  <c r="Y125" i="2" s="1"/>
  <c r="T734" i="21"/>
  <c r="T720" i="21"/>
  <c r="T610" i="21"/>
  <c r="T612" i="21" s="1"/>
  <c r="T552" i="21" s="1"/>
  <c r="J8" i="10"/>
  <c r="J23" i="10" s="1"/>
  <c r="J21" i="10"/>
  <c r="W366" i="2"/>
  <c r="AD247" i="3"/>
  <c r="R25" i="11"/>
  <c r="AD23" i="3"/>
  <c r="F6" i="26"/>
  <c r="AH6" i="26" s="1"/>
  <c r="CP256" i="1"/>
  <c r="CQ252" i="1"/>
  <c r="CR248" i="1"/>
  <c r="CR428" i="1"/>
  <c r="W58" i="2"/>
  <c r="W378" i="2"/>
  <c r="W422" i="2"/>
  <c r="W423" i="2" s="1"/>
  <c r="W424" i="2" s="1"/>
  <c r="W420" i="2"/>
  <c r="AA76" i="2"/>
  <c r="AA381" i="2"/>
  <c r="AI75" i="3" s="1"/>
  <c r="AA370" i="2"/>
  <c r="L36" i="14"/>
  <c r="AA430" i="2"/>
  <c r="AB43" i="27" s="1"/>
  <c r="AB52" i="27" s="1"/>
  <c r="L35" i="16"/>
  <c r="AA93" i="2"/>
  <c r="CT242" i="1"/>
  <c r="CT401" i="1"/>
  <c r="AG22" i="3"/>
  <c r="CR29" i="1"/>
  <c r="P11" i="4"/>
  <c r="P94" i="4" s="1"/>
  <c r="P96" i="4" s="1"/>
  <c r="CR28" i="1"/>
  <c r="CR32" i="1" s="1"/>
  <c r="DG11" i="7"/>
  <c r="DG35" i="7" s="1"/>
  <c r="DD13" i="9"/>
  <c r="M7" i="10"/>
  <c r="M22" i="10" s="1"/>
  <c r="Q12" i="18"/>
  <c r="N92" i="4"/>
  <c r="N102" i="4"/>
  <c r="N104" i="4" s="1"/>
  <c r="X105" i="2"/>
  <c r="X435" i="2"/>
  <c r="X227" i="2"/>
  <c r="X228" i="2" s="1"/>
  <c r="Y169" i="2"/>
  <c r="Y170" i="2" s="1"/>
  <c r="Y171" i="2" s="1"/>
  <c r="Y184" i="2" s="1"/>
  <c r="Y202" i="2"/>
  <c r="Q52" i="18"/>
  <c r="H29" i="14"/>
  <c r="H30" i="14"/>
  <c r="AG28" i="14"/>
  <c r="CT243" i="1"/>
  <c r="CT405" i="1"/>
  <c r="W90" i="2"/>
  <c r="X57" i="27" s="1"/>
  <c r="O42" i="18"/>
  <c r="O46" i="18" s="1"/>
  <c r="O33" i="18"/>
  <c r="V94" i="2"/>
  <c r="V92" i="2"/>
  <c r="AA258" i="2"/>
  <c r="Z32" i="2"/>
  <c r="AA217" i="2"/>
  <c r="AA220" i="2" s="1"/>
  <c r="AA32" i="2" s="1"/>
  <c r="CT397" i="1"/>
  <c r="CT241" i="1"/>
  <c r="CS246" i="1"/>
  <c r="N57" i="18"/>
  <c r="N64" i="18"/>
  <c r="M7" i="4"/>
  <c r="M8" i="4" s="1"/>
  <c r="M13" i="4" s="1"/>
  <c r="P615" i="21"/>
  <c r="P618" i="21" s="1"/>
  <c r="P553" i="21" s="1"/>
  <c r="P291" i="21"/>
  <c r="W364" i="2"/>
  <c r="W365" i="2" s="1"/>
  <c r="Z387" i="2"/>
  <c r="AH81" i="3" s="1"/>
  <c r="AH129" i="3"/>
  <c r="Q308" i="21"/>
  <c r="Q695" i="21"/>
  <c r="Q646" i="21"/>
  <c r="Q649" i="21" s="1"/>
  <c r="Q567" i="21" s="1"/>
  <c r="AA78" i="2"/>
  <c r="AA114" i="2"/>
  <c r="AA116" i="2" s="1"/>
  <c r="S572" i="21"/>
  <c r="S623" i="21"/>
  <c r="S554" i="21" s="1"/>
  <c r="S577" i="21"/>
  <c r="X341" i="2"/>
  <c r="X356" i="2"/>
  <c r="CQ12" i="1"/>
  <c r="CQ17" i="1" s="1"/>
  <c r="I28" i="14"/>
  <c r="X418" i="2"/>
  <c r="Y41" i="27" s="1"/>
  <c r="CQ249" i="1"/>
  <c r="DF9" i="7"/>
  <c r="DF33" i="7" s="1"/>
  <c r="I27" i="16"/>
  <c r="P10" i="18"/>
  <c r="CQ250" i="1"/>
  <c r="G5" i="26"/>
  <c r="AI5" i="26" s="1"/>
  <c r="S34" i="18"/>
  <c r="S60" i="18" s="1"/>
  <c r="S43" i="18"/>
  <c r="Z431" i="2"/>
  <c r="Z432" i="2"/>
  <c r="CS27" i="1"/>
  <c r="DC28" i="1" s="1"/>
  <c r="Z433" i="2"/>
  <c r="CQ430" i="1"/>
  <c r="DC8" i="9"/>
  <c r="CQ429" i="1"/>
  <c r="CQ431" i="1"/>
  <c r="X419" i="2" s="1"/>
  <c r="S292" i="21"/>
  <c r="S616" i="21"/>
  <c r="DI47" i="7"/>
  <c r="DI48" i="7"/>
  <c r="AA59" i="2"/>
  <c r="AA226" i="2"/>
  <c r="O302" i="21"/>
  <c r="O313" i="21"/>
  <c r="Z119" i="2"/>
  <c r="Z102" i="2"/>
  <c r="Z120" i="2" s="1"/>
  <c r="F39" i="22"/>
  <c r="F46" i="22" s="1"/>
  <c r="F13" i="22" s="1"/>
  <c r="F17" i="22" s="1"/>
  <c r="O573" i="21"/>
  <c r="O576" i="21"/>
  <c r="O595" i="21"/>
  <c r="O555" i="21"/>
  <c r="O597" i="21" s="1"/>
  <c r="K37" i="16"/>
  <c r="K36" i="16"/>
  <c r="H29" i="16"/>
  <c r="AA29" i="16" s="1"/>
  <c r="H39" i="16"/>
  <c r="AA27" i="16"/>
  <c r="H28" i="16"/>
  <c r="AA28" i="16" s="1"/>
  <c r="P339" i="21"/>
  <c r="P310" i="21"/>
  <c r="CP14" i="1"/>
  <c r="AE19" i="3"/>
  <c r="K6" i="10"/>
  <c r="CP13" i="1"/>
  <c r="CT240" i="1"/>
  <c r="CT392" i="1"/>
  <c r="CT393" i="1"/>
  <c r="CT411" i="1"/>
  <c r="CT413" i="1" s="1"/>
  <c r="AD72" i="3"/>
  <c r="W227" i="2"/>
  <c r="W228" i="2" s="1"/>
  <c r="O331" i="21"/>
  <c r="O295" i="21"/>
  <c r="CT409" i="1"/>
  <c r="CT244" i="1"/>
  <c r="G40" i="22"/>
  <c r="G47" i="22" s="1"/>
  <c r="P598" i="21"/>
  <c r="P578" i="21"/>
  <c r="K38" i="14"/>
  <c r="K37" i="14"/>
  <c r="CS412" i="1"/>
  <c r="AF20" i="3"/>
  <c r="X131" i="2"/>
  <c r="X133" i="2"/>
  <c r="X135" i="2"/>
  <c r="CQ437" i="1"/>
  <c r="X140" i="2"/>
  <c r="CP257" i="1"/>
  <c r="W426" i="2" s="1"/>
  <c r="X40" i="27" s="1"/>
  <c r="X50" i="27" s="1"/>
  <c r="N80" i="4"/>
  <c r="N83" i="4" s="1"/>
  <c r="CP465" i="1"/>
  <c r="DB10" i="9"/>
  <c r="X109" i="2" l="1"/>
  <c r="DC14" i="9"/>
  <c r="CQ254" i="1"/>
  <c r="CQ255" i="1" s="1"/>
  <c r="O9" i="4"/>
  <c r="O90" i="4" s="1"/>
  <c r="Y103" i="2"/>
  <c r="Y435" i="2" s="1"/>
  <c r="X56" i="27"/>
  <c r="X58" i="27" s="1"/>
  <c r="X61" i="27" s="1"/>
  <c r="X63" i="27" s="1"/>
  <c r="X53" i="27"/>
  <c r="X54" i="27" s="1"/>
  <c r="O600" i="21"/>
  <c r="Y126" i="2"/>
  <c r="Z123" i="2" s="1"/>
  <c r="Z125" i="2" s="1"/>
  <c r="Y227" i="2"/>
  <c r="Y228" i="2" s="1"/>
  <c r="X357" i="2"/>
  <c r="Q621" i="21"/>
  <c r="Q11" i="4"/>
  <c r="Q94" i="4" s="1"/>
  <c r="Q96" i="4" s="1"/>
  <c r="CS28" i="1"/>
  <c r="CS32" i="1" s="1"/>
  <c r="CS29" i="1"/>
  <c r="AH22" i="3"/>
  <c r="DH11" i="7"/>
  <c r="DH35" i="7" s="1"/>
  <c r="DE13" i="9"/>
  <c r="R12" i="18"/>
  <c r="L37" i="16"/>
  <c r="L36" i="16"/>
  <c r="R308" i="21"/>
  <c r="R695" i="21"/>
  <c r="R646" i="21"/>
  <c r="R649" i="21" s="1"/>
  <c r="R567" i="21" s="1"/>
  <c r="AA433" i="2"/>
  <c r="AA431" i="2"/>
  <c r="AA432" i="2"/>
  <c r="CT27" i="1"/>
  <c r="M14" i="4"/>
  <c r="M18" i="4"/>
  <c r="X58" i="2"/>
  <c r="X422" i="2"/>
  <c r="X423" i="2" s="1"/>
  <c r="X424" i="2" s="1"/>
  <c r="X378" i="2"/>
  <c r="X420" i="2"/>
  <c r="O304" i="21"/>
  <c r="O335" i="21"/>
  <c r="I29" i="14"/>
  <c r="I30" i="14"/>
  <c r="AH28" i="14"/>
  <c r="Q310" i="21"/>
  <c r="Q339" i="21"/>
  <c r="CQ14" i="1"/>
  <c r="CQ13" i="1"/>
  <c r="AF19" i="3"/>
  <c r="L6" i="10"/>
  <c r="O36" i="14"/>
  <c r="L38" i="14"/>
  <c r="L37" i="14"/>
  <c r="CS428" i="1"/>
  <c r="CS248" i="1"/>
  <c r="AD24" i="3"/>
  <c r="AD249" i="3" s="1"/>
  <c r="AD127" i="3"/>
  <c r="AD248" i="3"/>
  <c r="AA387" i="2"/>
  <c r="AI81" i="3" s="1"/>
  <c r="AI129" i="3"/>
  <c r="U25" i="11"/>
  <c r="R35" i="11"/>
  <c r="X145" i="2"/>
  <c r="X136" i="2"/>
  <c r="X137" i="2" s="1"/>
  <c r="H40" i="22"/>
  <c r="H47" i="22" s="1"/>
  <c r="Q598" i="21"/>
  <c r="Q578" i="21"/>
  <c r="X364" i="2"/>
  <c r="X365" i="2" s="1"/>
  <c r="K8" i="10"/>
  <c r="K23" i="10" s="1"/>
  <c r="K21" i="10"/>
  <c r="O194" i="21"/>
  <c r="O314" i="21"/>
  <c r="O338" i="21"/>
  <c r="O323" i="21" s="1"/>
  <c r="O369" i="21" s="1"/>
  <c r="CT246" i="1"/>
  <c r="W91" i="2"/>
  <c r="N6" i="4"/>
  <c r="CP258" i="1"/>
  <c r="O29" i="18"/>
  <c r="CP259" i="1"/>
  <c r="F7" i="26"/>
  <c r="AH7" i="26" s="1"/>
  <c r="AE23" i="3"/>
  <c r="AE247" i="3"/>
  <c r="P331" i="21"/>
  <c r="P295" i="21"/>
  <c r="AA202" i="2"/>
  <c r="AA169" i="2"/>
  <c r="AA170" i="2" s="1"/>
  <c r="S52" i="18"/>
  <c r="O296" i="21"/>
  <c r="O330" i="21"/>
  <c r="O321" i="21" s="1"/>
  <c r="O346" i="21" s="1"/>
  <c r="O297" i="21"/>
  <c r="O182" i="21"/>
  <c r="CT412" i="1"/>
  <c r="X79" i="2"/>
  <c r="X142" i="2"/>
  <c r="Q291" i="21"/>
  <c r="Q615" i="21"/>
  <c r="Q618" i="21" s="1"/>
  <c r="Q553" i="21" s="1"/>
  <c r="G39" i="22"/>
  <c r="P595" i="21"/>
  <c r="P573" i="21"/>
  <c r="P576" i="21"/>
  <c r="P555" i="21"/>
  <c r="P597" i="21" s="1"/>
  <c r="Z169" i="2"/>
  <c r="Z170" i="2" s="1"/>
  <c r="Z171" i="2" s="1"/>
  <c r="Z184" i="2" s="1"/>
  <c r="Z202" i="2"/>
  <c r="R52" i="18"/>
  <c r="AA62" i="2"/>
  <c r="AA379" i="2" s="1"/>
  <c r="AI73" i="3" s="1"/>
  <c r="AI131" i="3"/>
  <c r="R12" i="4"/>
  <c r="AA347" i="2"/>
  <c r="AE72" i="3"/>
  <c r="AA119" i="2"/>
  <c r="AA102" i="2"/>
  <c r="AA120" i="2" s="1"/>
  <c r="P302" i="21"/>
  <c r="P313" i="21"/>
  <c r="AB27" i="16"/>
  <c r="I29" i="16"/>
  <c r="AB29" i="16" s="1"/>
  <c r="I39" i="16"/>
  <c r="I28" i="16"/>
  <c r="AB28" i="16" s="1"/>
  <c r="CR430" i="1"/>
  <c r="DD8" i="9"/>
  <c r="CR431" i="1"/>
  <c r="Y419" i="2" s="1"/>
  <c r="CR429" i="1"/>
  <c r="T572" i="21"/>
  <c r="T623" i="21"/>
  <c r="T554" i="21" s="1"/>
  <c r="T577" i="21"/>
  <c r="O59" i="18"/>
  <c r="O37" i="18"/>
  <c r="Y356" i="2"/>
  <c r="Y341" i="2"/>
  <c r="Y418" i="2"/>
  <c r="Z41" i="27" s="1"/>
  <c r="CR12" i="1"/>
  <c r="CR17" i="1" s="1"/>
  <c r="J28" i="14"/>
  <c r="CR250" i="1"/>
  <c r="CR249" i="1"/>
  <c r="DG9" i="7"/>
  <c r="DG33" i="7" s="1"/>
  <c r="H5" i="26"/>
  <c r="AJ5" i="26" s="1"/>
  <c r="Q10" i="18"/>
  <c r="J27" i="16"/>
  <c r="T292" i="21"/>
  <c r="V292" i="21" s="1"/>
  <c r="T616" i="21"/>
  <c r="X368" i="2"/>
  <c r="CQ439" i="1"/>
  <c r="CQ466" i="1"/>
  <c r="DC9" i="9"/>
  <c r="CQ419" i="1"/>
  <c r="CQ35" i="1"/>
  <c r="Y99" i="2"/>
  <c r="X13" i="2"/>
  <c r="X19" i="2" s="1"/>
  <c r="X21" i="2" s="1"/>
  <c r="X366" i="2" s="1"/>
  <c r="Y109" i="2" l="1"/>
  <c r="Y105" i="2"/>
  <c r="Y107" i="2"/>
  <c r="Y108" i="2" s="1"/>
  <c r="DD14" i="9"/>
  <c r="CR252" i="1"/>
  <c r="P9" i="4" s="1"/>
  <c r="P90" i="4" s="1"/>
  <c r="P92" i="4" s="1"/>
  <c r="R621" i="21"/>
  <c r="Z103" i="2"/>
  <c r="Z109" i="2" s="1"/>
  <c r="Z126" i="2"/>
  <c r="AA123" i="2" s="1"/>
  <c r="AA125" i="2" s="1"/>
  <c r="AA171" i="2"/>
  <c r="AA184" i="2" s="1"/>
  <c r="AA227" i="2" s="1"/>
  <c r="AA228" i="2" s="1"/>
  <c r="Z356" i="2"/>
  <c r="Z341" i="2"/>
  <c r="Z418" i="2"/>
  <c r="AA41" i="27" s="1"/>
  <c r="CS12" i="1"/>
  <c r="CS17" i="1" s="1"/>
  <c r="K28" i="14"/>
  <c r="R10" i="18"/>
  <c r="CS250" i="1"/>
  <c r="CS249" i="1"/>
  <c r="I5" i="26"/>
  <c r="AK5" i="26" s="1"/>
  <c r="DH9" i="7"/>
  <c r="DH33" i="7" s="1"/>
  <c r="K27" i="16"/>
  <c r="R11" i="4"/>
  <c r="R94" i="4" s="1"/>
  <c r="R96" i="4" s="1"/>
  <c r="CT28" i="1"/>
  <c r="CT32" i="1" s="1"/>
  <c r="CT29" i="1"/>
  <c r="AI22" i="3"/>
  <c r="DI11" i="7"/>
  <c r="DI35" i="7" s="1"/>
  <c r="DF13" i="9"/>
  <c r="S12" i="18"/>
  <c r="P338" i="21"/>
  <c r="P323" i="21" s="1"/>
  <c r="P369" i="21" s="1"/>
  <c r="P194" i="21"/>
  <c r="P314" i="21"/>
  <c r="O57" i="18"/>
  <c r="O64" i="18"/>
  <c r="CS430" i="1"/>
  <c r="DE8" i="9"/>
  <c r="CS431" i="1"/>
  <c r="Z419" i="2" s="1"/>
  <c r="CS429" i="1"/>
  <c r="AE24" i="3"/>
  <c r="AE249" i="3" s="1"/>
  <c r="AE127" i="3"/>
  <c r="AE248" i="3"/>
  <c r="Y13" i="2"/>
  <c r="Y19" i="2" s="1"/>
  <c r="Y21" i="2" s="1"/>
  <c r="Y366" i="2" s="1"/>
  <c r="Z99" i="2"/>
  <c r="P304" i="21"/>
  <c r="P335" i="21"/>
  <c r="O348" i="21"/>
  <c r="D12" i="25"/>
  <c r="O375" i="21"/>
  <c r="O347" i="21"/>
  <c r="O415" i="21"/>
  <c r="O380" i="21"/>
  <c r="O370" i="21"/>
  <c r="O541" i="21"/>
  <c r="Z227" i="2"/>
  <c r="Z228" i="2" s="1"/>
  <c r="N7" i="4"/>
  <c r="N8" i="4" s="1"/>
  <c r="N13" i="4" s="1"/>
  <c r="Q313" i="21"/>
  <c r="Q302" i="21"/>
  <c r="W92" i="2"/>
  <c r="W94" i="2"/>
  <c r="R598" i="21"/>
  <c r="R578" i="21"/>
  <c r="R291" i="21"/>
  <c r="R615" i="21"/>
  <c r="R618" i="21" s="1"/>
  <c r="R553" i="21" s="1"/>
  <c r="O184" i="21"/>
  <c r="O183" i="21"/>
  <c r="P600" i="21"/>
  <c r="O305" i="21"/>
  <c r="O334" i="21"/>
  <c r="O322" i="21" s="1"/>
  <c r="O350" i="21" s="1"/>
  <c r="O352" i="21" s="1"/>
  <c r="CQ256" i="1"/>
  <c r="G6" i="26"/>
  <c r="AI6" i="26" s="1"/>
  <c r="CQ257" i="1"/>
  <c r="X426" i="2" s="1"/>
  <c r="Y40" i="27" s="1"/>
  <c r="Y50" i="27" s="1"/>
  <c r="R310" i="21"/>
  <c r="R339" i="21"/>
  <c r="O92" i="4"/>
  <c r="O102" i="4"/>
  <c r="O104" i="4" s="1"/>
  <c r="CQ421" i="1"/>
  <c r="CQ442" i="1"/>
  <c r="CQ420" i="1"/>
  <c r="CQ425" i="1"/>
  <c r="CT428" i="1"/>
  <c r="CT248" i="1"/>
  <c r="CR14" i="1"/>
  <c r="CR13" i="1"/>
  <c r="AG19" i="3"/>
  <c r="M6" i="10"/>
  <c r="H39" i="22"/>
  <c r="Q555" i="21"/>
  <c r="Q597" i="21" s="1"/>
  <c r="Q595" i="21"/>
  <c r="Q576" i="21"/>
  <c r="Q573" i="21"/>
  <c r="U35" i="11"/>
  <c r="R45" i="11"/>
  <c r="AF72" i="3"/>
  <c r="J28" i="16"/>
  <c r="AC28" i="16" s="1"/>
  <c r="J29" i="16"/>
  <c r="AC29" i="16" s="1"/>
  <c r="J39" i="16"/>
  <c r="AC27" i="16"/>
  <c r="AI28" i="14"/>
  <c r="J29" i="14"/>
  <c r="J30" i="14"/>
  <c r="G45" i="22"/>
  <c r="G46" i="22"/>
  <c r="G13" i="22" s="1"/>
  <c r="G17" i="22" s="1"/>
  <c r="P296" i="21"/>
  <c r="P330" i="21"/>
  <c r="P321" i="21" s="1"/>
  <c r="P346" i="21" s="1"/>
  <c r="P182" i="21"/>
  <c r="P297" i="21"/>
  <c r="L8" i="10"/>
  <c r="L23" i="10" s="1"/>
  <c r="L21" i="10"/>
  <c r="X90" i="2"/>
  <c r="Y57" i="27" s="1"/>
  <c r="P42" i="18"/>
  <c r="P46" i="18" s="1"/>
  <c r="P33" i="18"/>
  <c r="D13" i="25"/>
  <c r="O418" i="21"/>
  <c r="O382" i="21"/>
  <c r="O2" i="21" s="1"/>
  <c r="Y58" i="2"/>
  <c r="Y422" i="2"/>
  <c r="Y423" i="2" s="1"/>
  <c r="Y424" i="2" s="1"/>
  <c r="Y420" i="2"/>
  <c r="Y378" i="2"/>
  <c r="Q331" i="21"/>
  <c r="Q295" i="21"/>
  <c r="Y364" i="2"/>
  <c r="Y365" i="2" s="1"/>
  <c r="Y130" i="2"/>
  <c r="AF33" i="3"/>
  <c r="X80" i="2"/>
  <c r="X143" i="2"/>
  <c r="AF23" i="3"/>
  <c r="AF247" i="3"/>
  <c r="S308" i="21"/>
  <c r="S695" i="21"/>
  <c r="S646" i="21"/>
  <c r="S649" i="21" s="1"/>
  <c r="S567" i="21" s="1"/>
  <c r="Y357" i="2" l="1"/>
  <c r="Z107" i="2"/>
  <c r="CR254" i="1"/>
  <c r="CR257" i="1" s="1"/>
  <c r="Y426" i="2" s="1"/>
  <c r="Z40" i="27" s="1"/>
  <c r="Z50" i="27" s="1"/>
  <c r="Z56" i="27" s="1"/>
  <c r="Z108" i="2"/>
  <c r="DE14" i="9"/>
  <c r="CS252" i="1"/>
  <c r="Q9" i="4" s="1"/>
  <c r="Q90" i="4" s="1"/>
  <c r="H6" i="26"/>
  <c r="AJ6" i="26" s="1"/>
  <c r="Z105" i="2"/>
  <c r="Z13" i="2" s="1"/>
  <c r="Z19" i="2" s="1"/>
  <c r="Z21" i="2" s="1"/>
  <c r="Z435" i="2"/>
  <c r="P102" i="4"/>
  <c r="P104" i="4" s="1"/>
  <c r="AA103" i="2"/>
  <c r="AA435" i="2" s="1"/>
  <c r="H7" i="26"/>
  <c r="AJ7" i="26" s="1"/>
  <c r="Q29" i="18"/>
  <c r="CR259" i="1"/>
  <c r="P6" i="4"/>
  <c r="P7" i="4" s="1"/>
  <c r="P8" i="4" s="1"/>
  <c r="P13" i="4" s="1"/>
  <c r="Y91" i="2"/>
  <c r="Y94" i="2" s="1"/>
  <c r="Y56" i="27"/>
  <c r="Y53" i="27"/>
  <c r="Y54" i="27" s="1"/>
  <c r="D14" i="25"/>
  <c r="D22" i="25" s="1"/>
  <c r="Q600" i="21"/>
  <c r="N14" i="4"/>
  <c r="N18" i="4"/>
  <c r="AF24" i="3"/>
  <c r="AF249" i="3" s="1"/>
  <c r="AF127" i="3"/>
  <c r="AF248" i="3"/>
  <c r="Q194" i="21"/>
  <c r="Q314" i="21"/>
  <c r="Q338" i="21"/>
  <c r="Q323" i="21" s="1"/>
  <c r="Q369" i="21" s="1"/>
  <c r="AA126" i="2"/>
  <c r="Z58" i="2"/>
  <c r="Z422" i="2"/>
  <c r="Z423" i="2" s="1"/>
  <c r="Z424" i="2" s="1"/>
  <c r="Z378" i="2"/>
  <c r="Z420" i="2"/>
  <c r="R555" i="21"/>
  <c r="R597" i="21" s="1"/>
  <c r="R595" i="21"/>
  <c r="R573" i="21"/>
  <c r="R576" i="21"/>
  <c r="Y133" i="2"/>
  <c r="AG20" i="3"/>
  <c r="Y135" i="2"/>
  <c r="Y131" i="2"/>
  <c r="CR437" i="1"/>
  <c r="Y140" i="2"/>
  <c r="R302" i="21"/>
  <c r="R313" i="21"/>
  <c r="R295" i="21"/>
  <c r="R331" i="21"/>
  <c r="P305" i="21"/>
  <c r="P334" i="21"/>
  <c r="P322" i="21" s="1"/>
  <c r="P350" i="21" s="1"/>
  <c r="P352" i="21" s="1"/>
  <c r="H45" i="22"/>
  <c r="H46" i="22"/>
  <c r="P59" i="18"/>
  <c r="P37" i="18"/>
  <c r="K29" i="14"/>
  <c r="K30" i="14"/>
  <c r="M21" i="10"/>
  <c r="M8" i="10"/>
  <c r="M23" i="10" s="1"/>
  <c r="X91" i="2"/>
  <c r="O6" i="4"/>
  <c r="CQ258" i="1"/>
  <c r="P29" i="18"/>
  <c r="CQ259" i="1"/>
  <c r="G7" i="26"/>
  <c r="AI7" i="26" s="1"/>
  <c r="AA356" i="2"/>
  <c r="AA341" i="2"/>
  <c r="AA418" i="2"/>
  <c r="AB41" i="27" s="1"/>
  <c r="CT12" i="1"/>
  <c r="S10" i="18"/>
  <c r="CT250" i="1"/>
  <c r="L28" i="14"/>
  <c r="J5" i="26"/>
  <c r="CT249" i="1"/>
  <c r="DI9" i="7"/>
  <c r="DI33" i="7" s="1"/>
  <c r="L27" i="16"/>
  <c r="S291" i="21"/>
  <c r="S615" i="21"/>
  <c r="S618" i="21" s="1"/>
  <c r="S553" i="21" s="1"/>
  <c r="S621" i="21"/>
  <c r="K28" i="16"/>
  <c r="K29" i="16"/>
  <c r="K39" i="16"/>
  <c r="Z364" i="2"/>
  <c r="Z365" i="2" s="1"/>
  <c r="AH19" i="3"/>
  <c r="CS14" i="1"/>
  <c r="CS13" i="1"/>
  <c r="CR258" i="1"/>
  <c r="AG23" i="3"/>
  <c r="AG247" i="3"/>
  <c r="Y90" i="2"/>
  <c r="Q42" i="18"/>
  <c r="Q46" i="18" s="1"/>
  <c r="Q33" i="18"/>
  <c r="P348" i="21"/>
  <c r="P380" i="21"/>
  <c r="E12" i="25"/>
  <c r="P375" i="21"/>
  <c r="P347" i="21"/>
  <c r="P415" i="21"/>
  <c r="P541" i="21"/>
  <c r="P370" i="21"/>
  <c r="R77" i="11"/>
  <c r="U45" i="11"/>
  <c r="R46" i="11"/>
  <c r="R64" i="11" s="1"/>
  <c r="R72" i="11" s="1"/>
  <c r="R63" i="11"/>
  <c r="R71" i="11" s="1"/>
  <c r="Q335" i="21"/>
  <c r="Q304" i="21"/>
  <c r="CT430" i="1"/>
  <c r="DF8" i="9"/>
  <c r="CT431" i="1"/>
  <c r="AA419" i="2" s="1"/>
  <c r="CT429" i="1"/>
  <c r="E13" i="25"/>
  <c r="P418" i="21"/>
  <c r="P382" i="21"/>
  <c r="P2" i="21" s="1"/>
  <c r="P183" i="21"/>
  <c r="P184" i="21"/>
  <c r="S598" i="21"/>
  <c r="S578" i="21"/>
  <c r="S339" i="21"/>
  <c r="S310" i="21"/>
  <c r="CQ443" i="1"/>
  <c r="CQ464" i="1"/>
  <c r="O190" i="21"/>
  <c r="O353" i="21"/>
  <c r="O377" i="21"/>
  <c r="O354" i="21"/>
  <c r="O355" i="21" s="1"/>
  <c r="Q182" i="21"/>
  <c r="Q296" i="21"/>
  <c r="Q330" i="21"/>
  <c r="Q321" i="21" s="1"/>
  <c r="Q346" i="21" s="1"/>
  <c r="Q297" i="21"/>
  <c r="AG72" i="3"/>
  <c r="O193" i="21"/>
  <c r="O376" i="21"/>
  <c r="T308" i="21"/>
  <c r="T695" i="21"/>
  <c r="T646" i="21"/>
  <c r="T649" i="21" s="1"/>
  <c r="T567" i="21" s="1"/>
  <c r="CR255" i="1" l="1"/>
  <c r="CS254" i="1"/>
  <c r="Z53" i="27"/>
  <c r="CR256" i="1"/>
  <c r="AA99" i="2"/>
  <c r="DF14" i="9"/>
  <c r="CT252" i="1"/>
  <c r="R9" i="4" s="1"/>
  <c r="R90" i="4" s="1"/>
  <c r="Z357" i="2"/>
  <c r="AA109" i="2"/>
  <c r="AA107" i="2"/>
  <c r="AA108" i="2" s="1"/>
  <c r="CT17" i="1"/>
  <c r="CW12" i="1"/>
  <c r="AA105" i="2"/>
  <c r="AA13" i="2" s="1"/>
  <c r="AA19" i="2" s="1"/>
  <c r="AA21" i="2" s="1"/>
  <c r="AA366" i="2" s="1"/>
  <c r="D15" i="25"/>
  <c r="Z54" i="27"/>
  <c r="Y92" i="2"/>
  <c r="Z57" i="27"/>
  <c r="Z58" i="27" s="1"/>
  <c r="Z61" i="27" s="1"/>
  <c r="Z63" i="27" s="1"/>
  <c r="X59" i="27"/>
  <c r="Y58" i="27"/>
  <c r="AL5" i="26"/>
  <c r="L5" i="26"/>
  <c r="R600" i="21"/>
  <c r="P18" i="4"/>
  <c r="Y368" i="2"/>
  <c r="CR439" i="1"/>
  <c r="CR466" i="1"/>
  <c r="DD9" i="9"/>
  <c r="CR419" i="1"/>
  <c r="CR35" i="1"/>
  <c r="F13" i="25"/>
  <c r="Q418" i="21"/>
  <c r="Q382" i="21"/>
  <c r="Q2" i="21" s="1"/>
  <c r="AG24" i="3"/>
  <c r="AG249" i="3" s="1"/>
  <c r="AG127" i="3"/>
  <c r="AG248" i="3"/>
  <c r="Y79" i="2"/>
  <c r="Y142" i="2"/>
  <c r="T291" i="21"/>
  <c r="T615" i="21"/>
  <c r="T618" i="21" s="1"/>
  <c r="T553" i="21" s="1"/>
  <c r="Q92" i="4"/>
  <c r="Q102" i="4"/>
  <c r="Q104" i="4" s="1"/>
  <c r="AA364" i="2"/>
  <c r="AA365" i="2" s="1"/>
  <c r="Z90" i="2"/>
  <c r="AA57" i="27" s="1"/>
  <c r="R33" i="18"/>
  <c r="R42" i="18"/>
  <c r="R46" i="18" s="1"/>
  <c r="E14" i="25"/>
  <c r="L28" i="16"/>
  <c r="L29" i="16"/>
  <c r="L39" i="16"/>
  <c r="Y145" i="2"/>
  <c r="Y136" i="2"/>
  <c r="Y137" i="2" s="1"/>
  <c r="R194" i="21"/>
  <c r="R314" i="21"/>
  <c r="R338" i="21"/>
  <c r="R323" i="21" s="1"/>
  <c r="R369" i="21" s="1"/>
  <c r="AA378" i="2"/>
  <c r="AA58" i="2"/>
  <c r="AA420" i="2"/>
  <c r="AA422" i="2"/>
  <c r="AA423" i="2" s="1"/>
  <c r="AA424" i="2" s="1"/>
  <c r="S302" i="21"/>
  <c r="S313" i="21"/>
  <c r="P57" i="18"/>
  <c r="P64" i="18"/>
  <c r="O191" i="21"/>
  <c r="O192" i="21" s="1"/>
  <c r="O195" i="21" s="1"/>
  <c r="AH72" i="3"/>
  <c r="AH23" i="3"/>
  <c r="AH247" i="3"/>
  <c r="P190" i="21"/>
  <c r="P353" i="21"/>
  <c r="P377" i="21"/>
  <c r="P354" i="21"/>
  <c r="P355" i="21" s="1"/>
  <c r="S555" i="21"/>
  <c r="S597" i="21" s="1"/>
  <c r="S595" i="21"/>
  <c r="S573" i="21"/>
  <c r="S576" i="21"/>
  <c r="R335" i="21"/>
  <c r="R304" i="21"/>
  <c r="L29" i="14"/>
  <c r="L30" i="14"/>
  <c r="O28" i="14"/>
  <c r="O7" i="4"/>
  <c r="O8" i="4" s="1"/>
  <c r="O13" i="4" s="1"/>
  <c r="Z366" i="2"/>
  <c r="T621" i="21"/>
  <c r="R182" i="21"/>
  <c r="R296" i="21"/>
  <c r="R330" i="21"/>
  <c r="R321" i="21" s="1"/>
  <c r="R346" i="21" s="1"/>
  <c r="R297" i="21"/>
  <c r="O80" i="4"/>
  <c r="O83" i="4" s="1"/>
  <c r="CQ465" i="1"/>
  <c r="DC10" i="9"/>
  <c r="F12" i="25"/>
  <c r="Q348" i="21"/>
  <c r="Q380" i="21"/>
  <c r="Q375" i="21"/>
  <c r="Q370" i="21"/>
  <c r="Q541" i="21"/>
  <c r="Q347" i="21"/>
  <c r="Q415" i="21"/>
  <c r="Q305" i="21"/>
  <c r="Q334" i="21"/>
  <c r="Q322" i="21" s="1"/>
  <c r="Q350" i="21" s="1"/>
  <c r="Q183" i="21"/>
  <c r="Q184" i="21"/>
  <c r="T598" i="21"/>
  <c r="T578" i="21"/>
  <c r="Q59" i="18"/>
  <c r="Q37" i="18"/>
  <c r="X94" i="2"/>
  <c r="X92" i="2"/>
  <c r="AI19" i="3"/>
  <c r="CT13" i="1"/>
  <c r="CT14" i="1"/>
  <c r="S295" i="21"/>
  <c r="S330" i="21" s="1"/>
  <c r="S331" i="21"/>
  <c r="P193" i="21"/>
  <c r="P376" i="21"/>
  <c r="T339" i="21"/>
  <c r="T310" i="21"/>
  <c r="CS255" i="1"/>
  <c r="CS256" i="1"/>
  <c r="I6" i="26"/>
  <c r="AK6" i="26" s="1"/>
  <c r="CS257" i="1"/>
  <c r="Z426" i="2" s="1"/>
  <c r="AA40" i="27" s="1"/>
  <c r="AA50" i="27" s="1"/>
  <c r="AA357" i="2" l="1"/>
  <c r="CT254" i="1"/>
  <c r="S42" i="18"/>
  <c r="S46" i="18" s="1"/>
  <c r="S33" i="18"/>
  <c r="S37" i="18" s="1"/>
  <c r="AA90" i="2"/>
  <c r="AB57" i="27" s="1"/>
  <c r="Y61" i="27"/>
  <c r="Y63" i="27" s="1"/>
  <c r="Y59" i="27"/>
  <c r="AA56" i="27"/>
  <c r="AA53" i="27"/>
  <c r="AA54" i="27" s="1"/>
  <c r="S600" i="21"/>
  <c r="O14" i="4"/>
  <c r="O18" i="4"/>
  <c r="P14" i="4"/>
  <c r="G12" i="25"/>
  <c r="R370" i="21"/>
  <c r="R380" i="21"/>
  <c r="R375" i="21"/>
  <c r="R541" i="21"/>
  <c r="R347" i="21"/>
  <c r="R348" i="21"/>
  <c r="R415" i="21"/>
  <c r="Z91" i="2"/>
  <c r="Q6" i="4"/>
  <c r="CS258" i="1"/>
  <c r="R29" i="18"/>
  <c r="I7" i="26"/>
  <c r="AK7" i="26" s="1"/>
  <c r="CS259" i="1"/>
  <c r="CT255" i="1"/>
  <c r="CT256" i="1"/>
  <c r="J6" i="26"/>
  <c r="CT257" i="1"/>
  <c r="AA426" i="2" s="1"/>
  <c r="AB40" i="27" s="1"/>
  <c r="AB50" i="27" s="1"/>
  <c r="G13" i="25"/>
  <c r="R382" i="21"/>
  <c r="R2" i="21" s="1"/>
  <c r="R418" i="21"/>
  <c r="CR421" i="1"/>
  <c r="CR442" i="1"/>
  <c r="CR420" i="1"/>
  <c r="CR425" i="1"/>
  <c r="AH24" i="3"/>
  <c r="AH249" i="3" s="1"/>
  <c r="AH248" i="3"/>
  <c r="AH127" i="3"/>
  <c r="R59" i="18"/>
  <c r="R37" i="18"/>
  <c r="S335" i="21"/>
  <c r="S304" i="21"/>
  <c r="R305" i="21"/>
  <c r="R334" i="21"/>
  <c r="R322" i="21" s="1"/>
  <c r="R350" i="21" s="1"/>
  <c r="S297" i="21"/>
  <c r="S182" i="21"/>
  <c r="S321" i="21"/>
  <c r="S346" i="21" s="1"/>
  <c r="S296" i="21"/>
  <c r="AI23" i="3"/>
  <c r="AI247" i="3"/>
  <c r="R92" i="4"/>
  <c r="R102" i="4"/>
  <c r="R104" i="4" s="1"/>
  <c r="T576" i="21"/>
  <c r="T555" i="21"/>
  <c r="T597" i="21" s="1"/>
  <c r="T595" i="21"/>
  <c r="T573" i="21"/>
  <c r="T295" i="21"/>
  <c r="V291" i="21"/>
  <c r="T331" i="21"/>
  <c r="Q376" i="21"/>
  <c r="Q193" i="21"/>
  <c r="Q57" i="18"/>
  <c r="Q64" i="18"/>
  <c r="AG33" i="3"/>
  <c r="Y80" i="2"/>
  <c r="Z130" i="2"/>
  <c r="Y143" i="2"/>
  <c r="R183" i="21"/>
  <c r="R184" i="21"/>
  <c r="Q352" i="21"/>
  <c r="P191" i="21"/>
  <c r="P192" i="21" s="1"/>
  <c r="P195" i="21" s="1"/>
  <c r="AI72" i="3"/>
  <c r="T302" i="21"/>
  <c r="T313" i="21"/>
  <c r="F14" i="25"/>
  <c r="S194" i="21"/>
  <c r="S314" i="21"/>
  <c r="S338" i="21"/>
  <c r="S323" i="21" s="1"/>
  <c r="S369" i="21" s="1"/>
  <c r="E22" i="25"/>
  <c r="E15" i="25"/>
  <c r="S59" i="18" l="1"/>
  <c r="AB53" i="27"/>
  <c r="AB54" i="27" s="1"/>
  <c r="AB56" i="27"/>
  <c r="Z59" i="27"/>
  <c r="AA58" i="27"/>
  <c r="AA61" i="27" s="1"/>
  <c r="AA63" i="27" s="1"/>
  <c r="AL6" i="26"/>
  <c r="L6" i="26"/>
  <c r="T600" i="21"/>
  <c r="P199" i="21"/>
  <c r="R193" i="21"/>
  <c r="R376" i="21"/>
  <c r="R6" i="4"/>
  <c r="AA91" i="2"/>
  <c r="CT259" i="1"/>
  <c r="CT258" i="1"/>
  <c r="S29" i="18"/>
  <c r="J7" i="26"/>
  <c r="F22" i="25"/>
  <c r="F15" i="25"/>
  <c r="R352" i="21"/>
  <c r="Z133" i="2"/>
  <c r="AH20" i="3"/>
  <c r="Z135" i="2"/>
  <c r="Z131" i="2"/>
  <c r="CS437" i="1"/>
  <c r="Z140" i="2"/>
  <c r="T194" i="21"/>
  <c r="T314" i="21"/>
  <c r="T338" i="21"/>
  <c r="T323" i="21" s="1"/>
  <c r="T369" i="21" s="1"/>
  <c r="V313" i="21"/>
  <c r="W313" i="21"/>
  <c r="R64" i="18"/>
  <c r="R57" i="18"/>
  <c r="Q354" i="21"/>
  <c r="Q355" i="21" s="1"/>
  <c r="Q377" i="21"/>
  <c r="Q190" i="21"/>
  <c r="Q353" i="21"/>
  <c r="T335" i="21"/>
  <c r="T304" i="21"/>
  <c r="G14" i="25"/>
  <c r="AI248" i="3"/>
  <c r="AI24" i="3"/>
  <c r="AI249" i="3" s="1"/>
  <c r="AI127" i="3"/>
  <c r="S348" i="21"/>
  <c r="S370" i="21"/>
  <c r="S380" i="21"/>
  <c r="S375" i="21"/>
  <c r="S541" i="21"/>
  <c r="S415" i="21"/>
  <c r="S347" i="21"/>
  <c r="T297" i="21"/>
  <c r="T182" i="21"/>
  <c r="V295" i="21"/>
  <c r="T296" i="21"/>
  <c r="T330" i="21"/>
  <c r="T321" i="21" s="1"/>
  <c r="T346" i="21" s="1"/>
  <c r="Q7" i="4"/>
  <c r="Q8" i="4" s="1"/>
  <c r="Q13" i="4" s="1"/>
  <c r="S382" i="21"/>
  <c r="S2" i="21" s="1"/>
  <c r="S418" i="21"/>
  <c r="S305" i="21"/>
  <c r="S334" i="21"/>
  <c r="S322" i="21" s="1"/>
  <c r="S350" i="21" s="1"/>
  <c r="CR443" i="1"/>
  <c r="CR464" i="1"/>
  <c r="S184" i="21"/>
  <c r="S183" i="21"/>
  <c r="Z94" i="2"/>
  <c r="Z92" i="2"/>
  <c r="AA59" i="27" l="1"/>
  <c r="AB58" i="27"/>
  <c r="AL7" i="26"/>
  <c r="L7" i="26"/>
  <c r="Q14" i="4"/>
  <c r="Q18" i="4"/>
  <c r="G22" i="25"/>
  <c r="G15" i="25"/>
  <c r="S57" i="18"/>
  <c r="S64" i="18"/>
  <c r="P80" i="4"/>
  <c r="P83" i="4" s="1"/>
  <c r="CR465" i="1"/>
  <c r="DD10" i="9"/>
  <c r="S376" i="21"/>
  <c r="S193" i="21"/>
  <c r="Q191" i="21"/>
  <c r="Q192" i="21" s="1"/>
  <c r="Q195" i="21" s="1"/>
  <c r="T184" i="21"/>
  <c r="T183" i="21"/>
  <c r="T305" i="21"/>
  <c r="T334" i="21"/>
  <c r="T322" i="21" s="1"/>
  <c r="T350" i="21" s="1"/>
  <c r="T352" i="21" s="1"/>
  <c r="AA94" i="2"/>
  <c r="AA92" i="2"/>
  <c r="Z145" i="2"/>
  <c r="Z136" i="2"/>
  <c r="Z137" i="2" s="1"/>
  <c r="Z368" i="2"/>
  <c r="CS439" i="1"/>
  <c r="DE9" i="9"/>
  <c r="CS466" i="1"/>
  <c r="CS419" i="1"/>
  <c r="CS35" i="1"/>
  <c r="S352" i="21"/>
  <c r="R354" i="21"/>
  <c r="R355" i="21" s="1"/>
  <c r="R190" i="21"/>
  <c r="R377" i="21"/>
  <c r="R353" i="21"/>
  <c r="T382" i="21"/>
  <c r="T2" i="21" s="1"/>
  <c r="T418" i="21"/>
  <c r="Z79" i="2"/>
  <c r="Z142" i="2"/>
  <c r="R7" i="4"/>
  <c r="R8" i="4" s="1"/>
  <c r="R13" i="4" s="1"/>
  <c r="T347" i="21"/>
  <c r="T348" i="21"/>
  <c r="T370" i="21"/>
  <c r="T380" i="21"/>
  <c r="X346" i="21"/>
  <c r="T375" i="21"/>
  <c r="T415" i="21"/>
  <c r="T541" i="21"/>
  <c r="AB59" i="27" l="1"/>
  <c r="AB61" i="27"/>
  <c r="AB63" i="27" s="1"/>
  <c r="R14" i="4"/>
  <c r="R18" i="4"/>
  <c r="B21" i="4" s="1"/>
  <c r="B22" i="4"/>
  <c r="R191" i="21"/>
  <c r="R192" i="21" s="1"/>
  <c r="R195" i="21" s="1"/>
  <c r="T193" i="21"/>
  <c r="T376" i="21"/>
  <c r="X350" i="21"/>
  <c r="Q199" i="21"/>
  <c r="T354" i="21"/>
  <c r="T190" i="21"/>
  <c r="T377" i="21"/>
  <c r="T353" i="21"/>
  <c r="S354" i="21"/>
  <c r="S355" i="21" s="1"/>
  <c r="S190" i="21"/>
  <c r="S377" i="21"/>
  <c r="S353" i="21"/>
  <c r="CS420" i="1"/>
  <c r="CS421" i="1"/>
  <c r="CS442" i="1"/>
  <c r="CS425" i="1"/>
  <c r="AA130" i="2"/>
  <c r="AH33" i="3"/>
  <c r="Z80" i="2"/>
  <c r="Z143" i="2"/>
  <c r="T355" i="21" l="1"/>
  <c r="R199" i="21"/>
  <c r="S191" i="21"/>
  <c r="S192" i="21" s="1"/>
  <c r="S195" i="21" s="1"/>
  <c r="S199" i="21" s="1"/>
  <c r="D22" i="4"/>
  <c r="B23" i="4"/>
  <c r="B25" i="4" s="1"/>
  <c r="AA133" i="2"/>
  <c r="AI20" i="3"/>
  <c r="AA135" i="2"/>
  <c r="AA131" i="2"/>
  <c r="CT437" i="1"/>
  <c r="AA140" i="2"/>
  <c r="T191" i="21"/>
  <c r="T192" i="21" s="1"/>
  <c r="T195" i="21" s="1"/>
  <c r="CS443" i="1"/>
  <c r="CS464" i="1"/>
  <c r="T199" i="21" l="1"/>
  <c r="D204" i="21" s="1"/>
  <c r="C205" i="21"/>
  <c r="B27" i="4"/>
  <c r="AA79" i="2"/>
  <c r="AA142" i="2"/>
  <c r="AA368" i="2"/>
  <c r="CT439" i="1"/>
  <c r="CT466" i="1"/>
  <c r="DF9" i="9"/>
  <c r="CT419" i="1"/>
  <c r="CT35" i="1"/>
  <c r="AA145" i="2"/>
  <c r="AA136" i="2"/>
  <c r="AA137" i="2" s="1"/>
  <c r="Q80" i="4"/>
  <c r="Q83" i="4" s="1"/>
  <c r="CS465" i="1"/>
  <c r="DE10" i="9"/>
  <c r="C204" i="21"/>
  <c r="CT420" i="1" l="1"/>
  <c r="CT421" i="1"/>
  <c r="CT425" i="1"/>
  <c r="CT442" i="1"/>
  <c r="C206" i="21"/>
  <c r="C207" i="21" s="1"/>
  <c r="D206" i="21"/>
  <c r="D205" i="21"/>
  <c r="AA143" i="2"/>
  <c r="AI33" i="3"/>
  <c r="AA80" i="2"/>
  <c r="CT443" i="1" l="1"/>
  <c r="CT464" i="1"/>
  <c r="R80" i="4" l="1"/>
  <c r="R83" i="4" s="1"/>
  <c r="DF10" i="9"/>
  <c r="CT465" i="1"/>
  <c r="V187" i="2"/>
  <c r="V193" i="2" s="1"/>
  <c r="AD28" i="3" l="1"/>
  <c r="AD128" i="3" s="1"/>
  <c r="V60" i="2"/>
  <c r="CO262" i="1"/>
  <c r="V342" i="2"/>
  <c r="CO266" i="1" l="1"/>
  <c r="V358" i="2"/>
  <c r="V82" i="2"/>
  <c r="O626" i="21"/>
  <c r="V386" i="2"/>
  <c r="AD80" i="3" s="1"/>
  <c r="V83" i="2" l="1"/>
  <c r="V292" i="2" s="1"/>
  <c r="V290" i="2" s="1"/>
  <c r="V360" i="2"/>
  <c r="V362" i="2" s="1"/>
  <c r="O631" i="21"/>
  <c r="O633" i="21" s="1"/>
  <c r="AD30" i="3" l="1"/>
  <c r="V367" i="2"/>
  <c r="V372" i="2" s="1"/>
  <c r="V373" i="2" s="1"/>
  <c r="V374" i="2" s="1"/>
  <c r="AD15" i="3"/>
  <c r="CO268" i="1"/>
  <c r="AD130" i="3"/>
  <c r="V294" i="2"/>
  <c r="V61" i="2" l="1"/>
  <c r="V343" i="2"/>
  <c r="V84" i="2"/>
  <c r="CO269" i="1"/>
  <c r="CO271" i="1"/>
  <c r="CO20" i="1" s="1"/>
  <c r="V85" i="2"/>
  <c r="V428" i="2" l="1"/>
  <c r="W42" i="27" s="1"/>
  <c r="W8" i="27" s="1"/>
  <c r="CO277" i="1"/>
  <c r="CO283" i="1" s="1"/>
  <c r="J9" i="10"/>
  <c r="J24" i="10" s="1"/>
  <c r="CO273" i="1"/>
  <c r="DD10" i="7"/>
  <c r="DD34" i="7" s="1"/>
  <c r="AD29" i="3"/>
  <c r="N11" i="18"/>
  <c r="CO272" i="1"/>
  <c r="G32" i="14"/>
  <c r="V324" i="2"/>
  <c r="G31" i="16"/>
  <c r="CO282" i="1"/>
  <c r="V380" i="2"/>
  <c r="G32" i="16" l="1"/>
  <c r="Z32" i="16" s="1"/>
  <c r="Z31" i="16"/>
  <c r="G33" i="16"/>
  <c r="Z33" i="16" s="1"/>
  <c r="V385" i="2"/>
  <c r="AD74" i="3"/>
  <c r="M73" i="4"/>
  <c r="CO284" i="1"/>
  <c r="AD14" i="3"/>
  <c r="CO278" i="1"/>
  <c r="CO279" i="1"/>
  <c r="DA11" i="9"/>
  <c r="AF32" i="14"/>
  <c r="G33" i="14"/>
  <c r="G34" i="14"/>
  <c r="CO22" i="1" l="1"/>
  <c r="CO21" i="1"/>
  <c r="AD13" i="3"/>
  <c r="V345" i="2"/>
  <c r="V392" i="2"/>
  <c r="B31" i="4"/>
  <c r="C31" i="4" s="1"/>
  <c r="C30" i="4" s="1"/>
  <c r="AD79" i="3"/>
  <c r="V388" i="2"/>
  <c r="V348" i="2" l="1"/>
  <c r="W30" i="27"/>
  <c r="AD82" i="3"/>
  <c r="V390" i="2"/>
  <c r="W45" i="27" s="1"/>
  <c r="W10" i="27" s="1"/>
  <c r="W9" i="27" s="1"/>
  <c r="AD86" i="3"/>
  <c r="V396" i="2"/>
  <c r="V325" i="2"/>
  <c r="V323" i="2" s="1"/>
  <c r="V65" i="2"/>
  <c r="V69" i="2" s="1"/>
  <c r="V200" i="2" l="1"/>
  <c r="V216" i="2"/>
  <c r="V395" i="2"/>
  <c r="AD31" i="3"/>
  <c r="AD84" i="3"/>
  <c r="AD134" i="3"/>
  <c r="M66" i="4"/>
  <c r="V39" i="2"/>
  <c r="V40" i="2" s="1"/>
  <c r="V203" i="2" l="1"/>
  <c r="V206" i="2" s="1"/>
  <c r="V205" i="2"/>
  <c r="V198" i="2"/>
  <c r="V31" i="2" s="1"/>
  <c r="AD11" i="3"/>
  <c r="AD27" i="3"/>
  <c r="N54" i="18"/>
  <c r="AD7" i="3" l="1"/>
  <c r="AD25" i="3" s="1"/>
  <c r="B29" i="4"/>
  <c r="O699" i="21"/>
  <c r="O652" i="21" s="1"/>
  <c r="O654" i="21" s="1"/>
  <c r="O661" i="21" s="1"/>
  <c r="O627" i="21" s="1"/>
  <c r="O628" i="21" s="1"/>
  <c r="O557" i="21" s="1"/>
  <c r="C29" i="4"/>
  <c r="C25" i="4" s="1"/>
  <c r="B30" i="4"/>
  <c r="B32" i="4" s="1"/>
  <c r="V174" i="2"/>
  <c r="V175" i="2" s="1"/>
  <c r="V46" i="2"/>
  <c r="V49" i="2"/>
  <c r="W25" i="27" s="1"/>
  <c r="V35" i="2"/>
  <c r="V42" i="2" s="1"/>
  <c r="V44" i="2" s="1"/>
  <c r="V1" i="2" s="1"/>
  <c r="N50" i="18"/>
  <c r="N55" i="18" s="1"/>
  <c r="O702" i="21" l="1"/>
  <c r="W31" i="27"/>
  <c r="W6" i="27" s="1"/>
  <c r="W13" i="27"/>
  <c r="V176" i="2"/>
  <c r="W185" i="2" s="1"/>
  <c r="W187" i="2" s="1"/>
  <c r="V48" i="2"/>
  <c r="R83" i="11"/>
  <c r="DA15" i="9"/>
  <c r="V53" i="2"/>
  <c r="M67" i="4"/>
  <c r="M68" i="4" s="1"/>
  <c r="N13" i="18"/>
  <c r="V50" i="2"/>
  <c r="CU1" i="1"/>
  <c r="AB1" i="2"/>
  <c r="B34" i="4"/>
  <c r="B5" i="14"/>
  <c r="W5" i="27" l="1"/>
  <c r="M70" i="4"/>
  <c r="M108" i="4"/>
  <c r="M72" i="4"/>
  <c r="M71" i="4"/>
  <c r="M107" i="4" s="1"/>
  <c r="W193" i="2"/>
  <c r="R95" i="11"/>
  <c r="R84" i="11"/>
  <c r="R96" i="11" s="1"/>
  <c r="V52" i="2"/>
  <c r="AD138" i="3"/>
  <c r="AD136" i="3" s="1"/>
  <c r="AD137" i="3" s="1"/>
  <c r="AE28" i="3" l="1"/>
  <c r="AE128" i="3" s="1"/>
  <c r="CP262" i="1"/>
  <c r="W60" i="2"/>
  <c r="W342" i="2"/>
  <c r="W386" i="2" l="1"/>
  <c r="AE80" i="3" s="1"/>
  <c r="W82" i="2"/>
  <c r="W358" i="2"/>
  <c r="CP266" i="1"/>
  <c r="W83" i="2" l="1"/>
  <c r="W292" i="2" s="1"/>
  <c r="W290" i="2" s="1"/>
  <c r="W360" i="2"/>
  <c r="W362" i="2" s="1"/>
  <c r="W367" i="2" l="1"/>
  <c r="W372" i="2" s="1"/>
  <c r="W373" i="2" s="1"/>
  <c r="W374" i="2" s="1"/>
  <c r="AE15" i="3"/>
  <c r="AE30" i="3"/>
  <c r="AE130" i="3"/>
  <c r="CP268" i="1"/>
  <c r="W294" i="2"/>
  <c r="W84" i="2" l="1"/>
  <c r="CP269" i="1"/>
  <c r="W343" i="2"/>
  <c r="W61" i="2"/>
  <c r="CP271" i="1"/>
  <c r="CP20" i="1" s="1"/>
  <c r="W85" i="2"/>
  <c r="W428" i="2" l="1"/>
  <c r="X42" i="27" s="1"/>
  <c r="X8" i="27" s="1"/>
  <c r="CP277" i="1"/>
  <c r="CP283" i="1" s="1"/>
  <c r="AE29" i="3"/>
  <c r="O11" i="18"/>
  <c r="W324" i="2"/>
  <c r="CP272" i="1"/>
  <c r="CP282" i="1"/>
  <c r="K9" i="10"/>
  <c r="K24" i="10" s="1"/>
  <c r="H32" i="14"/>
  <c r="DE10" i="7"/>
  <c r="DE34" i="7" s="1"/>
  <c r="CP273" i="1"/>
  <c r="H31" i="16"/>
  <c r="W380" i="2"/>
  <c r="W385" i="2" l="1"/>
  <c r="AE74" i="3"/>
  <c r="DB11" i="9"/>
  <c r="CP279" i="1"/>
  <c r="CP278" i="1"/>
  <c r="H33" i="16"/>
  <c r="AA33" i="16" s="1"/>
  <c r="H32" i="16"/>
  <c r="AA32" i="16" s="1"/>
  <c r="AA31" i="16"/>
  <c r="H33" i="14"/>
  <c r="H34" i="14"/>
  <c r="AG32" i="14"/>
  <c r="AE14" i="3"/>
  <c r="CP284" i="1"/>
  <c r="N73" i="4"/>
  <c r="W345" i="2" l="1"/>
  <c r="X30" i="27" s="1"/>
  <c r="AE13" i="3"/>
  <c r="W392" i="2"/>
  <c r="CP22" i="1"/>
  <c r="CP21" i="1"/>
  <c r="AE79" i="3"/>
  <c r="W388" i="2"/>
  <c r="AE82" i="3" l="1"/>
  <c r="W390" i="2"/>
  <c r="X45" i="27" s="1"/>
  <c r="X10" i="27" s="1"/>
  <c r="X9" i="27" s="1"/>
  <c r="W396" i="2"/>
  <c r="AE86" i="3"/>
  <c r="W348" i="2"/>
  <c r="W325" i="2"/>
  <c r="W323" i="2" s="1"/>
  <c r="W39" i="2" s="1"/>
  <c r="W40" i="2" s="1"/>
  <c r="W65" i="2"/>
  <c r="O54" i="18" l="1"/>
  <c r="AE27" i="3"/>
  <c r="W69" i="2"/>
  <c r="AE134" i="3"/>
  <c r="N66" i="4"/>
  <c r="W395" i="2"/>
  <c r="AE84" i="3"/>
  <c r="AE31" i="3"/>
  <c r="W200" i="2" l="1"/>
  <c r="W216" i="2"/>
  <c r="AE11" i="3"/>
  <c r="W198" i="2" l="1"/>
  <c r="W31" i="2" s="1"/>
  <c r="W35" i="2" s="1"/>
  <c r="W42" i="2" s="1"/>
  <c r="W44" i="2" s="1"/>
  <c r="W1" i="2" s="1"/>
  <c r="W205" i="2"/>
  <c r="W203" i="2"/>
  <c r="W204" i="2" s="1"/>
  <c r="O50" i="18" l="1"/>
  <c r="O55" i="18" s="1"/>
  <c r="W49" i="2"/>
  <c r="X25" i="27" s="1"/>
  <c r="X31" i="27" s="1"/>
  <c r="X6" i="27" s="1"/>
  <c r="W46" i="2"/>
  <c r="W48" i="2" s="1"/>
  <c r="AE138" i="3" s="1"/>
  <c r="AE136" i="3" s="1"/>
  <c r="AE137" i="3" s="1"/>
  <c r="W174" i="2"/>
  <c r="W175" i="2" s="1"/>
  <c r="W176" i="2" s="1"/>
  <c r="X185" i="2" s="1"/>
  <c r="X187" i="2" s="1"/>
  <c r="W206" i="2"/>
  <c r="AE7" i="3"/>
  <c r="AE25" i="3" s="1"/>
  <c r="X13" i="27"/>
  <c r="W52" i="2"/>
  <c r="O13" i="18" l="1"/>
  <c r="DB15" i="9"/>
  <c r="N67" i="4"/>
  <c r="N68" i="4" s="1"/>
  <c r="N72" i="4" s="1"/>
  <c r="W50" i="2"/>
  <c r="W53" i="2"/>
  <c r="X5" i="27"/>
  <c r="X193" i="2"/>
  <c r="N70" i="4" l="1"/>
  <c r="N108" i="4"/>
  <c r="N71" i="4"/>
  <c r="N107" i="4" s="1"/>
  <c r="CQ262" i="1"/>
  <c r="X60" i="2"/>
  <c r="AF28" i="3"/>
  <c r="AF128" i="3" s="1"/>
  <c r="X342" i="2"/>
  <c r="X386" i="2" l="1"/>
  <c r="AF80" i="3" s="1"/>
  <c r="X358" i="2"/>
  <c r="CQ266" i="1"/>
  <c r="X82" i="2"/>
  <c r="X360" i="2" l="1"/>
  <c r="X362" i="2" s="1"/>
  <c r="X83" i="2"/>
  <c r="X292" i="2" s="1"/>
  <c r="X290" i="2" s="1"/>
  <c r="AF15" i="3" l="1"/>
  <c r="X367" i="2"/>
  <c r="X372" i="2" s="1"/>
  <c r="X373" i="2" s="1"/>
  <c r="X374" i="2" s="1"/>
  <c r="AF30" i="3"/>
  <c r="CQ268" i="1"/>
  <c r="AF130" i="3"/>
  <c r="X294" i="2"/>
  <c r="X61" i="2" l="1"/>
  <c r="X84" i="2"/>
  <c r="X343" i="2"/>
  <c r="CQ269" i="1"/>
  <c r="CQ271" i="1"/>
  <c r="CQ20" i="1" s="1"/>
  <c r="X85" i="2"/>
  <c r="X428" i="2" l="1"/>
  <c r="Y42" i="27" s="1"/>
  <c r="Y8" i="27" s="1"/>
  <c r="CQ277" i="1"/>
  <c r="CQ283" i="1" s="1"/>
  <c r="CQ273" i="1"/>
  <c r="CQ272" i="1"/>
  <c r="P11" i="18"/>
  <c r="AF29" i="3"/>
  <c r="I31" i="16"/>
  <c r="X324" i="2"/>
  <c r="I32" i="14"/>
  <c r="DF10" i="7"/>
  <c r="DF34" i="7" s="1"/>
  <c r="L9" i="10"/>
  <c r="L24" i="10" s="1"/>
  <c r="CQ282" i="1"/>
  <c r="X380" i="2"/>
  <c r="X385" i="2" l="1"/>
  <c r="AF74" i="3"/>
  <c r="O73" i="4"/>
  <c r="CQ284" i="1"/>
  <c r="AF14" i="3"/>
  <c r="DC11" i="9"/>
  <c r="CQ279" i="1"/>
  <c r="CQ278" i="1"/>
  <c r="I34" i="14"/>
  <c r="I33" i="14"/>
  <c r="AH32" i="14"/>
  <c r="I33" i="16"/>
  <c r="AB33" i="16" s="1"/>
  <c r="I32" i="16"/>
  <c r="AB32" i="16" s="1"/>
  <c r="AB31" i="16"/>
  <c r="CQ21" i="1" l="1"/>
  <c r="CQ22" i="1"/>
  <c r="AF13" i="3"/>
  <c r="X345" i="2"/>
  <c r="X392" i="2"/>
  <c r="AF79" i="3"/>
  <c r="X388" i="2"/>
  <c r="Y30" i="27" l="1"/>
  <c r="X65" i="2"/>
  <c r="AF82" i="3"/>
  <c r="X390" i="2"/>
  <c r="Y45" i="27" s="1"/>
  <c r="Y10" i="27" s="1"/>
  <c r="Y9" i="27" s="1"/>
  <c r="X396" i="2"/>
  <c r="AF86" i="3"/>
  <c r="X325" i="2"/>
  <c r="X323" i="2" s="1"/>
  <c r="X39" i="2" s="1"/>
  <c r="X40" i="2" s="1"/>
  <c r="X348" i="2"/>
  <c r="AF27" i="3" l="1"/>
  <c r="P54" i="18"/>
  <c r="O66" i="4"/>
  <c r="AF134" i="3"/>
  <c r="X69" i="2"/>
  <c r="AF31" i="3"/>
  <c r="AF84" i="3"/>
  <c r="X395" i="2"/>
  <c r="X200" i="2" l="1"/>
  <c r="X216" i="2"/>
  <c r="AF11" i="3"/>
  <c r="X203" i="2" l="1"/>
  <c r="X204" i="2" s="1"/>
  <c r="X205" i="2"/>
  <c r="X198" i="2"/>
  <c r="X31" i="2" s="1"/>
  <c r="P50" i="18" s="1"/>
  <c r="P55" i="18" s="1"/>
  <c r="X206" i="2" l="1"/>
  <c r="AF7" i="3"/>
  <c r="AF25" i="3" s="1"/>
  <c r="X49" i="2"/>
  <c r="Y25" i="27" s="1"/>
  <c r="Y31" i="27" s="1"/>
  <c r="Y6" i="27" s="1"/>
  <c r="X174" i="2"/>
  <c r="X175" i="2" s="1"/>
  <c r="X176" i="2" s="1"/>
  <c r="Y185" i="2" s="1"/>
  <c r="Y187" i="2" s="1"/>
  <c r="X46" i="2"/>
  <c r="X48" i="2" s="1"/>
  <c r="AF138" i="3" s="1"/>
  <c r="AF136" i="3" s="1"/>
  <c r="AF137" i="3" s="1"/>
  <c r="X35" i="2"/>
  <c r="X42" i="2" s="1"/>
  <c r="X44" i="2" s="1"/>
  <c r="X1" i="2" s="1"/>
  <c r="O67" i="4"/>
  <c r="O68" i="4" s="1"/>
  <c r="DC15" i="9"/>
  <c r="X52" i="2" l="1"/>
  <c r="P13" i="18"/>
  <c r="X53" i="2"/>
  <c r="X50" i="2"/>
  <c r="Y13" i="27"/>
  <c r="Y5" i="27"/>
  <c r="Y193" i="2"/>
  <c r="O71" i="4"/>
  <c r="O107" i="4" s="1"/>
  <c r="O70" i="4"/>
  <c r="O108" i="4"/>
  <c r="O72" i="4"/>
  <c r="Y60" i="2" l="1"/>
  <c r="Y342" i="2"/>
  <c r="CR262" i="1"/>
  <c r="AG28" i="3"/>
  <c r="AG128" i="3" s="1"/>
  <c r="CR266" i="1" l="1"/>
  <c r="Y358" i="2"/>
  <c r="Y82" i="2"/>
  <c r="Y386" i="2"/>
  <c r="AG80" i="3" s="1"/>
  <c r="Y360" i="2" l="1"/>
  <c r="Y362" i="2" s="1"/>
  <c r="Y83" i="2"/>
  <c r="Y292" i="2" s="1"/>
  <c r="Y290" i="2" s="1"/>
  <c r="Y367" i="2" l="1"/>
  <c r="Y372" i="2" s="1"/>
  <c r="Y373" i="2" s="1"/>
  <c r="Y374" i="2" s="1"/>
  <c r="AG15" i="3"/>
  <c r="AG30" i="3"/>
  <c r="Y294" i="2"/>
  <c r="AG130" i="3"/>
  <c r="CR268" i="1"/>
  <c r="Y61" i="2" l="1"/>
  <c r="Y343" i="2"/>
  <c r="Y84" i="2"/>
  <c r="CR269" i="1"/>
  <c r="Y85" i="2"/>
  <c r="CR271" i="1"/>
  <c r="CR20" i="1" s="1"/>
  <c r="Y428" i="2" l="1"/>
  <c r="Z42" i="27" s="1"/>
  <c r="Z8" i="27" s="1"/>
  <c r="CR277" i="1"/>
  <c r="CR283" i="1" s="1"/>
  <c r="Q11" i="18"/>
  <c r="CR282" i="1"/>
  <c r="CR273" i="1"/>
  <c r="CR272" i="1"/>
  <c r="Y324" i="2"/>
  <c r="J31" i="16"/>
  <c r="AG29" i="3"/>
  <c r="M9" i="10"/>
  <c r="M24" i="10" s="1"/>
  <c r="J32" i="14"/>
  <c r="DG10" i="7"/>
  <c r="DG34" i="7" s="1"/>
  <c r="Y380" i="2"/>
  <c r="Y385" i="2" l="1"/>
  <c r="AG74" i="3"/>
  <c r="CR278" i="1"/>
  <c r="DD11" i="9"/>
  <c r="CR279" i="1"/>
  <c r="J34" i="14"/>
  <c r="AI32" i="14"/>
  <c r="J33" i="14"/>
  <c r="J32" i="16"/>
  <c r="AC32" i="16" s="1"/>
  <c r="J33" i="16"/>
  <c r="AC33" i="16" s="1"/>
  <c r="AC31" i="16"/>
  <c r="CR284" i="1"/>
  <c r="AG14" i="3"/>
  <c r="P73" i="4"/>
  <c r="AG13" i="3" l="1"/>
  <c r="Y345" i="2"/>
  <c r="Z30" i="27" s="1"/>
  <c r="Y392" i="2"/>
  <c r="CR22" i="1"/>
  <c r="CR21" i="1"/>
  <c r="Y388" i="2"/>
  <c r="AG79" i="3"/>
  <c r="AG82" i="3" l="1"/>
  <c r="Y390" i="2"/>
  <c r="Z45" i="27" s="1"/>
  <c r="Z10" i="27" s="1"/>
  <c r="Z9" i="27" s="1"/>
  <c r="Y396" i="2"/>
  <c r="AG86" i="3"/>
  <c r="Y65" i="2"/>
  <c r="Y325" i="2"/>
  <c r="Y323" i="2" s="1"/>
  <c r="Y39" i="2" s="1"/>
  <c r="Y40" i="2" s="1"/>
  <c r="Y348" i="2"/>
  <c r="AG27" i="3" l="1"/>
  <c r="Q54" i="18"/>
  <c r="AG134" i="3"/>
  <c r="P66" i="4"/>
  <c r="Y69" i="2"/>
  <c r="Y395" i="2"/>
  <c r="AG31" i="3"/>
  <c r="AG84" i="3"/>
  <c r="Y200" i="2" l="1"/>
  <c r="Y216" i="2"/>
  <c r="AG11" i="3"/>
  <c r="Y203" i="2" l="1"/>
  <c r="Y204" i="2" s="1"/>
  <c r="Y205" i="2"/>
  <c r="Y198" i="2"/>
  <c r="Y31" i="2" s="1"/>
  <c r="Y174" i="2" s="1"/>
  <c r="Y175" i="2" s="1"/>
  <c r="Y206" i="2" l="1"/>
  <c r="AG7" i="3"/>
  <c r="AG25" i="3" s="1"/>
  <c r="Y46" i="2"/>
  <c r="Y48" i="2" s="1"/>
  <c r="Y52" i="2" s="1"/>
  <c r="Y35" i="2"/>
  <c r="Y42" i="2" s="1"/>
  <c r="Y44" i="2" s="1"/>
  <c r="Y1" i="2" s="1"/>
  <c r="Y49" i="2"/>
  <c r="Z25" i="27" s="1"/>
  <c r="Z13" i="27" s="1"/>
  <c r="Q50" i="18"/>
  <c r="Q55" i="18" s="1"/>
  <c r="Y176" i="2"/>
  <c r="Z185" i="2" s="1"/>
  <c r="Z187" i="2" s="1"/>
  <c r="P67" i="4" l="1"/>
  <c r="P68" i="4" s="1"/>
  <c r="P70" i="4" s="1"/>
  <c r="DD15" i="9"/>
  <c r="CX15" i="9"/>
  <c r="Z31" i="27"/>
  <c r="Z5" i="27" s="1"/>
  <c r="Y50" i="2"/>
  <c r="Y53" i="2"/>
  <c r="Q13" i="18"/>
  <c r="AG138" i="3"/>
  <c r="AG136" i="3" s="1"/>
  <c r="AG137" i="3" s="1"/>
  <c r="Z193" i="2"/>
  <c r="P72" i="4" l="1"/>
  <c r="P71" i="4"/>
  <c r="P107" i="4" s="1"/>
  <c r="P108" i="4"/>
  <c r="Z6" i="27"/>
  <c r="Z342" i="2"/>
  <c r="Z60" i="2"/>
  <c r="CS262" i="1"/>
  <c r="AH28" i="3"/>
  <c r="AH128" i="3" s="1"/>
  <c r="Z82" i="2" l="1"/>
  <c r="CS266" i="1"/>
  <c r="Z358" i="2"/>
  <c r="Z386" i="2"/>
  <c r="AH80" i="3" s="1"/>
  <c r="Z360" i="2" l="1"/>
  <c r="Z362" i="2" s="1"/>
  <c r="Z83" i="2"/>
  <c r="Z292" i="2" s="1"/>
  <c r="Z290" i="2" s="1"/>
  <c r="Z367" i="2" l="1"/>
  <c r="Z372" i="2" s="1"/>
  <c r="Z373" i="2" s="1"/>
  <c r="Z374" i="2" s="1"/>
  <c r="AH15" i="3"/>
  <c r="AH30" i="3"/>
  <c r="Z294" i="2"/>
  <c r="CS268" i="1"/>
  <c r="AH130" i="3"/>
  <c r="CS269" i="1" l="1"/>
  <c r="Z84" i="2"/>
  <c r="Z343" i="2"/>
  <c r="Z61" i="2"/>
  <c r="CS271" i="1"/>
  <c r="CS20" i="1" s="1"/>
  <c r="Z85" i="2"/>
  <c r="Z428" i="2" l="1"/>
  <c r="AA42" i="27" s="1"/>
  <c r="AA8" i="27" s="1"/>
  <c r="CS277" i="1"/>
  <c r="CS283" i="1" s="1"/>
  <c r="CS282" i="1"/>
  <c r="K31" i="16"/>
  <c r="CS273" i="1"/>
  <c r="AH29" i="3"/>
  <c r="DH10" i="7"/>
  <c r="DH34" i="7" s="1"/>
  <c r="K32" i="14"/>
  <c r="R11" i="18"/>
  <c r="CS272" i="1"/>
  <c r="Z324" i="2"/>
  <c r="Z380" i="2"/>
  <c r="AH74" i="3" l="1"/>
  <c r="Z385" i="2"/>
  <c r="K33" i="14"/>
  <c r="K34" i="14"/>
  <c r="CS279" i="1"/>
  <c r="DE11" i="9"/>
  <c r="CS278" i="1"/>
  <c r="K32" i="16"/>
  <c r="K33" i="16"/>
  <c r="AH14" i="3"/>
  <c r="Q73" i="4"/>
  <c r="CS284" i="1"/>
  <c r="Z345" i="2" l="1"/>
  <c r="AA30" i="27" s="1"/>
  <c r="AH13" i="3"/>
  <c r="Z392" i="2"/>
  <c r="CS21" i="1"/>
  <c r="CS22" i="1"/>
  <c r="Z388" i="2"/>
  <c r="AH79" i="3"/>
  <c r="Z390" i="2" l="1"/>
  <c r="AA45" i="27" s="1"/>
  <c r="AA10" i="27" s="1"/>
  <c r="AA9" i="27" s="1"/>
  <c r="AH82" i="3"/>
  <c r="AH86" i="3"/>
  <c r="Z396" i="2"/>
  <c r="Z325" i="2"/>
  <c r="Z323" i="2" s="1"/>
  <c r="Z39" i="2" s="1"/>
  <c r="Z40" i="2" s="1"/>
  <c r="Z65" i="2"/>
  <c r="Z348" i="2"/>
  <c r="AH134" i="3" l="1"/>
  <c r="Q66" i="4"/>
  <c r="Z69" i="2"/>
  <c r="R54" i="18"/>
  <c r="AH27" i="3"/>
  <c r="Z395" i="2"/>
  <c r="AH84" i="3"/>
  <c r="AH31" i="3"/>
  <c r="Z200" i="2" l="1"/>
  <c r="Z216" i="2"/>
  <c r="AH11" i="3"/>
  <c r="Z203" i="2" l="1"/>
  <c r="Z204" i="2" s="1"/>
  <c r="Z205" i="2"/>
  <c r="Z198" i="2"/>
  <c r="Z31" i="2" s="1"/>
  <c r="Z35" i="2" s="1"/>
  <c r="Z42" i="2" s="1"/>
  <c r="Z44" i="2" s="1"/>
  <c r="Z1" i="2" s="1"/>
  <c r="AH7" i="3"/>
  <c r="AH25" i="3" s="1"/>
  <c r="Z206" i="2"/>
  <c r="R50" i="18" l="1"/>
  <c r="R55" i="18" s="1"/>
  <c r="Z174" i="2"/>
  <c r="Z175" i="2" s="1"/>
  <c r="Z176" i="2" s="1"/>
  <c r="AA185" i="2" s="1"/>
  <c r="AA187" i="2" s="1"/>
  <c r="Z46" i="2"/>
  <c r="Z48" i="2" s="1"/>
  <c r="Z52" i="2" s="1"/>
  <c r="Z49" i="2"/>
  <c r="AA25" i="27" s="1"/>
  <c r="AA31" i="27" s="1"/>
  <c r="AA5" i="27" s="1"/>
  <c r="AH138" i="3" l="1"/>
  <c r="AH139" i="3" s="1"/>
  <c r="Q67" i="4"/>
  <c r="Q68" i="4" s="1"/>
  <c r="Q108" i="4" s="1"/>
  <c r="Z50" i="2"/>
  <c r="R13" i="18"/>
  <c r="DE15" i="9"/>
  <c r="Z53" i="2"/>
  <c r="AA13" i="27"/>
  <c r="AA6" i="27"/>
  <c r="AA193" i="2"/>
  <c r="AH136" i="3" l="1"/>
  <c r="AH137" i="3" s="1"/>
  <c r="Q71" i="4"/>
  <c r="Q107" i="4" s="1"/>
  <c r="Q70" i="4"/>
  <c r="Q72" i="4"/>
  <c r="AA342" i="2"/>
  <c r="CT262" i="1"/>
  <c r="AI28" i="3"/>
  <c r="AI128" i="3" s="1"/>
  <c r="AA60" i="2"/>
  <c r="AA386" i="2" l="1"/>
  <c r="AI80" i="3" s="1"/>
  <c r="CT266" i="1"/>
  <c r="AA82" i="2"/>
  <c r="AA358" i="2"/>
  <c r="AA83" i="2" l="1"/>
  <c r="AA292" i="2" s="1"/>
  <c r="AA290" i="2" s="1"/>
  <c r="AA360" i="2"/>
  <c r="AA362" i="2" s="1"/>
  <c r="AA367" i="2" l="1"/>
  <c r="AA372" i="2" s="1"/>
  <c r="AA373" i="2" s="1"/>
  <c r="AA374" i="2" s="1"/>
  <c r="AI30" i="3"/>
  <c r="AI15" i="3"/>
  <c r="CT268" i="1"/>
  <c r="AA294" i="2"/>
  <c r="AI130" i="3"/>
  <c r="AA61" i="2" l="1"/>
  <c r="AA84" i="2"/>
  <c r="AA343" i="2"/>
  <c r="CT269" i="1"/>
  <c r="CT271" i="1"/>
  <c r="CT20" i="1" s="1"/>
  <c r="CW20" i="1" s="1"/>
  <c r="AA85" i="2"/>
  <c r="AA428" i="2" l="1"/>
  <c r="AB42" i="27" s="1"/>
  <c r="AB8" i="27" s="1"/>
  <c r="CT277" i="1"/>
  <c r="CT283" i="1" s="1"/>
  <c r="CT272" i="1"/>
  <c r="CT282" i="1"/>
  <c r="CT273" i="1"/>
  <c r="AA324" i="2"/>
  <c r="DI10" i="7"/>
  <c r="DI34" i="7" s="1"/>
  <c r="S11" i="18"/>
  <c r="L32" i="14"/>
  <c r="AI29" i="3"/>
  <c r="L31" i="16"/>
  <c r="AA380" i="2"/>
  <c r="AA385" i="2" l="1"/>
  <c r="AI74" i="3"/>
  <c r="L32" i="16"/>
  <c r="L33" i="16"/>
  <c r="O32" i="14"/>
  <c r="L34" i="14"/>
  <c r="L33" i="14"/>
  <c r="CT278" i="1"/>
  <c r="CT279" i="1"/>
  <c r="DF11" i="9"/>
  <c r="R73" i="4"/>
  <c r="CT284" i="1"/>
  <c r="AI14" i="3"/>
  <c r="AI13" i="3" l="1"/>
  <c r="AA392" i="2"/>
  <c r="AA345" i="2"/>
  <c r="AB30" i="27" s="1"/>
  <c r="CT21" i="1"/>
  <c r="CT22" i="1"/>
  <c r="AA388" i="2"/>
  <c r="AI79" i="3"/>
  <c r="AA390" i="2" l="1"/>
  <c r="AB45" i="27" s="1"/>
  <c r="AB10" i="27" s="1"/>
  <c r="AB9" i="27" s="1"/>
  <c r="AI82" i="3"/>
  <c r="AA65" i="2"/>
  <c r="AA325" i="2"/>
  <c r="AA323" i="2" s="1"/>
  <c r="AA39" i="2" s="1"/>
  <c r="AA40" i="2" s="1"/>
  <c r="AA348" i="2"/>
  <c r="AI86" i="3"/>
  <c r="AA396" i="2"/>
  <c r="AI27" i="3" l="1"/>
  <c r="S54" i="18"/>
  <c r="AI134" i="3"/>
  <c r="R66" i="4"/>
  <c r="AA69" i="2"/>
  <c r="AA395" i="2"/>
  <c r="AI84" i="3"/>
  <c r="AI31" i="3"/>
  <c r="AA200" i="2" l="1"/>
  <c r="AA216" i="2"/>
  <c r="AI11" i="3"/>
  <c r="AA203" i="2" l="1"/>
  <c r="AA204" i="2" s="1"/>
  <c r="AA205" i="2"/>
  <c r="AA198" i="2"/>
  <c r="AA31" i="2" s="1"/>
  <c r="AA35" i="2" s="1"/>
  <c r="AA42" i="2" s="1"/>
  <c r="AA44" i="2" s="1"/>
  <c r="AA1" i="2" s="1"/>
  <c r="AI7" i="3" l="1"/>
  <c r="AI25" i="3" s="1"/>
  <c r="AA206" i="2"/>
  <c r="AA49" i="2"/>
  <c r="AB25" i="27" s="1"/>
  <c r="AB31" i="27" s="1"/>
  <c r="AB6" i="27" s="1"/>
  <c r="S50" i="18"/>
  <c r="S55" i="18" s="1"/>
  <c r="AA174" i="2"/>
  <c r="AA175" i="2" s="1"/>
  <c r="AA176" i="2" s="1"/>
  <c r="AA46" i="2"/>
  <c r="AA48" i="2" s="1"/>
  <c r="AI138" i="3" s="1"/>
  <c r="AA50" i="2"/>
  <c r="DF15" i="9" l="1"/>
  <c r="AA53" i="2"/>
  <c r="AA52" i="2"/>
  <c r="S13" i="18"/>
  <c r="R67" i="4"/>
  <c r="R68" i="4" s="1"/>
  <c r="R72" i="4" s="1"/>
  <c r="AB13" i="27"/>
  <c r="AB5" i="27"/>
  <c r="AI139" i="3"/>
  <c r="AI136" i="3"/>
  <c r="AI137" i="3" s="1"/>
  <c r="R108" i="4" l="1"/>
  <c r="R71" i="4"/>
  <c r="R107" i="4" s="1"/>
  <c r="R70" i="4"/>
  <c r="C40" i="17" l="1"/>
  <c r="C41" i="17" l="1"/>
  <c r="C39" i="17"/>
  <c r="C38" i="17"/>
  <c r="C45" i="17" l="1"/>
  <c r="C51" i="17" l="1"/>
  <c r="C35" i="17"/>
  <c r="C52" i="17" l="1"/>
  <c r="E190" i="17" s="1"/>
  <c r="C49" i="17"/>
  <c r="J37" i="17" s="1"/>
  <c r="C58" i="17"/>
  <c r="I58" i="17" s="1"/>
  <c r="C57" i="17"/>
  <c r="C59" i="17"/>
  <c r="C56" i="17"/>
  <c r="C46" i="17"/>
  <c r="J34" i="17" l="1"/>
  <c r="I56" i="17"/>
  <c r="J35" i="17"/>
  <c r="I59" i="17"/>
  <c r="J36" i="17"/>
  <c r="I57" i="17"/>
  <c r="C37" i="17" l="1"/>
  <c r="C55" i="17" l="1"/>
  <c r="I55" i="17" s="1"/>
  <c r="C43" i="17"/>
  <c r="L323" i="2"/>
  <c r="L326" i="2"/>
  <c r="M326" i="2"/>
  <c r="D16" i="25"/>
  <c r="E16" i="25"/>
  <c r="F16" i="25"/>
  <c r="G16" i="25"/>
  <c r="D17" i="25"/>
  <c r="E17" i="25"/>
  <c r="F17" i="25"/>
  <c r="G17" i="25"/>
  <c r="D18" i="25"/>
  <c r="E18" i="25"/>
  <c r="F18" i="25"/>
  <c r="G18" i="25"/>
  <c r="D19" i="25"/>
  <c r="E19" i="25"/>
  <c r="F19" i="25"/>
  <c r="G19" i="25"/>
  <c r="D23" i="25"/>
  <c r="E23" i="25"/>
  <c r="F23" i="25"/>
  <c r="G23" i="25"/>
  <c r="D25" i="25"/>
  <c r="E25" i="25"/>
  <c r="F25" i="25"/>
  <c r="G25" i="25"/>
  <c r="D28" i="25"/>
  <c r="E28" i="25"/>
  <c r="F28" i="25"/>
  <c r="G28" i="25"/>
  <c r="D30" i="25"/>
  <c r="E30" i="25"/>
  <c r="F30" i="25"/>
  <c r="G30" i="25"/>
  <c r="D32" i="25"/>
  <c r="E32" i="25"/>
  <c r="F32" i="25"/>
  <c r="G32" i="25"/>
  <c r="D33" i="25"/>
  <c r="E33" i="25"/>
  <c r="F33" i="25"/>
  <c r="G33" i="25"/>
  <c r="D34" i="25"/>
  <c r="E34" i="25"/>
  <c r="F34" i="25"/>
  <c r="G34" i="25"/>
  <c r="D36" i="25"/>
  <c r="E36" i="25"/>
  <c r="F36" i="25"/>
  <c r="G36" i="25"/>
  <c r="D39" i="25"/>
  <c r="E39" i="25"/>
  <c r="F39" i="25"/>
  <c r="G39" i="25"/>
  <c r="D45" i="25"/>
  <c r="E45" i="25"/>
  <c r="F45" i="25"/>
  <c r="G45" i="25"/>
  <c r="D46" i="25"/>
  <c r="E46" i="25"/>
  <c r="F46" i="25"/>
  <c r="G46" i="25"/>
  <c r="D47" i="25"/>
  <c r="E47" i="25"/>
  <c r="F47" i="25"/>
  <c r="G47" i="25"/>
  <c r="D50" i="25"/>
  <c r="E50" i="25"/>
  <c r="F50" i="25"/>
  <c r="G50" i="25"/>
  <c r="D51" i="25"/>
  <c r="E51" i="25"/>
  <c r="F51" i="25"/>
  <c r="G51" i="25"/>
  <c r="D52" i="25"/>
  <c r="E52" i="25"/>
  <c r="F52" i="25"/>
  <c r="G52" i="25"/>
  <c r="D53" i="25"/>
  <c r="E53" i="25"/>
  <c r="F53" i="25"/>
  <c r="G53" i="25"/>
  <c r="D56" i="25"/>
  <c r="E56" i="25"/>
  <c r="F56" i="25"/>
  <c r="G56" i="25"/>
  <c r="D57" i="25"/>
  <c r="E57" i="25"/>
  <c r="F57" i="25"/>
  <c r="G57" i="25"/>
  <c r="D58" i="25"/>
  <c r="E58" i="25"/>
  <c r="F58" i="25"/>
  <c r="G58" i="25"/>
  <c r="D59" i="25"/>
  <c r="E59" i="25"/>
  <c r="F59" i="25"/>
  <c r="G59" i="25"/>
  <c r="D60" i="25"/>
  <c r="E60" i="25"/>
  <c r="F60" i="25"/>
  <c r="G60" i="25"/>
  <c r="D61" i="25"/>
  <c r="E61" i="25"/>
  <c r="F61" i="25"/>
  <c r="G61" i="25"/>
  <c r="O1" i="21"/>
  <c r="P1" i="21"/>
  <c r="Q1" i="21"/>
  <c r="R1" i="21"/>
  <c r="S1" i="21"/>
  <c r="T1" i="21"/>
  <c r="Y1" i="21"/>
  <c r="N34" i="21"/>
  <c r="D173" i="21"/>
  <c r="C174" i="21"/>
  <c r="D174" i="21"/>
  <c r="C177" i="21"/>
  <c r="C179" i="21"/>
  <c r="C208" i="21"/>
  <c r="C211" i="21"/>
  <c r="C213" i="21"/>
  <c r="O357" i="21"/>
  <c r="P357" i="21"/>
  <c r="Q357" i="21"/>
  <c r="R357" i="21"/>
  <c r="S357" i="21"/>
  <c r="T357" i="21"/>
  <c r="O358" i="21"/>
  <c r="P358" i="21"/>
  <c r="Q358" i="21"/>
  <c r="R358" i="21"/>
  <c r="S358" i="21"/>
  <c r="T358" i="21"/>
  <c r="O359" i="21"/>
  <c r="P359" i="21"/>
  <c r="Q359" i="21"/>
  <c r="R359" i="21"/>
  <c r="S359" i="21"/>
  <c r="T359" i="21"/>
  <c r="O361" i="21"/>
  <c r="P361" i="21"/>
  <c r="Q361" i="21"/>
  <c r="R361" i="21"/>
  <c r="S361" i="21"/>
  <c r="T361" i="21"/>
  <c r="O362" i="21"/>
  <c r="P362" i="21"/>
  <c r="Q362" i="21"/>
  <c r="R362" i="21"/>
  <c r="S362" i="21"/>
  <c r="T362" i="21"/>
  <c r="O363" i="21"/>
  <c r="P363" i="21"/>
  <c r="Q363" i="21"/>
  <c r="R363" i="21"/>
  <c r="S363" i="21"/>
  <c r="T363" i="21"/>
  <c r="X363" i="21"/>
  <c r="O364" i="21"/>
  <c r="P364" i="21"/>
  <c r="Q364" i="21"/>
  <c r="R364" i="21"/>
  <c r="S364" i="21"/>
  <c r="T364" i="21"/>
  <c r="O365" i="21"/>
  <c r="P365" i="21"/>
  <c r="Q365" i="21"/>
  <c r="R365" i="21"/>
  <c r="S365" i="21"/>
  <c r="T365" i="21"/>
  <c r="O378" i="21"/>
  <c r="P378" i="21"/>
  <c r="Q378" i="21"/>
  <c r="R378" i="21"/>
  <c r="S378" i="21"/>
  <c r="T378" i="21"/>
  <c r="O381" i="21"/>
  <c r="P381" i="21"/>
  <c r="Q381" i="21"/>
  <c r="R381" i="21"/>
  <c r="S381" i="21"/>
  <c r="T381" i="21"/>
  <c r="O383" i="21"/>
  <c r="P383" i="21"/>
  <c r="Q383" i="21"/>
  <c r="R383" i="21"/>
  <c r="S383" i="21"/>
  <c r="T383" i="21"/>
  <c r="O417" i="21"/>
  <c r="P417" i="21"/>
  <c r="Q417" i="21"/>
  <c r="R417" i="21"/>
  <c r="S417" i="21"/>
  <c r="T417" i="21"/>
  <c r="O420" i="21"/>
  <c r="P420" i="21"/>
  <c r="Q420" i="21"/>
  <c r="R420" i="21"/>
  <c r="S420" i="21"/>
  <c r="T420" i="21"/>
  <c r="O421" i="21"/>
  <c r="P421" i="21"/>
  <c r="Q421" i="21"/>
  <c r="R421" i="21"/>
  <c r="S421" i="21"/>
  <c r="T421" i="21"/>
  <c r="O422" i="21"/>
  <c r="P422" i="21"/>
  <c r="Q422" i="21"/>
  <c r="R422" i="21"/>
  <c r="S422" i="21"/>
  <c r="T422" i="21"/>
  <c r="O424" i="21"/>
  <c r="P424" i="21"/>
  <c r="Q424" i="21"/>
  <c r="R424" i="21"/>
  <c r="S424" i="21"/>
  <c r="T424" i="21"/>
  <c r="O426" i="21"/>
  <c r="P426" i="21"/>
  <c r="Q426" i="21"/>
  <c r="R426" i="21"/>
  <c r="S426" i="21"/>
  <c r="T426" i="21"/>
  <c r="O427" i="21"/>
  <c r="P427" i="21"/>
  <c r="Q427" i="21"/>
  <c r="R427" i="21"/>
  <c r="S427" i="21"/>
  <c r="T427" i="21"/>
  <c r="O428" i="21"/>
  <c r="P428" i="21"/>
  <c r="Q428" i="21"/>
  <c r="R428" i="21"/>
  <c r="S428" i="21"/>
  <c r="T428" i="21"/>
  <c r="O430" i="21"/>
  <c r="P430" i="21"/>
  <c r="Q430" i="21"/>
  <c r="R430" i="21"/>
  <c r="S430" i="21"/>
  <c r="T430" i="21"/>
  <c r="O431" i="21"/>
  <c r="P431" i="21"/>
  <c r="Q431" i="21"/>
  <c r="R431" i="21"/>
  <c r="S431" i="21"/>
  <c r="T431" i="21"/>
  <c r="O433" i="21"/>
  <c r="P433" i="21"/>
  <c r="Q433" i="21"/>
  <c r="R433" i="21"/>
  <c r="S433" i="21"/>
  <c r="T433" i="21"/>
  <c r="O435" i="21"/>
  <c r="P435" i="21"/>
  <c r="Q435" i="21"/>
  <c r="R435" i="21"/>
  <c r="S435" i="21"/>
  <c r="T435" i="21"/>
  <c r="O436" i="21"/>
  <c r="P436" i="21"/>
  <c r="Q436" i="21"/>
  <c r="R436" i="21"/>
  <c r="S436" i="21"/>
  <c r="T436" i="21"/>
  <c r="P453" i="21"/>
  <c r="Q453" i="21"/>
  <c r="R453" i="21"/>
  <c r="S453" i="21"/>
  <c r="T453" i="21"/>
  <c r="O454" i="21"/>
  <c r="P454" i="21"/>
  <c r="Q454" i="21"/>
  <c r="R454" i="21"/>
  <c r="S454" i="21"/>
  <c r="T454" i="21"/>
  <c r="O455" i="21"/>
  <c r="P455" i="21"/>
  <c r="Q455" i="21"/>
  <c r="R455" i="21"/>
  <c r="S455" i="21"/>
  <c r="T455" i="21"/>
  <c r="O458" i="21"/>
  <c r="P458" i="21"/>
  <c r="Q458" i="21"/>
  <c r="R458" i="21"/>
  <c r="S458" i="21"/>
  <c r="T458" i="21"/>
  <c r="P482" i="21"/>
  <c r="Q482" i="21"/>
  <c r="R482" i="21"/>
  <c r="S482" i="21"/>
  <c r="T482" i="21"/>
  <c r="O483" i="21"/>
  <c r="P483" i="21"/>
  <c r="Q483" i="21"/>
  <c r="R483" i="21"/>
  <c r="S483" i="21"/>
  <c r="T483" i="21"/>
  <c r="O484" i="21"/>
  <c r="P484" i="21"/>
  <c r="Q484" i="21"/>
  <c r="R484" i="21"/>
  <c r="S484" i="21"/>
  <c r="T484" i="21"/>
  <c r="O487" i="21"/>
  <c r="P487" i="21"/>
  <c r="Q487" i="21"/>
  <c r="R487" i="21"/>
  <c r="S487" i="21"/>
  <c r="T487" i="21"/>
  <c r="O493" i="21"/>
  <c r="P493" i="21"/>
  <c r="Q493" i="21"/>
  <c r="R493" i="21"/>
  <c r="S493" i="21"/>
  <c r="T493" i="21"/>
  <c r="O494" i="21"/>
  <c r="P494" i="21"/>
  <c r="Q494" i="21"/>
  <c r="R494" i="21"/>
  <c r="S494" i="21"/>
  <c r="T494" i="21"/>
  <c r="O495" i="21"/>
  <c r="P495" i="21"/>
  <c r="Q495" i="21"/>
  <c r="R495" i="21"/>
  <c r="S495" i="21"/>
  <c r="T495" i="21"/>
  <c r="O496" i="21"/>
  <c r="P496" i="21"/>
  <c r="Q496" i="21"/>
  <c r="R496" i="21"/>
  <c r="S496" i="21"/>
  <c r="T496" i="21"/>
  <c r="O498" i="21"/>
  <c r="P498" i="21"/>
  <c r="Q498" i="21"/>
  <c r="R498" i="21"/>
  <c r="S498" i="21"/>
  <c r="T498" i="21"/>
  <c r="O500" i="21"/>
  <c r="P500" i="21"/>
  <c r="Q500" i="21"/>
  <c r="R500" i="21"/>
  <c r="S500" i="21"/>
  <c r="T500" i="21"/>
  <c r="O501" i="21"/>
  <c r="P501" i="21"/>
  <c r="Q501" i="21"/>
  <c r="R501" i="21"/>
  <c r="S501" i="21"/>
  <c r="T501" i="21"/>
  <c r="O504" i="21"/>
  <c r="P504" i="21"/>
  <c r="Q504" i="21"/>
  <c r="R504" i="21"/>
  <c r="S504" i="21"/>
  <c r="T504" i="21"/>
  <c r="O505" i="21"/>
  <c r="P505" i="21"/>
  <c r="Q505" i="21"/>
  <c r="R505" i="21"/>
  <c r="S505" i="21"/>
  <c r="T505" i="21"/>
  <c r="O506" i="21"/>
  <c r="P506" i="21"/>
  <c r="Q506" i="21"/>
  <c r="R506" i="21"/>
  <c r="S506" i="21"/>
  <c r="T506" i="21"/>
  <c r="O507" i="21"/>
  <c r="P507" i="21"/>
  <c r="Q507" i="21"/>
  <c r="R507" i="21"/>
  <c r="S507" i="21"/>
  <c r="T507" i="21"/>
  <c r="O510" i="21"/>
  <c r="P510" i="21"/>
  <c r="Q510" i="21"/>
  <c r="R510" i="21"/>
  <c r="S510" i="21"/>
  <c r="T510" i="21"/>
  <c r="O513" i="21"/>
  <c r="P513" i="21"/>
  <c r="Q513" i="21"/>
  <c r="R513" i="21"/>
  <c r="S513" i="21"/>
  <c r="T513" i="21"/>
  <c r="O516" i="21"/>
  <c r="P516" i="21"/>
  <c r="Q516" i="21"/>
  <c r="R516" i="21"/>
  <c r="S516" i="21"/>
  <c r="T516" i="21"/>
  <c r="X516" i="21"/>
  <c r="Y516" i="21"/>
  <c r="Z516" i="21"/>
  <c r="AA516" i="21"/>
  <c r="AB516" i="21"/>
  <c r="O518" i="21"/>
  <c r="P518" i="21"/>
  <c r="Q518" i="21"/>
  <c r="R518" i="21"/>
  <c r="S518" i="21"/>
  <c r="T518" i="21"/>
  <c r="X518" i="21"/>
  <c r="Y518" i="21"/>
  <c r="Z518" i="21"/>
  <c r="AA518" i="21"/>
  <c r="AB518" i="21"/>
  <c r="O519" i="21"/>
  <c r="P519" i="21"/>
  <c r="Q519" i="21"/>
  <c r="R519" i="21"/>
  <c r="S519" i="21"/>
  <c r="T519" i="21"/>
  <c r="X519" i="21"/>
  <c r="Y519" i="21"/>
  <c r="Z519" i="21"/>
  <c r="AA519" i="21"/>
  <c r="AB519" i="21"/>
  <c r="O520" i="21"/>
  <c r="P520" i="21"/>
  <c r="Q520" i="21"/>
  <c r="R520" i="21"/>
  <c r="S520" i="21"/>
  <c r="T520" i="21"/>
  <c r="O522" i="21"/>
  <c r="P522" i="21"/>
  <c r="Q522" i="21"/>
  <c r="R522" i="21"/>
  <c r="S522" i="21"/>
  <c r="T522" i="21"/>
  <c r="O524" i="21"/>
  <c r="P524" i="21"/>
  <c r="Q524" i="21"/>
  <c r="R524" i="21"/>
  <c r="S524" i="21"/>
  <c r="T524" i="21"/>
  <c r="O525" i="21"/>
  <c r="P525" i="21"/>
  <c r="Q525" i="21"/>
  <c r="R525" i="21"/>
  <c r="S525" i="21"/>
  <c r="T525" i="21"/>
  <c r="O526" i="21"/>
  <c r="P526" i="21"/>
  <c r="Q526" i="21"/>
  <c r="R526" i="21"/>
  <c r="S526" i="21"/>
  <c r="T526" i="21"/>
  <c r="O527" i="21"/>
  <c r="P527" i="21"/>
  <c r="Q527" i="21"/>
  <c r="R527" i="21"/>
  <c r="S527" i="21"/>
  <c r="T527" i="21"/>
  <c r="P529" i="21"/>
  <c r="Q529" i="21"/>
  <c r="R529" i="21"/>
  <c r="S529" i="21"/>
  <c r="T529" i="21"/>
  <c r="O530" i="21"/>
  <c r="P530" i="21"/>
  <c r="Q530" i="21"/>
  <c r="R530" i="21"/>
  <c r="S530" i="21"/>
  <c r="T530" i="21"/>
  <c r="O532" i="21"/>
  <c r="P532" i="21"/>
  <c r="Q532" i="21"/>
  <c r="R532" i="21"/>
  <c r="S532" i="21"/>
  <c r="T532" i="21"/>
  <c r="O533" i="21"/>
  <c r="P533" i="21"/>
  <c r="Q533" i="21"/>
  <c r="R533" i="21"/>
  <c r="S533" i="21"/>
  <c r="T533" i="21"/>
  <c r="O536" i="21"/>
  <c r="P536" i="21"/>
  <c r="Q536" i="21"/>
  <c r="R536" i="21"/>
  <c r="S536" i="21"/>
  <c r="T536" i="21"/>
  <c r="P539" i="21"/>
  <c r="Q539" i="21"/>
  <c r="R539" i="21"/>
  <c r="S539" i="21"/>
  <c r="T539" i="21"/>
  <c r="O540" i="21"/>
  <c r="P540" i="21"/>
  <c r="Q540" i="21"/>
  <c r="R540" i="21"/>
  <c r="S540" i="21"/>
  <c r="T540" i="21"/>
  <c r="O542" i="21"/>
  <c r="P542" i="21"/>
  <c r="Q542" i="21"/>
  <c r="R542" i="21"/>
  <c r="S542" i="21"/>
  <c r="T542" i="21"/>
  <c r="N554" i="21"/>
  <c r="N555" i="21"/>
  <c r="N597" i="21"/>
  <c r="N600" i="21"/>
  <c r="N62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Jake Ng</author>
  </authors>
  <commentList>
    <comment ref="A1" authorId="0" shapeId="0" xr:uid="{AB3B9D90-131A-4AF0-A93E-3211BE98B252}">
      <text>
        <r>
          <rPr>
            <b/>
            <sz val="9"/>
            <color indexed="81"/>
            <rFont val="Tahoma"/>
            <charset val="1"/>
          </rPr>
          <t>&lt;?xml version="1.0" encoding="utf-8"?&gt;&lt;Schema xmlns:xsd="http://www.w3.org/2001/XMLSchema" xmlns:xsi="http://www.w3.org/2001/XMLSchema-instance" Version="2" Timestamp="1766374482"&gt;&lt;FQL&gt;&lt;Q&gt;EXCL-JKT^FG_MKT_VALUE(0)&lt;/Q&gt;&lt;R&gt;1&lt;/R&gt;&lt;C&gt;1&lt;/C&gt;&lt;D xsi:type="xsd:double"&gt;45841996&lt;/D&gt;&lt;/FQL&gt;&lt;FQL&gt;&lt;Q&gt;EXCL-ID^FF_ENTRPR_VAL_DAILY(0,,,,,"DIL")&lt;/Q&gt;&lt;R&gt;1&lt;/R&gt;&lt;C&gt;1&lt;/C&gt;&lt;D xsi:type="xsd:double"&gt;98836180.334797&lt;/D&gt;&lt;/FQL&gt;&lt;FQL&gt;&lt;Q&gt;EXCL-ID^FF_AMORT_INTANG(QTR_R,2022/3F)&lt;/Q&gt;&lt;R&gt;1&lt;/R&gt;&lt;C&gt;1&lt;/C&gt;&lt;D xsi:type="xsd:double"&gt;3783&lt;/D&gt;&lt;/FQL&gt;&lt;FQL&gt;&lt;Q&gt;EXCL-ID^FF_AMORT_INTANG(ANN_R,2020)&lt;/Q&gt;&lt;R&gt;1&lt;/R&gt;&lt;C&gt;1&lt;/C&gt;&lt;D xsi:type="xsd:double"&gt;21842&lt;/D&gt;&lt;/FQL&gt;&lt;FQL&gt;&lt;Q&gt;6888-MY^FE_ESTIMATE(EPS,MEAN,ANN_ROLL,+1,NOW,,,'')&lt;/Q&gt;&lt;R&gt;1&lt;/R&gt;&lt;C&gt;1&lt;/C&gt;&lt;D xsi:type="xsd:double"&gt;0.0688712&lt;/D&gt;&lt;/FQL&gt;&lt;FQL&gt;&lt;Q&gt;^P_EXCH_RATE(USD,IDR,0)&lt;/Q&gt;&lt;R&gt;1&lt;/R&gt;&lt;C&gt;1&lt;/C&gt;&lt;D xsi:type="xsd:double"&gt;16304&lt;/D&gt;&lt;/FQL&gt;&lt;FQL&gt;&lt;Q&gt;EXCL-ID^FF_COM_SHS_OUT(CURR,0)&lt;/Q&gt;&lt;R&gt;1&lt;/R&gt;&lt;C&gt;1&lt;/C&gt;&lt;D xsi:type="xsd:double"&gt;17105.223213&lt;/D&gt;&lt;/FQL&gt;&lt;FQL&gt;&lt;Q&gt;EXCL-ID^FG_PRICE(0)&lt;/Q&gt;&lt;R&gt;1&lt;/R&gt;&lt;C&gt;1&lt;/C&gt;&lt;D xsi:type="xsd:double"&gt;3900&lt;/D&gt;&lt;/FQL&gt;&lt;/Schema&gt;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Kelvin Oh</author>
  </authors>
  <commentList>
    <comment ref="W13" authorId="0" shapeId="0" xr:uid="{9396A774-9E1B-4A57-9971-1436F83F173C}">
      <text>
        <r>
          <rPr>
            <b/>
            <sz val="9"/>
            <color indexed="81"/>
            <rFont val="Tahoma"/>
            <family val="2"/>
          </rPr>
          <t>Kelvin Oh:</t>
        </r>
        <r>
          <rPr>
            <sz val="9"/>
            <color indexed="81"/>
            <rFont val="Tahoma"/>
            <family val="2"/>
          </rPr>
          <t xml:space="preserve">
higher than expected capex, meant to "future proof"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Kelvin Oh</author>
    <author>Casper Erskine</author>
    <author>ijohnston</author>
    <author>Caspar Erskine</author>
    <author>Kelvin</author>
    <author>David</author>
    <author>David-Mickael Lopes</author>
  </authors>
  <commentList>
    <comment ref="CP5" authorId="0" shapeId="0" xr:uid="{72000E09-4AF7-411E-917D-F50D338E3723}">
      <text>
        <r>
          <rPr>
            <b/>
            <sz val="9"/>
            <color indexed="81"/>
            <rFont val="Tahoma"/>
            <family val="2"/>
          </rPr>
          <t>Kelvin Oh:</t>
        </r>
        <r>
          <rPr>
            <sz val="9"/>
            <color indexed="81"/>
            <rFont val="Tahoma"/>
            <family val="2"/>
          </rPr>
          <t xml:space="preserve">
recognise full year impact of merger</t>
        </r>
      </text>
    </comment>
    <comment ref="BA14" authorId="1" shapeId="0" xr:uid="{00000000-0006-0000-0100-000002000000}">
      <text>
        <r>
          <rPr>
            <b/>
            <sz val="9"/>
            <color indexed="81"/>
            <rFont val="Tahoma"/>
            <family val="2"/>
          </rPr>
          <t>Casper Erskine:</t>
        </r>
        <r>
          <rPr>
            <sz val="9"/>
            <color indexed="81"/>
            <rFont val="Tahoma"/>
            <family val="2"/>
          </rPr>
          <t xml:space="preserve">
Guidance: hiugh 30's</t>
        </r>
      </text>
    </comment>
    <comment ref="BA22" authorId="1" shapeId="0" xr:uid="{E6FFC398-5416-4BB2-84DF-5C55D7CB7079}">
      <text>
        <r>
          <rPr>
            <b/>
            <sz val="9"/>
            <color indexed="81"/>
            <rFont val="Tahoma"/>
            <family val="2"/>
          </rPr>
          <t>Casper Erskine:</t>
        </r>
        <r>
          <rPr>
            <sz val="9"/>
            <color indexed="81"/>
            <rFont val="Tahoma"/>
            <family val="2"/>
          </rPr>
          <t xml:space="preserve">
Guidance: hiugh 30's</t>
        </r>
      </text>
    </comment>
    <comment ref="BA27" authorId="1" shapeId="0" xr:uid="{00000000-0006-0000-0100-000003000000}">
      <text>
        <r>
          <rPr>
            <b/>
            <sz val="9"/>
            <color indexed="81"/>
            <rFont val="Tahoma"/>
            <family val="2"/>
          </rPr>
          <t>Casper Erskine:</t>
        </r>
        <r>
          <rPr>
            <sz val="9"/>
            <color indexed="81"/>
            <rFont val="Tahoma"/>
            <family val="2"/>
          </rPr>
          <t xml:space="preserve">
Guidance: not exceeding IDR7bn</t>
        </r>
      </text>
    </comment>
    <comment ref="R82" authorId="2" shapeId="0" xr:uid="{00000000-0006-0000-0100-000004000000}">
      <text>
        <r>
          <rPr>
            <b/>
            <sz val="8"/>
            <color indexed="81"/>
            <rFont val="Tahoma"/>
            <family val="2"/>
          </rPr>
          <t>ijohnston:q1 966</t>
        </r>
      </text>
    </comment>
    <comment ref="R89" authorId="2" shapeId="0" xr:uid="{00000000-0006-0000-0100-000005000000}">
      <text>
        <r>
          <rPr>
            <b/>
            <sz val="8"/>
            <color indexed="81"/>
            <rFont val="Tahoma"/>
            <family val="2"/>
          </rPr>
          <t>ijohnston:</t>
        </r>
        <r>
          <rPr>
            <sz val="8"/>
            <color indexed="81"/>
            <rFont val="Tahoma"/>
            <family val="2"/>
          </rPr>
          <t xml:space="preserve">
q1 1009</t>
        </r>
      </text>
    </comment>
    <comment ref="R96" authorId="2" shapeId="0" xr:uid="{00000000-0006-0000-0100-000006000000}">
      <text>
        <r>
          <rPr>
            <b/>
            <sz val="8"/>
            <color indexed="81"/>
            <rFont val="Tahoma"/>
            <family val="2"/>
          </rPr>
          <t>ijohnston:</t>
        </r>
        <r>
          <rPr>
            <sz val="8"/>
            <color indexed="81"/>
            <rFont val="Tahoma"/>
            <family val="2"/>
          </rPr>
          <t xml:space="preserve">
q1 1009</t>
        </r>
      </text>
    </comment>
    <comment ref="AV117" authorId="3" shapeId="0" xr:uid="{00000000-0006-0000-0100-000007000000}">
      <text>
        <r>
          <rPr>
            <b/>
            <sz val="9"/>
            <color indexed="81"/>
            <rFont val="Tahoma"/>
            <family val="2"/>
          </rPr>
          <t>Caspar Erskine:</t>
        </r>
        <r>
          <rPr>
            <sz val="9"/>
            <color indexed="81"/>
            <rFont val="Tahoma"/>
            <family val="2"/>
          </rPr>
          <t xml:space="preserve">
Lower rate caused by highnumber of free calls terminating on othern networks</t>
        </r>
      </text>
    </comment>
    <comment ref="AR158" authorId="1" shapeId="0" xr:uid="{00000000-0006-0000-0100-000008000000}">
      <text>
        <r>
          <rPr>
            <b/>
            <sz val="9"/>
            <color indexed="81"/>
            <rFont val="Tahoma"/>
            <family val="2"/>
          </rPr>
          <t>Casper Erskine:</t>
        </r>
        <r>
          <rPr>
            <sz val="9"/>
            <color indexed="81"/>
            <rFont val="Tahoma"/>
            <family val="2"/>
          </rPr>
          <t xml:space="preserve">
Estimates based on Axiata and Maxis data</t>
        </r>
      </text>
    </comment>
    <comment ref="BA169" authorId="1" shapeId="0" xr:uid="{00000000-0006-0000-0100-000009000000}">
      <text>
        <r>
          <rPr>
            <b/>
            <sz val="9"/>
            <color indexed="81"/>
            <rFont val="Tahoma"/>
            <family val="2"/>
          </rPr>
          <t>Casper Erskine:</t>
        </r>
        <r>
          <rPr>
            <sz val="9"/>
            <color indexed="81"/>
            <rFont val="Tahoma"/>
            <family val="2"/>
          </rPr>
          <t xml:space="preserve">
Scale back of promotional pricing</t>
        </r>
      </text>
    </comment>
    <comment ref="CH185" authorId="4" shapeId="0" xr:uid="{AB055EB5-570D-4846-A8D5-BC18394A4805}">
      <text>
        <r>
          <rPr>
            <b/>
            <sz val="9"/>
            <color indexed="81"/>
            <rFont val="Tahoma"/>
            <family val="2"/>
          </rPr>
          <t>Kelvin:</t>
        </r>
        <r>
          <rPr>
            <sz val="9"/>
            <color indexed="81"/>
            <rFont val="Tahoma"/>
            <family val="2"/>
          </rPr>
          <t xml:space="preserve">
stopped reporting on extended base from Linknet
</t>
        </r>
      </text>
    </comment>
    <comment ref="CA192" authorId="4" shapeId="0" xr:uid="{6BF781D4-3663-4600-A5E0-4409760655A5}">
      <text>
        <r>
          <rPr>
            <b/>
            <sz val="9"/>
            <color indexed="81"/>
            <rFont val="Tahoma"/>
            <family val="2"/>
          </rPr>
          <t>Kelvin:</t>
        </r>
        <r>
          <rPr>
            <sz val="9"/>
            <color indexed="81"/>
            <rFont val="Tahoma"/>
            <family val="2"/>
          </rPr>
          <t xml:space="preserve">
https://www.commsupdate.com/articles/2023/07/11/xl-axiata-pushes-convergence-strategy-link-net-collaboration-aims-to-hit-1m-homes-passed/</t>
        </r>
      </text>
    </comment>
    <comment ref="BW200" authorId="4" shapeId="0" xr:uid="{1A3475F3-F1A8-4EA0-97EA-155204D3A3BF}">
      <text>
        <r>
          <rPr>
            <b/>
            <sz val="9"/>
            <color indexed="81"/>
            <rFont val="Tahoma"/>
            <family val="2"/>
          </rPr>
          <t>Kelvin:</t>
        </r>
        <r>
          <rPr>
            <sz val="9"/>
            <color indexed="81"/>
            <rFont val="Tahoma"/>
            <family val="2"/>
          </rPr>
          <t xml:space="preserve">
post Hypernet acquisition</t>
        </r>
      </text>
    </comment>
    <comment ref="B208" authorId="1" shapeId="0" xr:uid="{00000000-0006-0000-0100-00000A000000}">
      <text>
        <r>
          <rPr>
            <b/>
            <sz val="9"/>
            <color indexed="81"/>
            <rFont val="Tahoma"/>
            <family val="2"/>
          </rPr>
          <t>Casper Erskine:</t>
        </r>
        <r>
          <rPr>
            <sz val="9"/>
            <color indexed="81"/>
            <rFont val="Tahoma"/>
            <family val="2"/>
          </rPr>
          <t xml:space="preserve">
Located in audited accounts</t>
        </r>
      </text>
    </comment>
    <comment ref="AG208" authorId="1" shapeId="0" xr:uid="{00000000-0006-0000-0100-00000B000000}">
      <text>
        <r>
          <rPr>
            <b/>
            <sz val="9"/>
            <color indexed="81"/>
            <rFont val="Tahoma"/>
            <family val="2"/>
          </rPr>
          <t>Casper Erskine:</t>
        </r>
        <r>
          <rPr>
            <sz val="9"/>
            <color indexed="81"/>
            <rFont val="Tahoma"/>
            <family val="2"/>
          </rPr>
          <t xml:space="preserve">
Previously VAS and data</t>
        </r>
      </text>
    </comment>
    <comment ref="AS208" authorId="1" shapeId="0" xr:uid="{00000000-0006-0000-0100-00000C000000}">
      <text>
        <r>
          <rPr>
            <b/>
            <sz val="9"/>
            <color indexed="81"/>
            <rFont val="Tahoma"/>
            <family val="2"/>
          </rPr>
          <t>Casper Erskine:</t>
        </r>
        <r>
          <rPr>
            <sz val="9"/>
            <color indexed="81"/>
            <rFont val="Tahoma"/>
            <family val="2"/>
          </rPr>
          <t xml:space="preserve">
Taken from audit finacnials (search for SMS)</t>
        </r>
      </text>
    </comment>
    <comment ref="AV210" authorId="1" shapeId="0" xr:uid="{00000000-0006-0000-0100-00000D000000}">
      <text>
        <r>
          <rPr>
            <b/>
            <sz val="9"/>
            <color indexed="81"/>
            <rFont val="Tahoma"/>
            <family val="2"/>
          </rPr>
          <t>Casper Erskine:</t>
        </r>
        <r>
          <rPr>
            <sz val="9"/>
            <color indexed="81"/>
            <rFont val="Tahoma"/>
            <family val="2"/>
          </rPr>
          <t xml:space="preserve">
Est
</t>
        </r>
      </text>
    </comment>
    <comment ref="BA210" authorId="1" shapeId="0" xr:uid="{00000000-0006-0000-0100-00000E000000}">
      <text>
        <r>
          <rPr>
            <b/>
            <sz val="9"/>
            <color indexed="81"/>
            <rFont val="Tahoma"/>
            <family val="2"/>
          </rPr>
          <t>Casper Erskine:</t>
        </r>
        <r>
          <rPr>
            <sz val="9"/>
            <color indexed="81"/>
            <rFont val="Tahoma"/>
            <family val="2"/>
          </rPr>
          <t xml:space="preserve">
Est</t>
        </r>
      </text>
    </comment>
    <comment ref="AG214" authorId="1" shapeId="0" xr:uid="{00000000-0006-0000-0100-00000F000000}">
      <text>
        <r>
          <rPr>
            <b/>
            <sz val="9"/>
            <color indexed="81"/>
            <rFont val="Tahoma"/>
            <family val="2"/>
          </rPr>
          <t>Casper Erskine:</t>
        </r>
        <r>
          <rPr>
            <sz val="9"/>
            <color indexed="81"/>
            <rFont val="Tahoma"/>
            <family val="2"/>
          </rPr>
          <t xml:space="preserve">
Previously VAS and data</t>
        </r>
      </text>
    </comment>
    <comment ref="BW220" authorId="4" shapeId="0" xr:uid="{18369CD7-B521-4C5D-8BAA-139716A38115}">
      <text>
        <r>
          <rPr>
            <b/>
            <sz val="9"/>
            <color indexed="81"/>
            <rFont val="Tahoma"/>
            <family val="2"/>
          </rPr>
          <t>Kelvin:</t>
        </r>
        <r>
          <rPr>
            <sz val="9"/>
            <color indexed="81"/>
            <rFont val="Tahoma"/>
            <family val="2"/>
          </rPr>
          <t xml:space="preserve">
lfl comparison</t>
        </r>
      </text>
    </comment>
    <comment ref="BX220" authorId="4" shapeId="0" xr:uid="{3A608923-09E5-42FB-90C1-FCB946B418D0}">
      <text>
        <r>
          <rPr>
            <b/>
            <sz val="9"/>
            <color indexed="81"/>
            <rFont val="Tahoma"/>
            <family val="2"/>
          </rPr>
          <t>Kelvin:</t>
        </r>
        <r>
          <rPr>
            <sz val="9"/>
            <color indexed="81"/>
            <rFont val="Tahoma"/>
            <family val="2"/>
          </rPr>
          <t xml:space="preserve">
lfl comparison</t>
        </r>
      </text>
    </comment>
    <comment ref="BY220" authorId="4" shapeId="0" xr:uid="{E6A1E995-20F8-46A9-8EEE-D9E1BEC6A487}">
      <text>
        <r>
          <rPr>
            <b/>
            <sz val="9"/>
            <color indexed="81"/>
            <rFont val="Tahoma"/>
            <family val="2"/>
          </rPr>
          <t>Kelvin:</t>
        </r>
        <r>
          <rPr>
            <sz val="9"/>
            <color indexed="81"/>
            <rFont val="Tahoma"/>
            <family val="2"/>
          </rPr>
          <t xml:space="preserve">
Data &amp; digital services</t>
        </r>
      </text>
    </comment>
    <comment ref="CK240" authorId="4" shapeId="0" xr:uid="{BB55737C-7E96-4622-ACE7-04B66C84D211}">
      <text>
        <r>
          <rPr>
            <b/>
            <sz val="9"/>
            <color indexed="81"/>
            <rFont val="Tahoma"/>
            <family val="2"/>
          </rPr>
          <t>Kelvin:</t>
        </r>
        <r>
          <rPr>
            <sz val="9"/>
            <color indexed="81"/>
            <rFont val="Tahoma"/>
            <family val="2"/>
          </rPr>
          <t xml:space="preserve">
impacted by higher interconnection costs from transfer for First Media's home broadband</t>
        </r>
      </text>
    </comment>
    <comment ref="CO245" authorId="0" shapeId="0" xr:uid="{FCCD4A20-9DB2-4B4C-B3ED-C58C43CC1CC5}">
      <text>
        <r>
          <rPr>
            <b/>
            <sz val="9"/>
            <color indexed="81"/>
            <rFont val="Tahoma"/>
            <family val="2"/>
          </rPr>
          <t>Kelvin Oh:</t>
        </r>
        <r>
          <rPr>
            <sz val="9"/>
            <color indexed="81"/>
            <rFont val="Tahoma"/>
            <family val="2"/>
          </rPr>
          <t xml:space="preserve">
Integration costs ~IDR1.5tn</t>
        </r>
      </text>
    </comment>
    <comment ref="CP245" authorId="0" shapeId="0" xr:uid="{04E098A0-0800-487F-868D-00F1DE8CC4B3}">
      <text>
        <r>
          <rPr>
            <b/>
            <sz val="9"/>
            <color indexed="81"/>
            <rFont val="Tahoma"/>
            <family val="2"/>
          </rPr>
          <t>Kelvin Oh:</t>
        </r>
        <r>
          <rPr>
            <sz val="9"/>
            <color indexed="81"/>
            <rFont val="Tahoma"/>
            <family val="2"/>
          </rPr>
          <t xml:space="preserve">
integration costs</t>
        </r>
      </text>
    </comment>
    <comment ref="CQ245" authorId="0" shapeId="0" xr:uid="{BFC68C19-C349-4656-80E7-B0BC1D49F6CB}">
      <text>
        <r>
          <rPr>
            <b/>
            <sz val="9"/>
            <color indexed="81"/>
            <rFont val="Tahoma"/>
            <family val="2"/>
          </rPr>
          <t>Kelvin Oh:</t>
        </r>
        <r>
          <rPr>
            <sz val="9"/>
            <color indexed="81"/>
            <rFont val="Tahoma"/>
            <family val="2"/>
          </rPr>
          <t xml:space="preserve">
integration costs</t>
        </r>
      </text>
    </comment>
    <comment ref="CQ253" authorId="0" shapeId="0" xr:uid="{7F9BF8B3-9FF3-42B3-A865-4179A124C1F6}">
      <text>
        <r>
          <rPr>
            <b/>
            <sz val="9"/>
            <color indexed="81"/>
            <rFont val="Tahoma"/>
            <family val="2"/>
          </rPr>
          <t>Kelvin Oh:</t>
        </r>
        <r>
          <rPr>
            <sz val="9"/>
            <color indexed="81"/>
            <rFont val="Tahoma"/>
            <family val="2"/>
          </rPr>
          <t xml:space="preserve">
from spectrum acquisition in 2026</t>
        </r>
      </text>
    </comment>
    <comment ref="BL262" authorId="5" shapeId="0" xr:uid="{00000000-0006-0000-0100-000013000000}">
      <text>
        <r>
          <rPr>
            <b/>
            <sz val="9"/>
            <color indexed="81"/>
            <rFont val="Tahoma"/>
            <family val="2"/>
          </rPr>
          <t>David:</t>
        </r>
        <r>
          <rPr>
            <sz val="9"/>
            <color indexed="81"/>
            <rFont val="Tahoma"/>
            <family val="2"/>
          </rPr>
          <t xml:space="preserve">
IFRS impact 124</t>
        </r>
      </text>
    </comment>
    <comment ref="B264" authorId="1" shapeId="0" xr:uid="{00000000-0006-0000-0100-000014000000}">
      <text>
        <r>
          <rPr>
            <b/>
            <sz val="9"/>
            <color indexed="81"/>
            <rFont val="Tahoma"/>
            <family val="2"/>
          </rPr>
          <t>Casper Erskine:</t>
        </r>
        <r>
          <rPr>
            <sz val="9"/>
            <color indexed="81"/>
            <rFont val="Tahoma"/>
            <family val="2"/>
          </rPr>
          <t xml:space="preserve">
JV with SK Planet, going since 2013, still loss making.</t>
        </r>
      </text>
    </comment>
    <comment ref="B265" authorId="1" shapeId="0" xr:uid="{00000000-0006-0000-0100-000015000000}">
      <text>
        <r>
          <rPr>
            <b/>
            <sz val="9"/>
            <color indexed="81"/>
            <rFont val="Tahoma"/>
            <family val="2"/>
          </rPr>
          <t>Casper Erskine:</t>
        </r>
        <r>
          <rPr>
            <sz val="9"/>
            <color indexed="81"/>
            <rFont val="Tahoma"/>
            <family val="2"/>
          </rPr>
          <t xml:space="preserve">
Largely related to towers sales. Deferred lease liabs and c/flows due on balance sheet, amortised with gains recognised over time.</t>
        </r>
      </text>
    </comment>
    <comment ref="AQ265" authorId="1" shapeId="0" xr:uid="{00000000-0006-0000-0100-000016000000}">
      <text>
        <r>
          <rPr>
            <b/>
            <sz val="9"/>
            <color indexed="81"/>
            <rFont val="Tahoma"/>
            <family val="2"/>
          </rPr>
          <t>Casper Erskine:</t>
        </r>
        <r>
          <rPr>
            <sz val="9"/>
            <color indexed="81"/>
            <rFont val="Tahoma"/>
            <family val="2"/>
          </rPr>
          <t xml:space="preserve">
IDR2.0351tr relates to towers sales</t>
        </r>
      </text>
    </comment>
    <comment ref="AV265" authorId="1" shapeId="0" xr:uid="{00000000-0006-0000-0100-000017000000}">
      <text>
        <r>
          <rPr>
            <b/>
            <sz val="9"/>
            <color indexed="81"/>
            <rFont val="Tahoma"/>
            <family val="2"/>
          </rPr>
          <t>Casper Erskine:</t>
        </r>
        <r>
          <rPr>
            <sz val="9"/>
            <color indexed="81"/>
            <rFont val="Tahoma"/>
            <family val="2"/>
          </rPr>
          <t xml:space="preserve">
IDR1.721tr relates to towers sales</t>
        </r>
      </text>
    </comment>
    <comment ref="CO265" authorId="0" shapeId="0" xr:uid="{2A440863-40F6-4556-A6FD-27A347D87AC4}">
      <text>
        <r>
          <rPr>
            <b/>
            <sz val="9"/>
            <color indexed="81"/>
            <rFont val="Tahoma"/>
            <family val="2"/>
          </rPr>
          <t>Kelvin Oh:</t>
        </r>
        <r>
          <rPr>
            <sz val="9"/>
            <color indexed="81"/>
            <rFont val="Tahoma"/>
            <family val="2"/>
          </rPr>
          <t xml:space="preserve">
based on 2Q25 run-rate,  impairment as they modernise network</t>
        </r>
      </text>
    </comment>
    <comment ref="BL268" authorId="5" shapeId="0" xr:uid="{00000000-0006-0000-0100-000018000000}">
      <text>
        <r>
          <rPr>
            <b/>
            <sz val="9"/>
            <color indexed="81"/>
            <rFont val="Tahoma"/>
            <family val="2"/>
          </rPr>
          <t>David:</t>
        </r>
        <r>
          <rPr>
            <sz val="9"/>
            <color indexed="81"/>
            <rFont val="Tahoma"/>
            <family val="2"/>
          </rPr>
          <t xml:space="preserve">
IFRS impact 18</t>
        </r>
      </text>
    </comment>
    <comment ref="BL277" authorId="5" shapeId="0" xr:uid="{00000000-0006-0000-0100-000019000000}">
      <text>
        <r>
          <rPr>
            <b/>
            <sz val="9"/>
            <color indexed="81"/>
            <rFont val="Tahoma"/>
            <family val="2"/>
          </rPr>
          <t>David:</t>
        </r>
        <r>
          <rPr>
            <sz val="9"/>
            <color indexed="81"/>
            <rFont val="Tahoma"/>
            <family val="2"/>
          </rPr>
          <t xml:space="preserve">
113 ex IFRS 9, 15, 16</t>
        </r>
      </text>
    </comment>
    <comment ref="BM277" authorId="5" shapeId="0" xr:uid="{00000000-0006-0000-0100-00001A000000}">
      <text>
        <r>
          <rPr>
            <b/>
            <sz val="9"/>
            <color indexed="81"/>
            <rFont val="Tahoma"/>
            <family val="2"/>
          </rPr>
          <t>David:</t>
        </r>
        <r>
          <rPr>
            <sz val="9"/>
            <color indexed="81"/>
            <rFont val="Tahoma"/>
            <family val="2"/>
          </rPr>
          <t xml:space="preserve">
144 ex IFRS 9, 15, 16</t>
        </r>
      </text>
    </comment>
    <comment ref="BN277" authorId="5" shapeId="0" xr:uid="{00000000-0006-0000-0100-00001B000000}">
      <text>
        <r>
          <rPr>
            <b/>
            <sz val="9"/>
            <color indexed="81"/>
            <rFont val="Tahoma"/>
            <family val="2"/>
          </rPr>
          <t>David:</t>
        </r>
        <r>
          <rPr>
            <sz val="9"/>
            <color indexed="81"/>
            <rFont val="Tahoma"/>
            <family val="2"/>
          </rPr>
          <t xml:space="preserve">
144 ex IFRS 9, 15, 16</t>
        </r>
      </text>
    </comment>
    <comment ref="CO285" authorId="0" shapeId="0" xr:uid="{E99157E0-B292-49E0-B800-83EE62B42FC3}">
      <text>
        <r>
          <rPr>
            <b/>
            <sz val="9"/>
            <color indexed="81"/>
            <rFont val="Tahoma"/>
            <family val="2"/>
          </rPr>
          <t>Kelvin Oh:</t>
        </r>
        <r>
          <rPr>
            <sz val="9"/>
            <color indexed="81"/>
            <rFont val="Tahoma"/>
            <family val="2"/>
          </rPr>
          <t xml:space="preserve">
we do not expect dividends in first two years of integration - 2025/2026</t>
        </r>
      </text>
    </comment>
    <comment ref="CI306" authorId="0" shapeId="0" xr:uid="{BD3C495E-FCBB-4617-B5AE-0C982EFF003D}">
      <text>
        <r>
          <rPr>
            <b/>
            <sz val="9"/>
            <color indexed="81"/>
            <rFont val="Tahoma"/>
            <family val="2"/>
          </rPr>
          <t>Kelvin Oh:</t>
        </r>
        <r>
          <rPr>
            <sz val="9"/>
            <color indexed="81"/>
            <rFont val="Tahoma"/>
            <family val="2"/>
          </rPr>
          <t xml:space="preserve">
First Media aka LinkNet's B2C broadband</t>
        </r>
      </text>
    </comment>
    <comment ref="BL307" authorId="5" shapeId="0" xr:uid="{0F3E25E7-1DB3-42F9-8982-005609144668}">
      <text>
        <r>
          <rPr>
            <b/>
            <sz val="9"/>
            <color indexed="81"/>
            <rFont val="Tahoma"/>
            <family val="2"/>
          </rPr>
          <t>David:</t>
        </r>
        <r>
          <rPr>
            <sz val="9"/>
            <color indexed="81"/>
            <rFont val="Tahoma"/>
            <family val="2"/>
          </rPr>
          <t xml:space="preserve">
IFRS impact 124</t>
        </r>
      </text>
    </comment>
    <comment ref="CO310" authorId="0" shapeId="0" xr:uid="{2726AE0D-88F8-45E8-990B-AA7858D63330}">
      <text>
        <r>
          <rPr>
            <b/>
            <sz val="9"/>
            <color indexed="81"/>
            <rFont val="Tahoma"/>
            <family val="2"/>
          </rPr>
          <t>Kelvin Oh:</t>
        </r>
        <r>
          <rPr>
            <sz val="9"/>
            <color indexed="81"/>
            <rFont val="Tahoma"/>
            <family val="2"/>
          </rPr>
          <t xml:space="preserve">
estimated based on 2Q25 run-rate</t>
        </r>
      </text>
    </comment>
    <comment ref="CK391" authorId="0" shapeId="0" xr:uid="{1672CE70-9D77-4245-A9B4-4B7870E4418B}">
      <text>
        <r>
          <rPr>
            <b/>
            <sz val="9"/>
            <color indexed="81"/>
            <rFont val="Tahoma"/>
            <family val="2"/>
          </rPr>
          <t>Kelvin Oh:</t>
        </r>
        <r>
          <rPr>
            <sz val="9"/>
            <color indexed="81"/>
            <rFont val="Tahoma"/>
            <family val="2"/>
          </rPr>
          <t xml:space="preserve">
new business model due to broadband</t>
        </r>
      </text>
    </comment>
    <comment ref="CQ395" authorId="0" shapeId="0" xr:uid="{754CC364-8411-48A1-A2C3-153254342006}">
      <text>
        <r>
          <rPr>
            <b/>
            <sz val="9"/>
            <color indexed="81"/>
            <rFont val="Tahoma"/>
            <family val="2"/>
          </rPr>
          <t>Kelvin Oh:</t>
        </r>
        <r>
          <rPr>
            <sz val="9"/>
            <color indexed="81"/>
            <rFont val="Tahoma"/>
            <family val="2"/>
          </rPr>
          <t xml:space="preserve">
potential labour reduction</t>
        </r>
      </text>
    </comment>
    <comment ref="B403" authorId="4" shapeId="0" xr:uid="{B0A0AE7C-72CA-4E18-91E2-53D44A0EED5D}">
      <text>
        <r>
          <rPr>
            <b/>
            <sz val="9"/>
            <color indexed="81"/>
            <rFont val="Tahoma"/>
            <family val="2"/>
          </rPr>
          <t>Kelvin:</t>
        </r>
        <r>
          <rPr>
            <sz val="9"/>
            <color indexed="81"/>
            <rFont val="Tahoma"/>
            <family val="2"/>
          </rPr>
          <t xml:space="preserve">
license fee, rental, utilities, repair and maintenance</t>
        </r>
      </text>
    </comment>
    <comment ref="BE437" authorId="6" shapeId="0" xr:uid="{00000000-0006-0000-0100-000010000000}">
      <text>
        <r>
          <rPr>
            <b/>
            <sz val="9"/>
            <color indexed="81"/>
            <rFont val="Tahoma"/>
            <family val="2"/>
          </rPr>
          <t>David-Mickael Lopes:</t>
        </r>
        <r>
          <rPr>
            <sz val="9"/>
            <color indexed="81"/>
            <rFont val="Tahoma"/>
            <family val="2"/>
          </rPr>
          <t xml:space="preserve">
2G network switch off</t>
        </r>
      </text>
    </comment>
    <comment ref="BO437" authorId="5" shapeId="0" xr:uid="{7950322E-CEF1-4B9C-8604-E430431F4A16}">
      <text>
        <r>
          <rPr>
            <sz val="9"/>
            <color indexed="81"/>
            <rFont val="Tahoma"/>
            <family val="2"/>
          </rPr>
          <t xml:space="preserve">
As at 31 December 2020, the Company reviewed
the estimated useful life of the fixed assets. As a
result of the review, management decided to
shorten the useful life of some assets mainly related
to 3G network equipments since management
believes that those assets will not be used and
depreciated in the future. Consequently, the
Company charged additional depreciation expense
of Rp 2,479,396 in the current year profit or loss.</t>
        </r>
      </text>
    </comment>
    <comment ref="BL439" authorId="5" shapeId="0" xr:uid="{00000000-0006-0000-0100-000011000000}">
      <text>
        <r>
          <rPr>
            <b/>
            <sz val="9"/>
            <color indexed="81"/>
            <rFont val="Tahoma"/>
            <family val="2"/>
          </rPr>
          <t>David:</t>
        </r>
        <r>
          <rPr>
            <sz val="9"/>
            <color indexed="81"/>
            <rFont val="Tahoma"/>
            <family val="2"/>
          </rPr>
          <t xml:space="preserve">
IFRS impact 460</t>
        </r>
      </text>
    </comment>
    <comment ref="BL445" authorId="5" shapeId="0" xr:uid="{00000000-0006-0000-0100-000012000000}">
      <text>
        <r>
          <rPr>
            <b/>
            <sz val="9"/>
            <color indexed="81"/>
            <rFont val="Tahoma"/>
            <family val="2"/>
          </rPr>
          <t>David:</t>
        </r>
        <r>
          <rPr>
            <sz val="9"/>
            <color indexed="81"/>
            <rFont val="Tahoma"/>
            <family val="2"/>
          </rPr>
          <t xml:space="preserve">
1,429 tower sale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Kelvin Oh</author>
    <author>David-Mickael Lopes</author>
    <author>Casper Erskine</author>
    <author>Kelvin</author>
    <author>ijohnston</author>
    <author>New Street Research LLP</author>
  </authors>
  <commentList>
    <comment ref="V1" authorId="0" shapeId="0" xr:uid="{10CCD458-4AB3-409E-8F62-C3FAEAB723BC}">
      <text>
        <r>
          <rPr>
            <b/>
            <sz val="9"/>
            <color indexed="81"/>
            <rFont val="Tahoma"/>
            <family val="2"/>
          </rPr>
          <t>Kelvin Oh:</t>
        </r>
        <r>
          <rPr>
            <sz val="9"/>
            <color indexed="81"/>
            <rFont val="Tahoma"/>
            <family val="2"/>
          </rPr>
          <t xml:space="preserve">
due to proforma adjustment</t>
        </r>
      </text>
    </comment>
    <comment ref="O50" authorId="1" shapeId="0" xr:uid="{00000000-0006-0000-0200-000001000000}">
      <text>
        <r>
          <rPr>
            <b/>
            <sz val="9"/>
            <color indexed="81"/>
            <rFont val="Tahoma"/>
            <family val="2"/>
          </rPr>
          <t>David-Mickael Lopes:</t>
        </r>
        <r>
          <rPr>
            <sz val="9"/>
            <color indexed="81"/>
            <rFont val="Tahoma"/>
            <family val="2"/>
          </rPr>
          <t xml:space="preserve">
IFRS 16
Leases</t>
        </r>
      </text>
    </comment>
    <comment ref="L66" authorId="2" shapeId="0" xr:uid="{00000000-0006-0000-0200-000002000000}">
      <text>
        <r>
          <rPr>
            <b/>
            <sz val="9"/>
            <color indexed="81"/>
            <rFont val="Tahoma"/>
            <family val="2"/>
          </rPr>
          <t>Casper Erskine:</t>
        </r>
        <r>
          <rPr>
            <sz val="9"/>
            <color indexed="81"/>
            <rFont val="Tahoma"/>
            <family val="2"/>
          </rPr>
          <t xml:space="preserve">
Share issue</t>
        </r>
      </text>
    </comment>
    <comment ref="R66" authorId="3" shapeId="0" xr:uid="{1EB93E47-6022-4448-8217-39CA7D34CAED}">
      <text>
        <r>
          <rPr>
            <b/>
            <sz val="9"/>
            <color indexed="81"/>
            <rFont val="Tahoma"/>
            <family val="2"/>
          </rPr>
          <t>Kelvin:</t>
        </r>
        <r>
          <rPr>
            <sz val="9"/>
            <color indexed="81"/>
            <rFont val="Tahoma"/>
            <family val="2"/>
          </rPr>
          <t xml:space="preserve">
share issuance</t>
        </r>
      </text>
    </comment>
    <comment ref="J68" authorId="2" shapeId="0" xr:uid="{00000000-0006-0000-0200-000003000000}">
      <text>
        <r>
          <rPr>
            <b/>
            <sz val="9"/>
            <color indexed="81"/>
            <rFont val="Tahoma"/>
            <family val="2"/>
          </rPr>
          <t>Casper Erskine:</t>
        </r>
        <r>
          <rPr>
            <sz val="9"/>
            <color indexed="81"/>
            <rFont val="Tahoma"/>
            <family val="2"/>
          </rPr>
          <t xml:space="preserve">
Purchase of Axis
</t>
        </r>
      </text>
    </comment>
    <comment ref="K68" authorId="2" shapeId="0" xr:uid="{00000000-0006-0000-0200-000004000000}">
      <text>
        <r>
          <rPr>
            <b/>
            <sz val="9"/>
            <color indexed="81"/>
            <rFont val="Tahoma"/>
            <family val="2"/>
          </rPr>
          <t>Casper Erskine:</t>
        </r>
        <r>
          <rPr>
            <sz val="9"/>
            <color indexed="81"/>
            <rFont val="Tahoma"/>
            <family val="2"/>
          </rPr>
          <t xml:space="preserve">
Towers portfolio sale
</t>
        </r>
      </text>
    </comment>
    <comment ref="S73" authorId="3" shapeId="0" xr:uid="{64208B65-6E08-4883-A50D-F7338BED0537}">
      <text>
        <r>
          <rPr>
            <b/>
            <sz val="9"/>
            <color indexed="81"/>
            <rFont val="Tahoma"/>
            <family val="2"/>
          </rPr>
          <t>Kelvin:</t>
        </r>
        <r>
          <rPr>
            <sz val="9"/>
            <color indexed="81"/>
            <rFont val="Tahoma"/>
            <family val="2"/>
          </rPr>
          <t xml:space="preserve">
guided 8tn for FY23</t>
        </r>
      </text>
    </comment>
    <comment ref="E74" authorId="4" shapeId="0" xr:uid="{00000000-0006-0000-0200-000006000000}">
      <text>
        <r>
          <rPr>
            <b/>
            <sz val="8"/>
            <color indexed="81"/>
            <rFont val="Tahoma"/>
            <family val="2"/>
          </rPr>
          <t>ijohnston:</t>
        </r>
        <r>
          <rPr>
            <sz val="8"/>
            <color indexed="81"/>
            <rFont val="Tahoma"/>
            <family val="2"/>
          </rPr>
          <t xml:space="preserve">
estimate
</t>
        </r>
      </text>
    </comment>
    <comment ref="V74" authorId="0" shapeId="0" xr:uid="{8F363239-BF12-4E3B-8BC2-8F07617C4FE1}">
      <text>
        <r>
          <rPr>
            <b/>
            <sz val="9"/>
            <color indexed="81"/>
            <rFont val="Tahoma"/>
            <family val="2"/>
          </rPr>
          <t>Kelvin Oh:</t>
        </r>
        <r>
          <rPr>
            <sz val="9"/>
            <color indexed="81"/>
            <rFont val="Tahoma"/>
            <family val="2"/>
          </rPr>
          <t xml:space="preserve">
"future proof"</t>
        </r>
      </text>
    </comment>
    <comment ref="V174" authorId="0" shapeId="0" xr:uid="{6464CFB1-E369-4E71-BB5A-03E3225A13BB}">
      <text>
        <r>
          <rPr>
            <b/>
            <sz val="9"/>
            <color indexed="81"/>
            <rFont val="Tahoma"/>
            <family val="2"/>
          </rPr>
          <t>Kelvin Oh:</t>
        </r>
        <r>
          <rPr>
            <sz val="9"/>
            <color indexed="81"/>
            <rFont val="Tahoma"/>
            <family val="2"/>
          </rPr>
          <t xml:space="preserve">
large increase in capex</t>
        </r>
      </text>
    </comment>
    <comment ref="B308" authorId="3" shapeId="0" xr:uid="{113EB575-0AD1-4F9D-9C71-3C34B2887A04}">
      <text>
        <r>
          <rPr>
            <b/>
            <sz val="9"/>
            <color indexed="81"/>
            <rFont val="Tahoma"/>
            <family val="2"/>
          </rPr>
          <t>Kelvin:</t>
        </r>
        <r>
          <rPr>
            <sz val="9"/>
            <color indexed="81"/>
            <rFont val="Tahoma"/>
            <family val="2"/>
          </rPr>
          <t xml:space="preserve">
beginning of period</t>
        </r>
      </text>
    </comment>
    <comment ref="B310" authorId="3" shapeId="0" xr:uid="{20A6B38F-7969-40CB-89BA-B20F75C47027}">
      <text>
        <r>
          <rPr>
            <b/>
            <sz val="9"/>
            <color indexed="81"/>
            <rFont val="Tahoma"/>
            <family val="2"/>
          </rPr>
          <t>Kelvin:</t>
        </r>
        <r>
          <rPr>
            <sz val="9"/>
            <color indexed="81"/>
            <rFont val="Tahoma"/>
            <family val="2"/>
          </rPr>
          <t xml:space="preserve">
end of period</t>
        </r>
      </text>
    </comment>
    <comment ref="R313" authorId="3" shapeId="0" xr:uid="{37EC3BF4-7B64-4DDB-89CF-E5CC8F343EF3}">
      <text>
        <r>
          <rPr>
            <b/>
            <sz val="9"/>
            <color indexed="81"/>
            <rFont val="Tahoma"/>
            <family val="2"/>
          </rPr>
          <t>Kelvin:</t>
        </r>
        <r>
          <rPr>
            <sz val="9"/>
            <color indexed="81"/>
            <rFont val="Tahoma"/>
            <family val="2"/>
          </rPr>
          <t xml:space="preserve">
rights offering for 2.4bn shares at Rp 2080
Source: idnfinancials.com/announcement/11232/schedule-xl-axiata-pre-emptive-rights-ratio-cum-december</t>
        </r>
      </text>
    </comment>
    <comment ref="R326" authorId="3" shapeId="0" xr:uid="{45DB93DF-0C07-4B3E-A7BC-C82C6F9414F4}">
      <text>
        <r>
          <rPr>
            <b/>
            <sz val="9"/>
            <color indexed="81"/>
            <rFont val="Tahoma"/>
            <family val="2"/>
          </rPr>
          <t>Kelvin:</t>
        </r>
        <r>
          <rPr>
            <sz val="9"/>
            <color indexed="81"/>
            <rFont val="Tahoma"/>
            <family val="2"/>
          </rPr>
          <t xml:space="preserve">
rights offering for 2.4bn shares at Rp 2080
Source: idnfinancials.com/announcement/11232/schedule-xl-axiata-pre-emptive-rights-ratio-cum-december</t>
        </r>
      </text>
    </comment>
    <comment ref="C344" authorId="5" shapeId="0" xr:uid="{00000000-0006-0000-0200-000008000000}">
      <text>
        <r>
          <rPr>
            <b/>
            <sz val="8"/>
            <color indexed="81"/>
            <rFont val="Tahoma"/>
            <family val="2"/>
          </rPr>
          <t>New Street Research LLP:</t>
        </r>
        <r>
          <rPr>
            <sz val="8"/>
            <color indexed="81"/>
            <rFont val="Tahoma"/>
            <family val="2"/>
          </rPr>
          <t xml:space="preserve">
capital distribution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Kelvin</author>
  </authors>
  <commentList>
    <comment ref="BL47" authorId="0" shapeId="0" xr:uid="{CADE5B1E-7B9E-4BED-82B9-92FCAD8D7D52}">
      <text>
        <r>
          <rPr>
            <b/>
            <sz val="9"/>
            <color indexed="81"/>
            <rFont val="Tahoma"/>
            <family val="2"/>
          </rPr>
          <t>Kelvin:</t>
        </r>
        <r>
          <rPr>
            <sz val="9"/>
            <color indexed="81"/>
            <rFont val="Tahoma"/>
            <family val="2"/>
          </rPr>
          <t xml:space="preserve">
7317 = SERVICE REVENUE + IC + OTHERS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Kelvin</author>
  </authors>
  <commentList>
    <comment ref="C166" authorId="0" shapeId="0" xr:uid="{37F5DD6C-74D0-4A61-AB35-60EDFD7D6877}">
      <text>
        <r>
          <rPr>
            <b/>
            <sz val="9"/>
            <color indexed="81"/>
            <rFont val="Tahoma"/>
            <family val="2"/>
          </rPr>
          <t>Kelvin:</t>
        </r>
        <r>
          <rPr>
            <sz val="9"/>
            <color indexed="81"/>
            <rFont val="Tahoma"/>
            <family val="2"/>
          </rPr>
          <t xml:space="preserve">
includes broadband </t>
        </r>
      </text>
    </comment>
    <comment ref="F166" authorId="0" shapeId="0" xr:uid="{F44E8B7A-0712-4372-8358-D3A676407AE1}">
      <text>
        <r>
          <rPr>
            <b/>
            <sz val="9"/>
            <color indexed="81"/>
            <rFont val="Tahoma"/>
            <family val="2"/>
          </rPr>
          <t>Kelvin:</t>
        </r>
        <r>
          <rPr>
            <sz val="9"/>
            <color indexed="81"/>
            <rFont val="Tahoma"/>
            <family val="2"/>
          </rPr>
          <t xml:space="preserve">
assume 15% based on guidance since not reported separately</t>
        </r>
      </text>
    </comment>
    <comment ref="E224" authorId="0" shapeId="0" xr:uid="{5F7C753E-473F-4AAE-9966-3AB220607920}">
      <text>
        <r>
          <rPr>
            <b/>
            <sz val="9"/>
            <color indexed="81"/>
            <rFont val="Tahoma"/>
            <family val="2"/>
          </rPr>
          <t>Kelvin:</t>
        </r>
        <r>
          <rPr>
            <sz val="9"/>
            <color indexed="81"/>
            <rFont val="Tahoma"/>
            <family val="2"/>
          </rPr>
          <t xml:space="preserve">
total - others</t>
        </r>
      </text>
    </comment>
    <comment ref="G244" authorId="0" shapeId="0" xr:uid="{77DE4104-D353-4795-9048-13B9A898A7FE}">
      <text>
        <r>
          <rPr>
            <b/>
            <sz val="9"/>
            <color indexed="81"/>
            <rFont val="Tahoma"/>
            <family val="2"/>
          </rPr>
          <t>Kelvin:</t>
        </r>
        <r>
          <rPr>
            <sz val="9"/>
            <color indexed="81"/>
            <rFont val="Tahoma"/>
            <family val="2"/>
          </rPr>
          <t xml:space="preserve">
EBITDA - D&amp;A</t>
        </r>
      </text>
    </comment>
    <comment ref="D260" authorId="0" shapeId="0" xr:uid="{14DA1DBE-D825-4860-82B8-B520FAF47CAC}">
      <text>
        <r>
          <rPr>
            <b/>
            <sz val="9"/>
            <color indexed="81"/>
            <rFont val="Tahoma"/>
            <family val="2"/>
          </rPr>
          <t>Kelvin:</t>
        </r>
        <r>
          <rPr>
            <sz val="9"/>
            <color indexed="81"/>
            <rFont val="Tahoma"/>
            <family val="2"/>
          </rPr>
          <t xml:space="preserve">
opex - depreciation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Kelvin</author>
    <author>Kelvin Oh</author>
  </authors>
  <commentList>
    <comment ref="O59" authorId="0" shapeId="0" xr:uid="{A2163788-42F0-4BE3-A229-4E153E823310}">
      <text>
        <r>
          <rPr>
            <b/>
            <sz val="9"/>
            <color indexed="81"/>
            <rFont val="Tahoma"/>
            <family val="2"/>
          </rPr>
          <t>Kelvin:</t>
        </r>
        <r>
          <rPr>
            <sz val="9"/>
            <color indexed="81"/>
            <rFont val="Tahoma"/>
            <family val="2"/>
          </rPr>
          <t xml:space="preserve">
For TRUE, 25%-40% gross synergies flow to EBITDA. Assumed lower for XLSmart since already leaner than peers</t>
        </r>
      </text>
    </comment>
    <comment ref="C64" authorId="0" shapeId="0" xr:uid="{8FFE2130-8770-41DB-94E7-94CB97F5B41F}">
      <text>
        <r>
          <rPr>
            <b/>
            <sz val="9"/>
            <color indexed="81"/>
            <rFont val="Tahoma"/>
            <family val="2"/>
          </rPr>
          <t>Kelvin:</t>
        </r>
        <r>
          <rPr>
            <sz val="9"/>
            <color indexed="81"/>
            <rFont val="Tahoma"/>
            <family val="2"/>
          </rPr>
          <t xml:space="preserve">
For TRUE, 25%-40% gross synergies flow to EBITDA. Assumed lower for XLSmart since already leaner than peers</t>
        </r>
      </text>
    </comment>
    <comment ref="F84" authorId="1" shapeId="0" xr:uid="{D207AB6F-9D66-4844-B133-F6BECFBEE167}">
      <text>
        <r>
          <rPr>
            <b/>
            <sz val="9"/>
            <color indexed="81"/>
            <rFont val="Tahoma"/>
            <family val="2"/>
          </rPr>
          <t>Kelvin Oh:</t>
        </r>
        <r>
          <rPr>
            <sz val="9"/>
            <color indexed="81"/>
            <rFont val="Tahoma"/>
            <family val="2"/>
          </rPr>
          <t xml:space="preserve">
60% of assumed 350m run rate gross synergies</t>
        </r>
      </text>
    </comment>
    <comment ref="O90" authorId="0" shapeId="0" xr:uid="{914B2EEF-0D79-4092-B360-621DAA1AAB1D}">
      <text>
        <r>
          <rPr>
            <b/>
            <sz val="9"/>
            <color indexed="81"/>
            <rFont val="Tahoma"/>
            <family val="2"/>
          </rPr>
          <t>Kelvin:</t>
        </r>
        <r>
          <rPr>
            <sz val="9"/>
            <color indexed="81"/>
            <rFont val="Tahoma"/>
            <family val="2"/>
          </rPr>
          <t xml:space="preserve">
asssumed same as TRUE</t>
        </r>
      </text>
    </comment>
    <comment ref="C163" authorId="1" shapeId="0" xr:uid="{C2993124-B4A0-4747-88F1-69B1B04D9CB3}">
      <text>
        <r>
          <rPr>
            <b/>
            <sz val="9"/>
            <color indexed="81"/>
            <rFont val="Tahoma"/>
            <family val="2"/>
          </rPr>
          <t>Kelvin Oh:</t>
        </r>
        <r>
          <rPr>
            <sz val="9"/>
            <color indexed="81"/>
            <rFont val="Tahoma"/>
            <family val="2"/>
          </rPr>
          <t xml:space="preserve">
proforma FY24</t>
        </r>
      </text>
    </comment>
    <comment ref="D218" authorId="0" shapeId="0" xr:uid="{01E570E2-89BB-4F1D-B3BF-90C39B1FFB1B}">
      <text>
        <r>
          <rPr>
            <b/>
            <sz val="9"/>
            <color indexed="81"/>
            <rFont val="Tahoma"/>
            <family val="2"/>
          </rPr>
          <t>Kelvin:</t>
        </r>
        <r>
          <rPr>
            <sz val="9"/>
            <color indexed="81"/>
            <rFont val="Tahoma"/>
            <family val="2"/>
          </rPr>
          <t xml:space="preserve">
converted from THB bn to USD m. Guided 250bn but beat</t>
        </r>
      </text>
    </comment>
    <comment ref="D219" authorId="0" shapeId="0" xr:uid="{7A096603-A4A5-431D-8B8F-B394F09E4CB2}">
      <text>
        <r>
          <rPr>
            <b/>
            <sz val="9"/>
            <color indexed="81"/>
            <rFont val="Tahoma"/>
            <family val="2"/>
          </rPr>
          <t>Kelvin:</t>
        </r>
        <r>
          <rPr>
            <sz val="9"/>
            <color indexed="81"/>
            <rFont val="Tahoma"/>
            <family val="2"/>
          </rPr>
          <t xml:space="preserve">
converted from THB bn to USD m. Guided THB 22bn</t>
        </r>
      </text>
    </comment>
    <comment ref="C226" authorId="0" shapeId="0" xr:uid="{57D29CF8-CBBF-401C-BF7C-C7F7B9428815}">
      <text>
        <r>
          <rPr>
            <b/>
            <sz val="9"/>
            <color indexed="81"/>
            <rFont val="Tahoma"/>
            <family val="2"/>
          </rPr>
          <t>Kelvin:</t>
        </r>
        <r>
          <rPr>
            <sz val="9"/>
            <color indexed="81"/>
            <rFont val="Tahoma"/>
            <family val="2"/>
          </rPr>
          <t xml:space="preserve">
3Q24</t>
        </r>
      </text>
    </comment>
    <comment ref="N274" authorId="1" shapeId="0" xr:uid="{E69052AD-3DED-4E70-98E3-F27274230A64}">
      <text>
        <r>
          <rPr>
            <b/>
            <sz val="9"/>
            <color indexed="81"/>
            <rFont val="Tahoma"/>
            <family val="2"/>
          </rPr>
          <t>Kelvin Oh:</t>
        </r>
        <r>
          <rPr>
            <sz val="9"/>
            <color indexed="81"/>
            <rFont val="Tahoma"/>
            <family val="2"/>
          </rPr>
          <t xml:space="preserve">
only 1 quarter worth</t>
        </r>
      </text>
    </comment>
    <comment ref="N275" authorId="1" shapeId="0" xr:uid="{DFE4283B-36B7-4FFF-8A81-7E1225C5888E}">
      <text>
        <r>
          <rPr>
            <b/>
            <sz val="9"/>
            <color indexed="81"/>
            <rFont val="Tahoma"/>
            <family val="2"/>
          </rPr>
          <t>Kelvin Oh:</t>
        </r>
        <r>
          <rPr>
            <sz val="9"/>
            <color indexed="81"/>
            <rFont val="Tahoma"/>
            <family val="2"/>
          </rPr>
          <t xml:space="preserve">
mentioned by IR</t>
        </r>
      </text>
    </comment>
    <comment ref="V276" authorId="1" shapeId="0" xr:uid="{C2AB4764-05E0-4C9D-9323-9C03E5A8073B}">
      <text>
        <r>
          <rPr>
            <b/>
            <sz val="9"/>
            <color indexed="81"/>
            <rFont val="Tahoma"/>
            <family val="2"/>
          </rPr>
          <t>Kelvin Oh:</t>
        </r>
        <r>
          <rPr>
            <sz val="9"/>
            <color indexed="81"/>
            <rFont val="Tahoma"/>
            <family val="2"/>
          </rPr>
          <t xml:space="preserve">
vs Indosat 5.7%</t>
        </r>
      </text>
    </comment>
    <comment ref="Q295" authorId="1" shapeId="0" xr:uid="{585179B2-5F66-4671-838B-4C4FAABCE840}">
      <text>
        <r>
          <rPr>
            <b/>
            <sz val="9"/>
            <color indexed="81"/>
            <rFont val="Tahoma"/>
            <family val="2"/>
          </rPr>
          <t>Kelvin Oh:</t>
        </r>
        <r>
          <rPr>
            <sz val="9"/>
            <color indexed="81"/>
            <rFont val="Tahoma"/>
            <family val="2"/>
          </rPr>
          <t xml:space="preserve">
expect around IDR 1.3tn of spectrum regulatory fees after returning 900MHz. But this will be offset by new spectrum costs </t>
        </r>
      </text>
    </comment>
    <comment ref="O314" authorId="1" shapeId="0" xr:uid="{464CD971-0D80-42C6-B5BB-A3233ABE7D73}">
      <text>
        <r>
          <rPr>
            <b/>
            <sz val="9"/>
            <color indexed="81"/>
            <rFont val="Tahoma"/>
            <family val="2"/>
          </rPr>
          <t>Kelvin Oh:</t>
        </r>
        <r>
          <rPr>
            <sz val="9"/>
            <color indexed="81"/>
            <rFont val="Tahoma"/>
            <family val="2"/>
          </rPr>
          <t xml:space="preserve">
expect higher capex spend than usual run-rate due to integration costs</t>
        </r>
      </text>
    </comment>
    <comment ref="P314" authorId="1" shapeId="0" xr:uid="{95AABE02-FF06-4EA5-9F18-6F55668D1EF5}">
      <text>
        <r>
          <rPr>
            <b/>
            <sz val="9"/>
            <color indexed="81"/>
            <rFont val="Tahoma"/>
            <family val="2"/>
          </rPr>
          <t>Kelvin Oh:</t>
        </r>
        <r>
          <rPr>
            <sz val="9"/>
            <color indexed="81"/>
            <rFont val="Tahoma"/>
            <family val="2"/>
          </rPr>
          <t xml:space="preserve">
expect higher capex spend than usual run-rate due to integration costs</t>
        </r>
      </text>
    </comment>
    <comment ref="P344" authorId="1" shapeId="0" xr:uid="{4ED5590C-E5C9-4B7F-8802-170683478751}">
      <text>
        <r>
          <rPr>
            <b/>
            <sz val="9"/>
            <color indexed="81"/>
            <rFont val="Tahoma"/>
            <family val="2"/>
          </rPr>
          <t>Kelvin Oh:</t>
        </r>
        <r>
          <rPr>
            <sz val="9"/>
            <color indexed="81"/>
            <rFont val="Tahoma"/>
            <family val="2"/>
          </rPr>
          <t xml:space="preserve">
assume mobile starts to repair</t>
        </r>
      </text>
    </comment>
    <comment ref="Q346" authorId="1" shapeId="0" xr:uid="{39DBA038-698B-4D7F-8C72-E319965E2917}">
      <text>
        <r>
          <rPr>
            <b/>
            <sz val="9"/>
            <color indexed="81"/>
            <rFont val="Tahoma"/>
            <family val="2"/>
          </rPr>
          <t>Kelvin Oh:</t>
        </r>
        <r>
          <rPr>
            <sz val="9"/>
            <color indexed="81"/>
            <rFont val="Tahoma"/>
            <family val="2"/>
          </rPr>
          <t xml:space="preserve">
starts to realise full synergies, lower integration costs</t>
        </r>
      </text>
    </comment>
    <comment ref="O347" authorId="1" shapeId="0" xr:uid="{C98F3C6C-215B-409B-83D4-295517C5A5E1}">
      <text>
        <r>
          <rPr>
            <b/>
            <sz val="9"/>
            <color indexed="81"/>
            <rFont val="Tahoma"/>
            <family val="2"/>
          </rPr>
          <t>Kelvin Oh:</t>
        </r>
        <r>
          <rPr>
            <sz val="9"/>
            <color indexed="81"/>
            <rFont val="Tahoma"/>
            <family val="2"/>
          </rPr>
          <t xml:space="preserve">
impacted by integration costs in first two years</t>
        </r>
      </text>
    </comment>
    <comment ref="P347" authorId="1" shapeId="0" xr:uid="{610ED390-F6ED-457D-85EE-5FB073762B88}">
      <text>
        <r>
          <rPr>
            <b/>
            <sz val="9"/>
            <color indexed="81"/>
            <rFont val="Tahoma"/>
            <family val="2"/>
          </rPr>
          <t>Kelvin Oh:</t>
        </r>
        <r>
          <rPr>
            <sz val="9"/>
            <color indexed="81"/>
            <rFont val="Tahoma"/>
            <family val="2"/>
          </rPr>
          <t xml:space="preserve">
impacted by integration costs in first two years</t>
        </r>
      </text>
    </comment>
    <comment ref="O397" authorId="1" shapeId="0" xr:uid="{DDC6F8B6-707C-450A-8659-D52EC98B6AF8}">
      <text>
        <r>
          <rPr>
            <b/>
            <sz val="9"/>
            <color indexed="81"/>
            <rFont val="Tahoma"/>
            <family val="2"/>
          </rPr>
          <t>Kelvin Oh:</t>
        </r>
        <r>
          <rPr>
            <sz val="9"/>
            <color indexed="81"/>
            <rFont val="Tahoma"/>
            <family val="2"/>
          </rPr>
          <t xml:space="preserve">
impacted by weak 1H</t>
        </r>
      </text>
    </comment>
    <comment ref="P397" authorId="1" shapeId="0" xr:uid="{1A7DD519-C774-4D16-A5BF-E59562CFB356}">
      <text>
        <r>
          <rPr>
            <b/>
            <sz val="9"/>
            <color indexed="81"/>
            <rFont val="Tahoma"/>
            <family val="2"/>
          </rPr>
          <t>Kelvin Oh:</t>
        </r>
        <r>
          <rPr>
            <sz val="9"/>
            <color indexed="81"/>
            <rFont val="Tahoma"/>
            <family val="2"/>
          </rPr>
          <t xml:space="preserve">
market repair in 2026 as impact of price rise and rationality flows through</t>
        </r>
      </text>
    </comment>
    <comment ref="O434" authorId="1" shapeId="0" xr:uid="{26FBE7C5-DFAD-4490-9B2D-5D14793B1BCC}">
      <text>
        <r>
          <rPr>
            <b/>
            <sz val="9"/>
            <color indexed="81"/>
            <rFont val="Tahoma"/>
            <family val="2"/>
          </rPr>
          <t>Kelvin Oh:</t>
        </r>
        <r>
          <rPr>
            <sz val="9"/>
            <color indexed="81"/>
            <rFont val="Tahoma"/>
            <family val="2"/>
          </rPr>
          <t xml:space="preserve">
Axiata CEO commenting no dividends in first two years due to capex needs and integration costs</t>
        </r>
      </text>
    </comment>
    <comment ref="P434" authorId="1" shapeId="0" xr:uid="{31FC72DE-163B-491A-9C0A-51088DA3442A}">
      <text>
        <r>
          <rPr>
            <b/>
            <sz val="9"/>
            <color indexed="81"/>
            <rFont val="Tahoma"/>
            <family val="2"/>
          </rPr>
          <t>Kelvin Oh:</t>
        </r>
        <r>
          <rPr>
            <sz val="9"/>
            <color indexed="81"/>
            <rFont val="Tahoma"/>
            <family val="2"/>
          </rPr>
          <t xml:space="preserve">
Axiata CEO commenting no dividends in first two years due to capex needs and integration costs</t>
        </r>
      </text>
    </comment>
    <comment ref="I463" authorId="0" shapeId="0" xr:uid="{DBD01309-0A6A-4A47-8A9F-79EA23F94D7A}">
      <text>
        <r>
          <rPr>
            <b/>
            <sz val="9"/>
            <color indexed="81"/>
            <rFont val="Tahoma"/>
            <family val="2"/>
          </rPr>
          <t>Kelvin:</t>
        </r>
        <r>
          <rPr>
            <sz val="9"/>
            <color indexed="81"/>
            <rFont val="Tahoma"/>
            <family val="2"/>
          </rPr>
          <t xml:space="preserve">
from both AR</t>
        </r>
      </text>
    </comment>
    <comment ref="N463" authorId="0" shapeId="0" xr:uid="{7D3E4B17-787F-420B-9305-170D64279599}">
      <text>
        <r>
          <rPr>
            <b/>
            <sz val="9"/>
            <color indexed="81"/>
            <rFont val="Tahoma"/>
            <family val="2"/>
          </rPr>
          <t>Kelvin:</t>
        </r>
        <r>
          <rPr>
            <sz val="9"/>
            <color indexed="81"/>
            <rFont val="Tahoma"/>
            <family val="2"/>
          </rPr>
          <t xml:space="preserve">
from both AR</t>
        </r>
      </text>
    </comment>
    <comment ref="I464" authorId="0" shapeId="0" xr:uid="{9DA61C8E-F9C0-44FA-8D5D-9868CA7E6F3C}">
      <text>
        <r>
          <rPr>
            <b/>
            <sz val="9"/>
            <color indexed="81"/>
            <rFont val="Tahoma"/>
            <family val="2"/>
          </rPr>
          <t>Kelvin:</t>
        </r>
        <r>
          <rPr>
            <sz val="9"/>
            <color indexed="81"/>
            <rFont val="Tahoma"/>
            <family val="2"/>
          </rPr>
          <t xml:space="preserve">
from both AR</t>
        </r>
      </text>
    </comment>
    <comment ref="N464" authorId="0" shapeId="0" xr:uid="{BFBC5CC8-6FC9-4EC0-BB21-21AA12B2E9FD}">
      <text>
        <r>
          <rPr>
            <b/>
            <sz val="9"/>
            <color indexed="81"/>
            <rFont val="Tahoma"/>
            <family val="2"/>
          </rPr>
          <t>Kelvin:</t>
        </r>
        <r>
          <rPr>
            <sz val="9"/>
            <color indexed="81"/>
            <rFont val="Tahoma"/>
            <family val="2"/>
          </rPr>
          <t xml:space="preserve">
from both AR</t>
        </r>
      </text>
    </comment>
    <comment ref="O474" authorId="1" shapeId="0" xr:uid="{7365C23F-8100-47B7-A33B-0768A603E0B4}">
      <text>
        <r>
          <rPr>
            <b/>
            <sz val="9"/>
            <color indexed="81"/>
            <rFont val="Tahoma"/>
            <family val="2"/>
          </rPr>
          <t>Kelvin Oh:</t>
        </r>
        <r>
          <rPr>
            <sz val="9"/>
            <color indexed="81"/>
            <rFont val="Tahoma"/>
            <family val="2"/>
          </rPr>
          <t xml:space="preserve">
assumed 700MHz liability</t>
        </r>
      </text>
    </comment>
    <comment ref="P474" authorId="1" shapeId="0" xr:uid="{187E469F-5764-4661-8720-47D76F3FCE81}">
      <text>
        <r>
          <rPr>
            <b/>
            <sz val="9"/>
            <color indexed="81"/>
            <rFont val="Tahoma"/>
            <family val="2"/>
          </rPr>
          <t>Kelvin Oh:</t>
        </r>
        <r>
          <rPr>
            <sz val="9"/>
            <color indexed="81"/>
            <rFont val="Tahoma"/>
            <family val="2"/>
          </rPr>
          <t xml:space="preserve">
assumed 2.6GHz liability</t>
        </r>
      </text>
    </comment>
    <comment ref="O494" authorId="1" shapeId="0" xr:uid="{BBD6EAB2-A875-49B9-B9E1-F7331F30C63C}">
      <text>
        <r>
          <rPr>
            <b/>
            <sz val="9"/>
            <color indexed="81"/>
            <rFont val="Tahoma"/>
            <family val="2"/>
          </rPr>
          <t>Kelvin Oh:</t>
        </r>
        <r>
          <rPr>
            <sz val="9"/>
            <color indexed="81"/>
            <rFont val="Tahoma"/>
            <family val="2"/>
          </rPr>
          <t xml:space="preserve">
flat as we assume any remainder levered free cash flow after dividends are paid towards debt</t>
        </r>
      </text>
    </comment>
    <comment ref="P576" authorId="0" shapeId="0" xr:uid="{4C32CF38-AD76-4EB1-85D2-19199CF736D9}">
      <text>
        <r>
          <rPr>
            <b/>
            <sz val="9"/>
            <color indexed="81"/>
            <rFont val="Tahoma"/>
            <family val="2"/>
          </rPr>
          <t>Kelvin:</t>
        </r>
        <r>
          <rPr>
            <sz val="9"/>
            <color indexed="81"/>
            <rFont val="Tahoma"/>
            <family val="2"/>
          </rPr>
          <t xml:space="preserve">
lower because recognise 100% of Smartfren vs 50% in 2025. Smartfren lower margin</t>
        </r>
      </text>
    </comment>
    <comment ref="N720" authorId="0" shapeId="0" xr:uid="{33084065-BC93-4E3F-95F8-30B43F13CC29}">
      <text>
        <r>
          <rPr>
            <b/>
            <sz val="9"/>
            <color indexed="81"/>
            <rFont val="Tahoma"/>
            <family val="2"/>
          </rPr>
          <t>Kelvin:</t>
        </r>
        <r>
          <rPr>
            <sz val="9"/>
            <color indexed="81"/>
            <rFont val="Tahoma"/>
            <family val="2"/>
          </rPr>
          <t xml:space="preserve">
high Operations, maintenance costs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Kelvin</author>
    <author>Kelvin Oh</author>
  </authors>
  <commentList>
    <comment ref="C8" authorId="0" shapeId="0" xr:uid="{091F9B75-591D-4FCF-97C8-C163033F8918}">
      <text>
        <r>
          <rPr>
            <b/>
            <sz val="9"/>
            <color indexed="81"/>
            <rFont val="Tahoma"/>
            <family val="2"/>
          </rPr>
          <t>Kelvin:</t>
        </r>
        <r>
          <rPr>
            <sz val="9"/>
            <color indexed="81"/>
            <rFont val="Tahoma"/>
            <family val="2"/>
          </rPr>
          <t xml:space="preserve">
https://the-mobile-network.com/2023/03/how-to-make-a-successful-merger/
</t>
        </r>
      </text>
    </comment>
    <comment ref="C9" authorId="0" shapeId="0" xr:uid="{56D48023-2FB4-47F2-9745-D5DC562F3045}">
      <text>
        <r>
          <rPr>
            <b/>
            <sz val="9"/>
            <color indexed="81"/>
            <rFont val="Tahoma"/>
            <family val="2"/>
          </rPr>
          <t>Kelvin:</t>
        </r>
        <r>
          <rPr>
            <sz val="9"/>
            <color indexed="81"/>
            <rFont val="Tahoma"/>
            <family val="2"/>
          </rPr>
          <t xml:space="preserve">
67k sites combined, between 20-3% to be decomissioned.</t>
        </r>
      </text>
    </comment>
    <comment ref="D9" authorId="0" shapeId="0" xr:uid="{7840AB71-E9E0-43C8-B4D1-4DA32AB744BF}">
      <text>
        <r>
          <rPr>
            <b/>
            <sz val="9"/>
            <color indexed="81"/>
            <rFont val="Tahoma"/>
            <family val="2"/>
          </rPr>
          <t>Kelvin:</t>
        </r>
        <r>
          <rPr>
            <sz val="9"/>
            <color indexed="81"/>
            <rFont val="Tahoma"/>
            <family val="2"/>
          </rPr>
          <t xml:space="preserve">
67k sites combined, between 20-3% to be decomissioned.</t>
        </r>
      </text>
    </comment>
    <comment ref="R22" authorId="0" shapeId="0" xr:uid="{7B74751A-82C9-4FDA-B068-65786EB9BA20}">
      <text>
        <r>
          <rPr>
            <b/>
            <sz val="9"/>
            <color indexed="81"/>
            <rFont val="Tahoma"/>
            <family val="2"/>
          </rPr>
          <t>Kelvin:</t>
        </r>
        <r>
          <rPr>
            <sz val="9"/>
            <color indexed="81"/>
            <rFont val="Tahoma"/>
            <family val="2"/>
          </rPr>
          <t xml:space="preserve">
9M21</t>
        </r>
      </text>
    </comment>
    <comment ref="E26" authorId="0" shapeId="0" xr:uid="{1B7F910B-B673-4520-8676-331B5CEAF15D}">
      <text>
        <r>
          <rPr>
            <b/>
            <sz val="9"/>
            <color indexed="81"/>
            <rFont val="Tahoma"/>
            <family val="2"/>
          </rPr>
          <t>Kelvin:</t>
        </r>
        <r>
          <rPr>
            <sz val="9"/>
            <color indexed="81"/>
            <rFont val="Tahoma"/>
            <family val="2"/>
          </rPr>
          <t xml:space="preserve">
indosat + H3I. Estimated for H3I</t>
        </r>
      </text>
    </comment>
    <comment ref="Q35" authorId="1" shapeId="0" xr:uid="{2BFF2D71-834F-4521-8769-89DD817B45E4}">
      <text>
        <r>
          <rPr>
            <b/>
            <sz val="9"/>
            <color indexed="81"/>
            <rFont val="Tahoma"/>
            <family val="2"/>
          </rPr>
          <t>Kelvin Oh:</t>
        </r>
        <r>
          <rPr>
            <sz val="9"/>
            <color indexed="81"/>
            <rFont val="Tahoma"/>
            <family val="2"/>
          </rPr>
          <t xml:space="preserve">
likely a timing issue as they delay lease payment pending the merger?</t>
        </r>
      </text>
    </comment>
    <comment ref="C60" authorId="0" shapeId="0" xr:uid="{60461055-3456-43A8-BB3B-4096BBBF329D}">
      <text>
        <r>
          <rPr>
            <b/>
            <sz val="9"/>
            <color indexed="81"/>
            <rFont val="Tahoma"/>
            <family val="2"/>
          </rPr>
          <t>Kelvin:</t>
        </r>
        <r>
          <rPr>
            <sz val="9"/>
            <color indexed="81"/>
            <rFont val="Tahoma"/>
            <family val="2"/>
          </rPr>
          <t xml:space="preserve">
Guided during CMD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<sst xmlns="http://schemas.openxmlformats.org/spreadsheetml/2006/main" count="3557" uniqueCount="1516">
  <si>
    <t>% change</t>
  </si>
  <si>
    <t>Consensus</t>
  </si>
  <si>
    <t>EBITDA</t>
  </si>
  <si>
    <t>NM</t>
  </si>
  <si>
    <t>EBITDA margin</t>
  </si>
  <si>
    <t>Revenues</t>
  </si>
  <si>
    <t>Total</t>
  </si>
  <si>
    <t>Mobile Market share</t>
  </si>
  <si>
    <t>Mobile Subscribers, 000s</t>
  </si>
  <si>
    <t>% growth</t>
  </si>
  <si>
    <t>Share of Net additions</t>
  </si>
  <si>
    <t>Penetration</t>
  </si>
  <si>
    <t>Mobile net additions, 000s</t>
  </si>
  <si>
    <t>Split pre-pay/post-pay</t>
  </si>
  <si>
    <t>Postpay</t>
  </si>
  <si>
    <t xml:space="preserve">Prepay </t>
  </si>
  <si>
    <t>Postpay %</t>
  </si>
  <si>
    <t>Prepay %</t>
  </si>
  <si>
    <t>Revs</t>
  </si>
  <si>
    <t>Postpay Subscribers, 000s</t>
  </si>
  <si>
    <t>Subscribers - Jan 1st</t>
  </si>
  <si>
    <t>Net adds</t>
  </si>
  <si>
    <t>Subscribers - Dec 31st</t>
  </si>
  <si>
    <t>Average subscribers</t>
  </si>
  <si>
    <t>2010E</t>
  </si>
  <si>
    <t>2011E</t>
  </si>
  <si>
    <t>2012E</t>
  </si>
  <si>
    <t>2013E</t>
  </si>
  <si>
    <t>2014E</t>
  </si>
  <si>
    <t>2015E</t>
  </si>
  <si>
    <t>Prepay Subscribers, mn</t>
  </si>
  <si>
    <t>MOU</t>
  </si>
  <si>
    <t>YOY Change</t>
  </si>
  <si>
    <t>Total Minutes (million, estimate)</t>
  </si>
  <si>
    <t>Mobile Churn</t>
  </si>
  <si>
    <t>Churn</t>
  </si>
  <si>
    <t>Disconnections (000s)</t>
  </si>
  <si>
    <t>Net Additions</t>
  </si>
  <si>
    <t>Gross Additions (000s)</t>
  </si>
  <si>
    <t>Change</t>
  </si>
  <si>
    <t>ARPU</t>
  </si>
  <si>
    <t>Service Revenues</t>
  </si>
  <si>
    <t>Equipment revenues/costs</t>
  </si>
  <si>
    <t>Equipment revenues</t>
  </si>
  <si>
    <t>Population</t>
  </si>
  <si>
    <t>No of lines (000s)</t>
  </si>
  <si>
    <t>Market share</t>
  </si>
  <si>
    <t>ARPU/sub/month</t>
  </si>
  <si>
    <t>Broadband Revenues</t>
  </si>
  <si>
    <t>Market DSL subs</t>
  </si>
  <si>
    <t>Singtel ADSL subs</t>
  </si>
  <si>
    <t>Singtel Market share DSL</t>
  </si>
  <si>
    <t>Market Cable modem subs</t>
  </si>
  <si>
    <t>Broadband as % of subscriber lines</t>
  </si>
  <si>
    <t>Market Broadband lines</t>
  </si>
  <si>
    <t>Starhub All Broadband subs</t>
  </si>
  <si>
    <t>As % of BB lines</t>
  </si>
  <si>
    <t>pp change</t>
  </si>
  <si>
    <t>Total Cable-modem Revs</t>
  </si>
  <si>
    <t>RGU Analysis</t>
  </si>
  <si>
    <t>Total Wireless subs</t>
  </si>
  <si>
    <t>Total Cable-TV subs</t>
  </si>
  <si>
    <t>Total BB subs</t>
  </si>
  <si>
    <t xml:space="preserve">Total </t>
  </si>
  <si>
    <t>Growth</t>
  </si>
  <si>
    <t>Revs/RGU</t>
  </si>
  <si>
    <t>Cost breakdown</t>
  </si>
  <si>
    <t>As % of sales</t>
  </si>
  <si>
    <t>Growth %</t>
  </si>
  <si>
    <t>Labour Cost</t>
  </si>
  <si>
    <t>Marketing and promotion</t>
  </si>
  <si>
    <t>Traffic Expenses</t>
  </si>
  <si>
    <t>Equipment Costs</t>
  </si>
  <si>
    <t>per gross add</t>
  </si>
  <si>
    <t>% of equipment sales</t>
  </si>
  <si>
    <t>Other Costs</t>
  </si>
  <si>
    <t xml:space="preserve">Total Operating costs </t>
  </si>
  <si>
    <t>EBIT</t>
  </si>
  <si>
    <t>EBIT margin %</t>
  </si>
  <si>
    <t>Data as % of serv revs</t>
  </si>
  <si>
    <t>Data</t>
  </si>
  <si>
    <t>Mobile revenues</t>
  </si>
  <si>
    <t>Prepay service revenues</t>
  </si>
  <si>
    <t>Postpay service revenues</t>
  </si>
  <si>
    <t>Pay-TV Revenues</t>
  </si>
  <si>
    <t>Broadband revenues</t>
  </si>
  <si>
    <t>Fixed network revenues</t>
  </si>
  <si>
    <t>Operating Revenues</t>
  </si>
  <si>
    <t>Revenue growth</t>
  </si>
  <si>
    <t>Net Revenues</t>
  </si>
  <si>
    <t>EBITDA margin % on service revs</t>
  </si>
  <si>
    <t>Depreciation</t>
  </si>
  <si>
    <t xml:space="preserve"> Operating Revenues</t>
  </si>
  <si>
    <t>Amortisation</t>
  </si>
  <si>
    <t>Other revenues</t>
  </si>
  <si>
    <t>Depreciation/Capex</t>
  </si>
  <si>
    <t>Interest expense (income)/other</t>
  </si>
  <si>
    <t>Tax</t>
  </si>
  <si>
    <t>Tax Rate</t>
  </si>
  <si>
    <t>Net Income</t>
  </si>
  <si>
    <t>Reported EPS</t>
  </si>
  <si>
    <t>OpCo Capex</t>
  </si>
  <si>
    <t>Est UnderlyingCapex</t>
  </si>
  <si>
    <t>Total Capex</t>
  </si>
  <si>
    <t>Capex as a % of sales</t>
  </si>
  <si>
    <t>GFA</t>
  </si>
  <si>
    <t>Acc Depcn</t>
  </si>
  <si>
    <t>NFA</t>
  </si>
  <si>
    <t>Finance expenses</t>
  </si>
  <si>
    <t>Pretax</t>
  </si>
  <si>
    <t>Taxation</t>
  </si>
  <si>
    <t>Net income</t>
  </si>
  <si>
    <t>Cash and cash equivalents</t>
  </si>
  <si>
    <t>Inventory</t>
  </si>
  <si>
    <t xml:space="preserve">Receivables </t>
  </si>
  <si>
    <t>Short term investments</t>
  </si>
  <si>
    <t>Pre-payments and other receivables</t>
  </si>
  <si>
    <t>Other current assets</t>
  </si>
  <si>
    <t>Current assets</t>
  </si>
  <si>
    <t>Net PP&amp;E</t>
  </si>
  <si>
    <t>Goodwill</t>
  </si>
  <si>
    <t>Intangibles</t>
  </si>
  <si>
    <t>Non-current assets</t>
  </si>
  <si>
    <t>Total assets</t>
  </si>
  <si>
    <t>Trade payables</t>
  </si>
  <si>
    <t>Other payables</t>
  </si>
  <si>
    <t>Related Party balances</t>
  </si>
  <si>
    <t>Provisions</t>
  </si>
  <si>
    <t>Current liabilites</t>
  </si>
  <si>
    <t>Long-term debt</t>
  </si>
  <si>
    <t>Deferred tax liabilities</t>
  </si>
  <si>
    <t>Total Liabilities</t>
  </si>
  <si>
    <t>Minority Interests</t>
  </si>
  <si>
    <t>Share capital and premium</t>
  </si>
  <si>
    <t>Other Reserves</t>
  </si>
  <si>
    <t>Retained Earnings</t>
  </si>
  <si>
    <t>Total Equity</t>
  </si>
  <si>
    <t>Total liabilities and book equity</t>
  </si>
  <si>
    <t>Check</t>
  </si>
  <si>
    <t>Change in net debt</t>
  </si>
  <si>
    <t>Cash flow statement</t>
  </si>
  <si>
    <t>OpFCF</t>
  </si>
  <si>
    <t>Less: Interest payments</t>
  </si>
  <si>
    <t>Less: Tax</t>
  </si>
  <si>
    <t>Less: Working capital movements</t>
  </si>
  <si>
    <t>Less: Restructuring payments</t>
  </si>
  <si>
    <t>Less: Minority dividends paid</t>
  </si>
  <si>
    <t>Less: Dividends paid</t>
  </si>
  <si>
    <t>Less: Share buyback/ special dividend</t>
  </si>
  <si>
    <t>Plus: M&amp;A/ other</t>
  </si>
  <si>
    <t>Net debt</t>
  </si>
  <si>
    <t>ROCE</t>
  </si>
  <si>
    <t>Capital Employed</t>
  </si>
  <si>
    <t>EBIAT</t>
  </si>
  <si>
    <t>as % of revenue</t>
  </si>
  <si>
    <t>Less: extraordinary depreciation</t>
  </si>
  <si>
    <t>Clean depreciation</t>
  </si>
  <si>
    <t>Av. asset life</t>
  </si>
  <si>
    <t>Gross PP&amp;E</t>
  </si>
  <si>
    <t>Acc. Depreciation</t>
  </si>
  <si>
    <t>Acquisitions</t>
  </si>
  <si>
    <t>Capex/ depreciation</t>
  </si>
  <si>
    <t>Capex/sales</t>
  </si>
  <si>
    <t>Less: extraordinary amortisation</t>
  </si>
  <si>
    <t>Clean amortisation</t>
  </si>
  <si>
    <t>Average asset life</t>
  </si>
  <si>
    <t>Gross intangible assets</t>
  </si>
  <si>
    <t>Accumulated amortisation</t>
  </si>
  <si>
    <t>Net intangible assets</t>
  </si>
  <si>
    <t>Goodwill Amortisation</t>
  </si>
  <si>
    <t>Net goodwill</t>
  </si>
  <si>
    <t>Investment Income</t>
  </si>
  <si>
    <t>Average interest rate on cash</t>
  </si>
  <si>
    <t>Interest expense</t>
  </si>
  <si>
    <t>Currency/Exchange Losses</t>
  </si>
  <si>
    <t>Gross debt</t>
  </si>
  <si>
    <t>Cash as % of sales</t>
  </si>
  <si>
    <t>Share of Results of associates</t>
  </si>
  <si>
    <t>Associate (Income Statement)</t>
  </si>
  <si>
    <t>Investment in Associates (Balance Sheet)</t>
  </si>
  <si>
    <t>Working capital analysis</t>
  </si>
  <si>
    <t>% of sales</t>
  </si>
  <si>
    <t>Change in inventory</t>
  </si>
  <si>
    <t>Change in receivables</t>
  </si>
  <si>
    <t>Trade and other payables</t>
  </si>
  <si>
    <t>Change in payables</t>
  </si>
  <si>
    <t>Change in Provisions</t>
  </si>
  <si>
    <t>Related party balances</t>
  </si>
  <si>
    <t>Change in current tax liabilities</t>
  </si>
  <si>
    <t>Change in working capital</t>
  </si>
  <si>
    <t>Short term Investments</t>
  </si>
  <si>
    <t>Deferred tax Liabilities</t>
  </si>
  <si>
    <t xml:space="preserve">Deferred Tax Liabilities </t>
  </si>
  <si>
    <t>Provision</t>
  </si>
  <si>
    <t>Other Long-term liabilities</t>
  </si>
  <si>
    <t>% sales</t>
  </si>
  <si>
    <t>Group Profit Before Tax</t>
  </si>
  <si>
    <t>Group Taxation Charge</t>
  </si>
  <si>
    <t>Effective Tax rate</t>
  </si>
  <si>
    <t>Minority interests</t>
  </si>
  <si>
    <t>Ordinary shares and share premium</t>
  </si>
  <si>
    <t>Average shares</t>
  </si>
  <si>
    <t>Hedging Reserves</t>
  </si>
  <si>
    <t>Other reserves</t>
  </si>
  <si>
    <t>Dividends</t>
  </si>
  <si>
    <t>Other</t>
  </si>
  <si>
    <t>Exceptional cash-flow items</t>
  </si>
  <si>
    <t>Other financial assets</t>
  </si>
  <si>
    <t>Other: Disposals of assets etc..</t>
  </si>
  <si>
    <t>Issue of shares</t>
  </si>
  <si>
    <t>Exceptional cash flow items</t>
  </si>
  <si>
    <t>Cash Flow</t>
  </si>
  <si>
    <t>Less: interest</t>
  </si>
  <si>
    <t>Less: tax</t>
  </si>
  <si>
    <t>Less: Other</t>
  </si>
  <si>
    <t>Less dividend</t>
  </si>
  <si>
    <t>Capital increase</t>
  </si>
  <si>
    <t>Less: change in WC</t>
  </si>
  <si>
    <t>(Net debt)/Cash</t>
  </si>
  <si>
    <t xml:space="preserve">Clean Earnings </t>
  </si>
  <si>
    <t>less Depreciation</t>
  </si>
  <si>
    <t>less interest</t>
  </si>
  <si>
    <t>Add associates</t>
  </si>
  <si>
    <t>less clean tax</t>
  </si>
  <si>
    <t>less minority interests</t>
  </si>
  <si>
    <t>Clean net income estimate</t>
  </si>
  <si>
    <t>Op FCF</t>
  </si>
  <si>
    <t>ROIC</t>
  </si>
  <si>
    <t>Clean earnings</t>
  </si>
  <si>
    <t>Add: depreciation</t>
  </si>
  <si>
    <t>Add: amortisation</t>
  </si>
  <si>
    <t>Less: capex</t>
  </si>
  <si>
    <t>Add: P&amp;L minority interest</t>
  </si>
  <si>
    <t>Clean EFCF</t>
  </si>
  <si>
    <t>Clean EFCF/ share</t>
  </si>
  <si>
    <t>Subscribers (000s)</t>
  </si>
  <si>
    <t>Share of net adds</t>
  </si>
  <si>
    <t>Market subscribers</t>
  </si>
  <si>
    <t>Penetration added</t>
  </si>
  <si>
    <t>Population (000s)</t>
  </si>
  <si>
    <t>Average subs</t>
  </si>
  <si>
    <t>ARPU (S$)</t>
  </si>
  <si>
    <t>Other revenues / Adjustments</t>
  </si>
  <si>
    <t>% Change</t>
  </si>
  <si>
    <t>EBITDA margin on service revs</t>
  </si>
  <si>
    <t>Reported EBITDA growth</t>
  </si>
  <si>
    <t>Opex</t>
  </si>
  <si>
    <t>Opex/sub</t>
  </si>
  <si>
    <t>Capex</t>
  </si>
  <si>
    <t>Capex/sub</t>
  </si>
  <si>
    <t>FCF</t>
  </si>
  <si>
    <t>WACC</t>
  </si>
  <si>
    <t>EV</t>
  </si>
  <si>
    <t xml:space="preserve">Average MoU </t>
  </si>
  <si>
    <t>Revenue Breakdown</t>
  </si>
  <si>
    <t>Voice revenues</t>
  </si>
  <si>
    <t>Messaging</t>
  </si>
  <si>
    <t>VAS</t>
  </si>
  <si>
    <t>Operating and Maintenance</t>
  </si>
  <si>
    <t>Service revenue</t>
  </si>
  <si>
    <t>Margin</t>
  </si>
  <si>
    <t>ARPU by stream</t>
  </si>
  <si>
    <t xml:space="preserve">Voice </t>
  </si>
  <si>
    <t>Internet</t>
  </si>
  <si>
    <t>Months</t>
  </si>
  <si>
    <t>Total Subscribers</t>
  </si>
  <si>
    <t xml:space="preserve">ARPU growth </t>
  </si>
  <si>
    <t>Mobile Internet</t>
  </si>
  <si>
    <t>Price/GB</t>
  </si>
  <si>
    <t xml:space="preserve">YoY </t>
  </si>
  <si>
    <t>QoQ</t>
  </si>
  <si>
    <t>Mobile Internet Subscribers</t>
  </si>
  <si>
    <t>Usage/ MI Subscriber (GB)</t>
  </si>
  <si>
    <t>Smartphones</t>
  </si>
  <si>
    <t>% of base</t>
  </si>
  <si>
    <t>Other costs</t>
  </si>
  <si>
    <t>Calculated EBITDA</t>
  </si>
  <si>
    <t>Licences</t>
  </si>
  <si>
    <t>Pay-out ratio</t>
  </si>
  <si>
    <t>Valuation</t>
  </si>
  <si>
    <t>Number of shares, Savs</t>
  </si>
  <si>
    <t>Average number of shares, Savs</t>
  </si>
  <si>
    <t>Consolidated Net debt</t>
  </si>
  <si>
    <t>Other financial liabilities</t>
  </si>
  <si>
    <t>Associates (for EV calc)</t>
  </si>
  <si>
    <t>Minorities (for EV calc)</t>
  </si>
  <si>
    <t>Cumulative dividends</t>
  </si>
  <si>
    <t>Tax credit</t>
  </si>
  <si>
    <t>DPS</t>
  </si>
  <si>
    <t>Clean EPS</t>
  </si>
  <si>
    <t>Group forecasts</t>
  </si>
  <si>
    <t>Consolidated Revenues</t>
  </si>
  <si>
    <t>Consolidated EBITDA</t>
  </si>
  <si>
    <t>Consolidated Depreciation</t>
  </si>
  <si>
    <t>Consolidated Amortisation</t>
  </si>
  <si>
    <t>Consolidated Capex</t>
  </si>
  <si>
    <t>Consolidated OpFCF</t>
  </si>
  <si>
    <t>Consolidated FCF (OpFCF * (1-tax rate))</t>
  </si>
  <si>
    <t>Minority interests (b/s)</t>
  </si>
  <si>
    <t>Book equity</t>
  </si>
  <si>
    <t>Net interest</t>
  </si>
  <si>
    <t>Reported earnings</t>
  </si>
  <si>
    <t>Equity free cash flow</t>
  </si>
  <si>
    <t>Employees</t>
  </si>
  <si>
    <t>Net fixed assets</t>
  </si>
  <si>
    <t>Group Consolidated SACs</t>
  </si>
  <si>
    <t>Group consolidated SRCs</t>
  </si>
  <si>
    <t>Group Prop. SACs</t>
  </si>
  <si>
    <t>Group Prop. SRCs</t>
  </si>
  <si>
    <t>Prop. Revenues</t>
  </si>
  <si>
    <t>Prop. EBITDA</t>
  </si>
  <si>
    <t>Prop. Depreciation</t>
  </si>
  <si>
    <t>Prop. Amortisation</t>
  </si>
  <si>
    <t>Prop. Capex</t>
  </si>
  <si>
    <t>Prop. OpFCF</t>
  </si>
  <si>
    <t>Prop. FCF (OpFCF * (1-tax rate))</t>
  </si>
  <si>
    <t>Prop. Net debt</t>
  </si>
  <si>
    <t>Consolidated service revenue</t>
  </si>
  <si>
    <t>Prop. Service revenue</t>
  </si>
  <si>
    <t>Prop. Subscribers</t>
  </si>
  <si>
    <t>Prop. Pre-pay subs</t>
  </si>
  <si>
    <t>Prop. Contract subs</t>
  </si>
  <si>
    <t>Consolidated subscribers</t>
  </si>
  <si>
    <t>Consolidated Contract subs</t>
  </si>
  <si>
    <t>Consolidated pre-pay subs</t>
  </si>
  <si>
    <t>Prop. Pops</t>
  </si>
  <si>
    <t>Consolidated Pops</t>
  </si>
  <si>
    <t>Domestic Pops</t>
  </si>
  <si>
    <t>Domestic prepay subs</t>
  </si>
  <si>
    <t>Domestic contract subs</t>
  </si>
  <si>
    <t>Domestic mkt share</t>
  </si>
  <si>
    <t>Domestic voice ARPU</t>
  </si>
  <si>
    <t>Domestic data ARPU</t>
  </si>
  <si>
    <t>Domestic MOU</t>
  </si>
  <si>
    <t>Domestic revenue</t>
  </si>
  <si>
    <t>Domestic service revenue</t>
  </si>
  <si>
    <t>Domestic EBITDA</t>
  </si>
  <si>
    <t>Domestic capex</t>
  </si>
  <si>
    <t>Domestic FCF</t>
  </si>
  <si>
    <t>Cumulative Gp consolidated capex</t>
  </si>
  <si>
    <t>Cumulative Gp prop. capex</t>
  </si>
  <si>
    <t>Debt analysis</t>
  </si>
  <si>
    <t>Public debt EOY balance</t>
  </si>
  <si>
    <t>Public debt repayment</t>
  </si>
  <si>
    <t>Interest on public debt</t>
  </si>
  <si>
    <t>Average interest rate on public debt</t>
  </si>
  <si>
    <t>Maturing non-public debt EOY balance</t>
  </si>
  <si>
    <t>Maturing non-public debt repayment</t>
  </si>
  <si>
    <t>Interest rate on maturing non-public debt</t>
  </si>
  <si>
    <t>Bank interest on maturing non-public debt</t>
  </si>
  <si>
    <t>Other debt EOY balance</t>
  </si>
  <si>
    <t>Interest rate on other debt</t>
  </si>
  <si>
    <t>Interest on other debt</t>
  </si>
  <si>
    <t>Gross cash &amp; STI</t>
  </si>
  <si>
    <t>Interest rate on cash</t>
  </si>
  <si>
    <t>Interest income</t>
  </si>
  <si>
    <t>FFO (see note)</t>
  </si>
  <si>
    <t>Cap ex</t>
  </si>
  <si>
    <t>Debt amortisation</t>
  </si>
  <si>
    <t>Gross interest expense</t>
  </si>
  <si>
    <t>Net interest expense</t>
  </si>
  <si>
    <t>Operating leases</t>
  </si>
  <si>
    <t>Ongoing interest on pension deficit</t>
  </si>
  <si>
    <t>Additional pension contributions to civil servants</t>
  </si>
  <si>
    <t>Adjusted EBITDA</t>
  </si>
  <si>
    <t>Operating leases x 7</t>
  </si>
  <si>
    <t>Unfunded pension liabilities to civil servants</t>
  </si>
  <si>
    <t>Unfunded pension liabilities</t>
  </si>
  <si>
    <t>Debt in joint ventures</t>
  </si>
  <si>
    <t>Guarantees</t>
  </si>
  <si>
    <t>Adjusted gross debt</t>
  </si>
  <si>
    <t>Adjusted Net debt</t>
  </si>
  <si>
    <t>Maturing debt</t>
  </si>
  <si>
    <t>Cash flow</t>
  </si>
  <si>
    <t>Less: Tax paid</t>
  </si>
  <si>
    <t>Less: Change in WC</t>
  </si>
  <si>
    <t>Less: Disposals/acquis.</t>
  </si>
  <si>
    <t>EFCF adjustments</t>
  </si>
  <si>
    <t>Adj 1</t>
  </si>
  <si>
    <t>Adj 2</t>
  </si>
  <si>
    <t>Adj 3</t>
  </si>
  <si>
    <t>Adj 4</t>
  </si>
  <si>
    <t>Adj 5</t>
  </si>
  <si>
    <t>Adj 6</t>
  </si>
  <si>
    <t>Divisional</t>
  </si>
  <si>
    <t>Sum of the parts</t>
  </si>
  <si>
    <t>Mobile businesses</t>
  </si>
  <si>
    <t>Operator subs</t>
  </si>
  <si>
    <t>Mkt Share</t>
  </si>
  <si>
    <t>Total revenue</t>
  </si>
  <si>
    <t>MOU (incoming and outgoing)</t>
  </si>
  <si>
    <t>Data ARPU</t>
  </si>
  <si>
    <t>Share Price</t>
  </si>
  <si>
    <t>DCF</t>
  </si>
  <si>
    <t>Adjusted tax</t>
  </si>
  <si>
    <t>Year</t>
  </si>
  <si>
    <t>Discount factor</t>
  </si>
  <si>
    <t>Discounted cash Flow</t>
  </si>
  <si>
    <t>Terminal value</t>
  </si>
  <si>
    <t>EV (US$ m)</t>
  </si>
  <si>
    <t>DCF Value</t>
  </si>
  <si>
    <t>Current price</t>
  </si>
  <si>
    <t>Upside/downside</t>
  </si>
  <si>
    <t>Implied EV/EBITDA</t>
  </si>
  <si>
    <t>Implied FCF Yield</t>
  </si>
  <si>
    <t>Rf</t>
  </si>
  <si>
    <t>Tax rate</t>
  </si>
  <si>
    <t>Equity premium</t>
  </si>
  <si>
    <t>Debt Premium</t>
  </si>
  <si>
    <t>Cost of Equity</t>
  </si>
  <si>
    <t>Debt/Equity</t>
  </si>
  <si>
    <t>Terminal growth</t>
  </si>
  <si>
    <t>Cumulative Divs</t>
  </si>
  <si>
    <t>Serv revs</t>
  </si>
  <si>
    <t>Reported EBITDA</t>
  </si>
  <si>
    <t>Licence fees</t>
  </si>
  <si>
    <t>Net profit</t>
  </si>
  <si>
    <t>Earnings</t>
  </si>
  <si>
    <t>Forecasts</t>
  </si>
  <si>
    <t>Actual</t>
  </si>
  <si>
    <t>VOICE</t>
  </si>
  <si>
    <t>Q1 13</t>
  </si>
  <si>
    <t>Q2 13</t>
  </si>
  <si>
    <t>Q3 13</t>
  </si>
  <si>
    <t>Q4 13</t>
  </si>
  <si>
    <t>Q1 14</t>
  </si>
  <si>
    <t>Q2 14</t>
  </si>
  <si>
    <t>Q3 14</t>
  </si>
  <si>
    <t>Q4 14</t>
  </si>
  <si>
    <t>Q1 15</t>
  </si>
  <si>
    <t>Q2 15</t>
  </si>
  <si>
    <t>Q3 15</t>
  </si>
  <si>
    <t>Q4 15</t>
  </si>
  <si>
    <t>Q1 16</t>
  </si>
  <si>
    <t>Q2 16</t>
  </si>
  <si>
    <t>Pricing</t>
  </si>
  <si>
    <t>MoU</t>
  </si>
  <si>
    <t>Subscribers</t>
  </si>
  <si>
    <t>Dividend</t>
  </si>
  <si>
    <t>Voice</t>
  </si>
  <si>
    <t>Service revenues</t>
  </si>
  <si>
    <t>DATA</t>
  </si>
  <si>
    <t>Q3 16</t>
  </si>
  <si>
    <t>Est. Traffic</t>
  </si>
  <si>
    <t>Est. Pricing</t>
  </si>
  <si>
    <t xml:space="preserve">Traffic </t>
  </si>
  <si>
    <t xml:space="preserve">Pricing </t>
  </si>
  <si>
    <t>Internet subs</t>
  </si>
  <si>
    <t>Q4 16</t>
  </si>
  <si>
    <t xml:space="preserve">Data </t>
  </si>
  <si>
    <t>SMS</t>
  </si>
  <si>
    <t>Equipment</t>
  </si>
  <si>
    <t>Margins</t>
  </si>
  <si>
    <t>Service rev margins</t>
  </si>
  <si>
    <t>Service revs</t>
  </si>
  <si>
    <t>revenue</t>
  </si>
  <si>
    <t>Q1 12</t>
  </si>
  <si>
    <t>Q2 12</t>
  </si>
  <si>
    <t>Q3 12</t>
  </si>
  <si>
    <t>Q4 12</t>
  </si>
  <si>
    <t>Population (millions)</t>
  </si>
  <si>
    <t>General</t>
  </si>
  <si>
    <t>Total Revenue</t>
  </si>
  <si>
    <t>Service Revenue</t>
  </si>
  <si>
    <t>Capex/Depreciation</t>
  </si>
  <si>
    <t>Cellular</t>
  </si>
  <si>
    <t xml:space="preserve">Service Revenue </t>
  </si>
  <si>
    <t>Service Revenue ex-IC</t>
  </si>
  <si>
    <t>MoU (Outgoing)</t>
  </si>
  <si>
    <t>Total minutes</t>
  </si>
  <si>
    <t xml:space="preserve">Data subscribers </t>
  </si>
  <si>
    <t>Smartphone penetration</t>
  </si>
  <si>
    <t>Data as % of Sales</t>
  </si>
  <si>
    <t>Mobile internet as % of sales</t>
  </si>
  <si>
    <t>Implied voice revs</t>
  </si>
  <si>
    <t>Implied data revs</t>
  </si>
  <si>
    <t>Implied MI revs</t>
  </si>
  <si>
    <t>Voice ARPU</t>
  </si>
  <si>
    <t>Mobile internet ARPU</t>
  </si>
  <si>
    <t>Voice yield</t>
  </si>
  <si>
    <t xml:space="preserve">Data yield </t>
  </si>
  <si>
    <t>Mobile internet yield</t>
  </si>
  <si>
    <t>2G BTS</t>
  </si>
  <si>
    <t>3G BTS</t>
  </si>
  <si>
    <t>4G BTS</t>
  </si>
  <si>
    <t>BTS</t>
  </si>
  <si>
    <t>Towers owned</t>
  </si>
  <si>
    <t>Broadband and Cable</t>
  </si>
  <si>
    <t>Homes Passed</t>
  </si>
  <si>
    <t>Broadband ARPU</t>
  </si>
  <si>
    <t>Fibre Subscribers</t>
  </si>
  <si>
    <t>Voice subs</t>
  </si>
  <si>
    <t>IPTV subs</t>
  </si>
  <si>
    <t>VoIP Subs</t>
  </si>
  <si>
    <t>Cable Subs</t>
  </si>
  <si>
    <t>Data revenues</t>
  </si>
  <si>
    <t>IPTV Revs</t>
  </si>
  <si>
    <t>Capex/depn</t>
  </si>
  <si>
    <t>Interconnect</t>
  </si>
  <si>
    <t>Interconnection</t>
  </si>
  <si>
    <t>Forex</t>
  </si>
  <si>
    <t>Others</t>
  </si>
  <si>
    <t>Indonesia</t>
  </si>
  <si>
    <t>IDR/USD</t>
  </si>
  <si>
    <t>Total ARPU/min (IDR)</t>
  </si>
  <si>
    <t>Voice ARPU/min (IDR)</t>
  </si>
  <si>
    <t>ARPU per sub/month (IDR)</t>
  </si>
  <si>
    <t>Equipment Revenues per gross add (IDR)</t>
  </si>
  <si>
    <t>Capex (IDR, mn)</t>
  </si>
  <si>
    <t>IDR m</t>
  </si>
  <si>
    <t>Telkomsel</t>
  </si>
  <si>
    <t>Indosat</t>
  </si>
  <si>
    <t>XL</t>
  </si>
  <si>
    <t>As % of base</t>
  </si>
  <si>
    <t>2G</t>
  </si>
  <si>
    <t>3G</t>
  </si>
  <si>
    <t>4G</t>
  </si>
  <si>
    <t>Calculated ARPU</t>
  </si>
  <si>
    <t>ARPUs</t>
  </si>
  <si>
    <t>Reported</t>
  </si>
  <si>
    <t xml:space="preserve">Calculated </t>
  </si>
  <si>
    <t>Capex as % of sales</t>
  </si>
  <si>
    <t>Receivables and prepayments</t>
  </si>
  <si>
    <t>PT Telkom</t>
  </si>
  <si>
    <t>XL Axiata</t>
  </si>
  <si>
    <t>Old</t>
  </si>
  <si>
    <t>New</t>
  </si>
  <si>
    <t>OpFCF forecasts</t>
  </si>
  <si>
    <t>Service revenues ex-IC and other</t>
  </si>
  <si>
    <t>Non-data revenues (as per FS)</t>
  </si>
  <si>
    <t>Growth (% YoY)</t>
  </si>
  <si>
    <t>IC margin est</t>
  </si>
  <si>
    <t>Share of results from JV</t>
  </si>
  <si>
    <t>Income Statement (IDR bn)</t>
  </si>
  <si>
    <t>Direct costs</t>
  </si>
  <si>
    <t>Network opex</t>
  </si>
  <si>
    <t>USD</t>
  </si>
  <si>
    <t>IDR</t>
  </si>
  <si>
    <t>USD in IDR</t>
  </si>
  <si>
    <t>Q1</t>
  </si>
  <si>
    <t>Q2</t>
  </si>
  <si>
    <t>Q3</t>
  </si>
  <si>
    <t>Q4</t>
  </si>
  <si>
    <t>Pops</t>
  </si>
  <si>
    <t>Subs</t>
  </si>
  <si>
    <t>Sales</t>
  </si>
  <si>
    <t>Cash Dividends</t>
  </si>
  <si>
    <t>Net Debt</t>
  </si>
  <si>
    <t>Current EV</t>
  </si>
  <si>
    <t>Total Minutes</t>
  </si>
  <si>
    <t>IC revs</t>
  </si>
  <si>
    <t>Ic charge/min</t>
  </si>
  <si>
    <t>Growth (YoY)</t>
  </si>
  <si>
    <t>Cost/min</t>
  </si>
  <si>
    <t>2017F</t>
  </si>
  <si>
    <t>2018F</t>
  </si>
  <si>
    <t>2019F</t>
  </si>
  <si>
    <t>2020F</t>
  </si>
  <si>
    <t>EV and multiples</t>
  </si>
  <si>
    <t>Less: Spectrum</t>
  </si>
  <si>
    <t>Diff.</t>
  </si>
  <si>
    <t>YoY</t>
  </si>
  <si>
    <t>New vs old</t>
  </si>
  <si>
    <t>% revenues</t>
  </si>
  <si>
    <t>NI</t>
  </si>
  <si>
    <t>CAGR</t>
  </si>
  <si>
    <t>Average 19-22</t>
  </si>
  <si>
    <t>Associates</t>
  </si>
  <si>
    <t>Short-term debt</t>
  </si>
  <si>
    <t>ST leases</t>
  </si>
  <si>
    <t>LT leases</t>
  </si>
  <si>
    <t xml:space="preserve">Guidance </t>
  </si>
  <si>
    <t>In line with market</t>
  </si>
  <si>
    <t>Low 40%</t>
  </si>
  <si>
    <t>EBITDA (ex IFRS 16)</t>
  </si>
  <si>
    <t>ARPU x subs</t>
  </si>
  <si>
    <t>Of which:</t>
  </si>
  <si>
    <t>KPIs</t>
  </si>
  <si>
    <t>Implied roaming</t>
  </si>
  <si>
    <t>Financials</t>
  </si>
  <si>
    <t>IFRS 16 impact</t>
  </si>
  <si>
    <t>D&amp;A</t>
  </si>
  <si>
    <t>EBIT (calc.)</t>
  </si>
  <si>
    <t>EBIT margin</t>
  </si>
  <si>
    <t>IFRS 16 ---&gt;</t>
  </si>
  <si>
    <t>Summary, IDR bn</t>
  </si>
  <si>
    <t>Capital employed (5* capex)</t>
  </si>
  <si>
    <t>5* capex</t>
  </si>
  <si>
    <t>Q1 22</t>
  </si>
  <si>
    <t>Normalized PAT</t>
  </si>
  <si>
    <t>Service Revenue ex. Interconnect</t>
  </si>
  <si>
    <t>IDR bn</t>
  </si>
  <si>
    <t>Other non-current assets</t>
  </si>
  <si>
    <t>Other non-current liabilities</t>
  </si>
  <si>
    <t>If unbalanced, check forex and IFRS16 adjustments (row 53)</t>
  </si>
  <si>
    <t>EBIT (1-T)</t>
  </si>
  <si>
    <t>5-Y average Capex</t>
  </si>
  <si>
    <t>Industry</t>
  </si>
  <si>
    <t>CAGR ('15-'21)</t>
  </si>
  <si>
    <t>CAGR ('21-'25E)</t>
  </si>
  <si>
    <t xml:space="preserve"> Remarks</t>
  </si>
  <si>
    <t>Ana ROIC uses mobile instead of group</t>
  </si>
  <si>
    <t>Cost of capital</t>
  </si>
  <si>
    <t>Excess ROIC</t>
  </si>
  <si>
    <t>ERP</t>
  </si>
  <si>
    <t>Cost of equity</t>
  </si>
  <si>
    <t>Cost of debt</t>
  </si>
  <si>
    <t>After-tax cost of debt</t>
  </si>
  <si>
    <t>Debt</t>
  </si>
  <si>
    <t>Equity</t>
  </si>
  <si>
    <t>Equity/Capital</t>
  </si>
  <si>
    <t>https://pages.stern.nyu.edu/~adamodar/New_Home_Page/datafile/ctryprem.html</t>
  </si>
  <si>
    <t>3Y Incremental ROIC</t>
  </si>
  <si>
    <t>Assumptions</t>
  </si>
  <si>
    <t>ROIC calculations</t>
  </si>
  <si>
    <t>x</t>
  </si>
  <si>
    <t>Cash flow - XL</t>
  </si>
  <si>
    <t>What is the current cash burn per year?</t>
  </si>
  <si>
    <t>How much must prices rise to breakeven cash flow? Find cash flow needed and assume a margin to derive revenue needed</t>
  </si>
  <si>
    <t xml:space="preserve">Compare revenue needed vs current revenue LQA e.g. X% needed </t>
  </si>
  <si>
    <t>We heard from both TLKM and EXCL about multiple price increases that both companies have implemented since the start of the year. EXCL highlighted it has increased prices since March 2022 by 10-44% on its core products. That is quite a bit more than we are assuming so seems Indo more closely following India in the price recovery story which is v positive.</t>
  </si>
  <si>
    <t>Less: Capex</t>
  </si>
  <si>
    <t>Less: Interest on debt</t>
  </si>
  <si>
    <t>Q1 22 EBITDA</t>
  </si>
  <si>
    <t>Q1 is seasonally the lowest in the industry and with compnay expecting low 50% margin for FY22, we avoid using LQA 1Q22 and instead use guided low 50% EBITDA margin +  inline topline with market</t>
  </si>
  <si>
    <t>LQA EBITDA</t>
  </si>
  <si>
    <t>FY22E EBITDA</t>
  </si>
  <si>
    <t>Guided IDR 9tn</t>
  </si>
  <si>
    <t>c.6.7% interest on debt</t>
  </si>
  <si>
    <t>Currently earning 3.7% ROIC and assuming cost of capital at 11.6%, it is value destructive at -7.8%</t>
  </si>
  <si>
    <t>In order to earn cost of capital at 11.6%, it'd imply EBIT(1-T) to be XX</t>
  </si>
  <si>
    <t>EBIT(1-T)</t>
  </si>
  <si>
    <t>5Y capex</t>
  </si>
  <si>
    <t>FY22E EBIT</t>
  </si>
  <si>
    <t>Assumed EBIT margin</t>
  </si>
  <si>
    <t>Even if we assume FY21 EBIT margin, considering that FY22 capex is guided to increase to IDR9tn with low 50% EBITDA margin…</t>
  </si>
  <si>
    <t xml:space="preserve"> </t>
  </si>
  <si>
    <t xml:space="preserve">Changes in working capital </t>
  </si>
  <si>
    <t>Impact of APRU hike and subscriber growth on ROIC</t>
  </si>
  <si>
    <t>Subscriber growth y/y</t>
  </si>
  <si>
    <t>ARPU growth y/y</t>
  </si>
  <si>
    <t>Cash flow bridge</t>
  </si>
  <si>
    <t>XL is currently cash flow positive but ROIC is significantly lower than its cost of capital</t>
  </si>
  <si>
    <t>Industry cost of capital</t>
  </si>
  <si>
    <t xml:space="preserve">XL's cost of capital </t>
  </si>
  <si>
    <t>Calculations</t>
  </si>
  <si>
    <t>FY21</t>
  </si>
  <si>
    <t>FY22E</t>
  </si>
  <si>
    <t>5Y rolling capex</t>
  </si>
  <si>
    <t>Required EBIT</t>
  </si>
  <si>
    <t>FY22E: Guided IDR 9tn capex</t>
  </si>
  <si>
    <t>Implied y/y growth</t>
  </si>
  <si>
    <t>Assume FY22E ROIC = cost of capital</t>
  </si>
  <si>
    <t>Mobile subscribers</t>
  </si>
  <si>
    <t>Sensitivity Analysis</t>
  </si>
  <si>
    <t xml:space="preserve"> FY21 margin was 12.4%</t>
  </si>
  <si>
    <t>Assume 12.5% since EBITDA margin expected to remain in low 50%</t>
  </si>
  <si>
    <t>NSR assumption</t>
  </si>
  <si>
    <t>Q1 22 service revenue</t>
  </si>
  <si>
    <t>Implied service revenue</t>
  </si>
  <si>
    <t>% of total revenue</t>
  </si>
  <si>
    <t>Assume similar as FY21</t>
  </si>
  <si>
    <t>Service revenue breakdown</t>
  </si>
  <si>
    <t>Implied revenue</t>
  </si>
  <si>
    <t>FY22E service revenue</t>
  </si>
  <si>
    <t>Remaining quarters</t>
  </si>
  <si>
    <t xml:space="preserve">Q1 22 </t>
  </si>
  <si>
    <t>Remaining</t>
  </si>
  <si>
    <t>Net add</t>
  </si>
  <si>
    <t>FY21 Service revenue</t>
  </si>
  <si>
    <t>FY22E Service revenue</t>
  </si>
  <si>
    <t>Price gain contribution</t>
  </si>
  <si>
    <t>Subscriber gain contribution</t>
  </si>
  <si>
    <t>Pass through rate</t>
  </si>
  <si>
    <t>FY21 EBIT</t>
  </si>
  <si>
    <t>Price increase pass through rate</t>
  </si>
  <si>
    <t>Service revenue bridge</t>
  </si>
  <si>
    <t>EBIT bridge</t>
  </si>
  <si>
    <t>Pass through from price increase</t>
  </si>
  <si>
    <t>Implied EBIT margin</t>
  </si>
  <si>
    <t>EBIT required for ROIC to be on parity with WACC</t>
  </si>
  <si>
    <t>Rolling 5Y capex</t>
  </si>
  <si>
    <t>y/y growth</t>
  </si>
  <si>
    <t>Without price pass through</t>
  </si>
  <si>
    <t>pass through</t>
  </si>
  <si>
    <t>Data traffic (TB)</t>
  </si>
  <si>
    <t>Data Traffic (PB)</t>
  </si>
  <si>
    <t>Revenue</t>
  </si>
  <si>
    <t>Impact on EBIT margin</t>
  </si>
  <si>
    <t>Impact of APRU hike and subscriber growth on excess ROIC</t>
  </si>
  <si>
    <t>Shortcut way:</t>
  </si>
  <si>
    <t>IDR bn, subscribers in '000</t>
  </si>
  <si>
    <t>Mobile internet yield (IDR/MB)</t>
  </si>
  <si>
    <t>Comments</t>
  </si>
  <si>
    <t>Source</t>
  </si>
  <si>
    <t>Debt/Capital</t>
  </si>
  <si>
    <t xml:space="preserve">SR + IC + Others - Discount </t>
  </si>
  <si>
    <t>Announced date</t>
  </si>
  <si>
    <t>Distribution date</t>
  </si>
  <si>
    <t>Shares offered</t>
  </si>
  <si>
    <t>Exercise price</t>
  </si>
  <si>
    <t>Purpose</t>
  </si>
  <si>
    <t>Pay down debt</t>
  </si>
  <si>
    <t>https://www.idnfinancials.com/news/45344/xl-axiata-raise-idr-fresh-funds-rights-issue#:~:text=PT%20XL%20Axiata%20Tbk%20(EXCL,to%20purchase%20one%20new%20share.</t>
  </si>
  <si>
    <t xml:space="preserve">idnfinancials.com/announcement/11232/schedule-xl-axiata-pre-emptive-rights-ratio-cum-december
</t>
  </si>
  <si>
    <t>Amount (IDR bn)</t>
  </si>
  <si>
    <t>Market capital (bn)</t>
  </si>
  <si>
    <t>Implied P/E</t>
  </si>
  <si>
    <t>Implied EV/(EBITDA - Capex)</t>
  </si>
  <si>
    <t>Share capital - BOP</t>
  </si>
  <si>
    <t>Share issurances/(buyback)</t>
  </si>
  <si>
    <t>Reported EPS (IDR)</t>
  </si>
  <si>
    <t>Ordinary shares and share premium (m) - BOP</t>
  </si>
  <si>
    <t>Ordinary shares and share premium (m) - EOP</t>
  </si>
  <si>
    <t>Market cap (IDR bn)</t>
  </si>
  <si>
    <t>EV (IDR bn)</t>
  </si>
  <si>
    <t>Number of shares, ords (bn)</t>
  </si>
  <si>
    <t>Average number of shares, ords (bn)</t>
  </si>
  <si>
    <t>Share capital - EOP</t>
  </si>
  <si>
    <t>Share count</t>
  </si>
  <si>
    <t>Share capital, most are RP 100 par</t>
  </si>
  <si>
    <t>Shares Outstanding (m)</t>
  </si>
  <si>
    <t>Reported DPS (IDR)</t>
  </si>
  <si>
    <t>EBITDA -  Capex</t>
  </si>
  <si>
    <t>NSR</t>
  </si>
  <si>
    <t>EV/(EBITDA-Capex)</t>
  </si>
  <si>
    <t>Vs Consensus</t>
  </si>
  <si>
    <t>Valuation ratio</t>
  </si>
  <si>
    <t>Underlying Capex as a % of sales</t>
  </si>
  <si>
    <t>Capitalised capex</t>
  </si>
  <si>
    <t>New reporting &gt;</t>
  </si>
  <si>
    <t>Data and Digital</t>
  </si>
  <si>
    <t>Post Hyper net acquisition</t>
  </si>
  <si>
    <t>22-25</t>
  </si>
  <si>
    <t>Debt (ex. leases)</t>
  </si>
  <si>
    <t>ST debt</t>
  </si>
  <si>
    <t>Loans + Sukuk ijarah + bonds payable (ex. leases)</t>
  </si>
  <si>
    <t xml:space="preserve">ST Leases </t>
  </si>
  <si>
    <t xml:space="preserve">LT Leases </t>
  </si>
  <si>
    <t>Beginning of period</t>
  </si>
  <si>
    <t>Increase/(decrease)</t>
  </si>
  <si>
    <t>End of period</t>
  </si>
  <si>
    <t>From income statement to avoid circular</t>
  </si>
  <si>
    <t>NPV</t>
  </si>
  <si>
    <t>Add dividend</t>
  </si>
  <si>
    <t>Ticker (BBG):</t>
  </si>
  <si>
    <t>Rating:</t>
  </si>
  <si>
    <t>Buy</t>
  </si>
  <si>
    <t>Target price:</t>
  </si>
  <si>
    <t>Lead Analyst</t>
  </si>
  <si>
    <t>Chris Hoare</t>
  </si>
  <si>
    <t>email</t>
  </si>
  <si>
    <t>chris@newstreetresearch.com</t>
  </si>
  <si>
    <t>Phone</t>
  </si>
  <si>
    <t>+44 207375 9130</t>
  </si>
  <si>
    <t>Analyst</t>
  </si>
  <si>
    <t>David Lopes</t>
  </si>
  <si>
    <t>david@newstreetresearch.com</t>
  </si>
  <si>
    <t>+44 207375 9147</t>
  </si>
  <si>
    <t>EXCL</t>
  </si>
  <si>
    <t>Prepaid subscribers</t>
  </si>
  <si>
    <t>Postpaid subscribers</t>
  </si>
  <si>
    <t>Post Hypernet acquisition &gt;</t>
  </si>
  <si>
    <t>Forecast changes</t>
  </si>
  <si>
    <t>IDR bn, subscribers in thousands</t>
  </si>
  <si>
    <t>Current</t>
  </si>
  <si>
    <t>Mobile</t>
  </si>
  <si>
    <t>Total net revenue</t>
  </si>
  <si>
    <t>Net profit margin</t>
  </si>
  <si>
    <t>Per share items</t>
  </si>
  <si>
    <t>Shares outstanding (m)</t>
  </si>
  <si>
    <t>Underlying EPS</t>
  </si>
  <si>
    <t>Payout ratio</t>
  </si>
  <si>
    <t>Mobile subs</t>
  </si>
  <si>
    <t>Mobile net adds</t>
  </si>
  <si>
    <t>Mobile ARPU</t>
  </si>
  <si>
    <t>Broadband</t>
  </si>
  <si>
    <t>Broadband subs</t>
  </si>
  <si>
    <t>Broadband net adds</t>
  </si>
  <si>
    <t>Copy and paste to Income statement interest expense</t>
  </si>
  <si>
    <t>To avoid circular reference, Interest expenses calculated and pasted as values from balance sheet tab calculations. BS Row 150</t>
  </si>
  <si>
    <t>PV of TV</t>
  </si>
  <si>
    <t>FY22</t>
  </si>
  <si>
    <t>Reported revenue</t>
  </si>
  <si>
    <t>Within:</t>
  </si>
  <si>
    <t>Hipernet (enterprise)</t>
  </si>
  <si>
    <t>Full year of Hipernet</t>
  </si>
  <si>
    <t>Proforma revenue</t>
  </si>
  <si>
    <t>(-) Cash</t>
  </si>
  <si>
    <t>Reported net debt (ex. financial leases)</t>
  </si>
  <si>
    <t>Balance Sheet</t>
  </si>
  <si>
    <t>Balance Sheet &amp; Cash Flow</t>
  </si>
  <si>
    <t>Net debt/(cash) including leases</t>
  </si>
  <si>
    <t>Income Statement</t>
  </si>
  <si>
    <t>Net revenue</t>
  </si>
  <si>
    <t>Gross revenue</t>
  </si>
  <si>
    <t>Opex:</t>
  </si>
  <si>
    <t>% margin</t>
  </si>
  <si>
    <t>Non-operating items:</t>
  </si>
  <si>
    <t>Profit before tax</t>
  </si>
  <si>
    <t>Postpaid ARPU</t>
  </si>
  <si>
    <t>Old ARPU driver:</t>
  </si>
  <si>
    <t>Postpaid revenue</t>
  </si>
  <si>
    <t>Prepaid revenue</t>
  </si>
  <si>
    <t>Prepaid ARPU</t>
  </si>
  <si>
    <t>Average postpaid subs</t>
  </si>
  <si>
    <t>Average prepaid subs</t>
  </si>
  <si>
    <t>(-) Discount</t>
  </si>
  <si>
    <t>Old revenue breakdown</t>
  </si>
  <si>
    <t>Tax expense</t>
  </si>
  <si>
    <t>Actuals</t>
  </si>
  <si>
    <t>Forecast</t>
  </si>
  <si>
    <t>End</t>
  </si>
  <si>
    <t>One-offs</t>
  </si>
  <si>
    <t>Quarterly row 6</t>
  </si>
  <si>
    <t>Quarterly row 8</t>
  </si>
  <si>
    <t>Net additions/(loss)</t>
  </si>
  <si>
    <t>Implied XL Satu (FMC product) subscribers</t>
  </si>
  <si>
    <t>Fixed mobile convergence penetration (%)</t>
  </si>
  <si>
    <t>XL home subscribers ('000)</t>
  </si>
  <si>
    <t>Change in penetration</t>
  </si>
  <si>
    <t>% of mobile subscribers</t>
  </si>
  <si>
    <t>XL home ARPU (not reported)</t>
  </si>
  <si>
    <t>Homes passed ('000)</t>
  </si>
  <si>
    <t>Data usage/sub/month</t>
  </si>
  <si>
    <t>IC and other telecommunication services</t>
  </si>
  <si>
    <t>Mobile service revenue (ex-IC)</t>
  </si>
  <si>
    <t>IC and others</t>
  </si>
  <si>
    <t>(-) Discounts</t>
  </si>
  <si>
    <t>MSR (net of discounts)</t>
  </si>
  <si>
    <t>Managed and information technology services</t>
  </si>
  <si>
    <t>Discount as % of MSR + IC</t>
  </si>
  <si>
    <t>Changed from cost/min * cost</t>
  </si>
  <si>
    <t>Managed and information tech revenue</t>
  </si>
  <si>
    <t>As presented</t>
  </si>
  <si>
    <t>Data and Digital Services</t>
  </si>
  <si>
    <t>Gross revenues</t>
  </si>
  <si>
    <t>Discount</t>
  </si>
  <si>
    <t>Net revenues</t>
  </si>
  <si>
    <t>NSR revenue breakdown</t>
  </si>
  <si>
    <t>Fixed broadband</t>
  </si>
  <si>
    <t>Operator subs ('000)</t>
  </si>
  <si>
    <t>FBB capex</t>
  </si>
  <si>
    <t>Enterprise</t>
  </si>
  <si>
    <t>Corporate customers</t>
  </si>
  <si>
    <t>GSM mobile - Interconnection - discounts</t>
  </si>
  <si>
    <t>GSM mobile - discounts</t>
  </si>
  <si>
    <t>High single digit</t>
  </si>
  <si>
    <t>50% margin</t>
  </si>
  <si>
    <t>Postpaid revenue (implied)</t>
  </si>
  <si>
    <t>Prepaid revenue (implied)</t>
  </si>
  <si>
    <t>Analysis</t>
  </si>
  <si>
    <t>ARPU (implied)</t>
  </si>
  <si>
    <t>Revenue contribution</t>
  </si>
  <si>
    <t>Date</t>
  </si>
  <si>
    <t>non-binding MOU to explore merger, with sinar mas retaining control of joint company</t>
  </si>
  <si>
    <t>Smartfren</t>
  </si>
  <si>
    <t>https://www.channelnewsasia.com/business/axiata-sinar-mas-talks-345-billion-indonesian-telecom-merger-4337856</t>
  </si>
  <si>
    <t>Market cap (IDR tn)</t>
  </si>
  <si>
    <t>USD/IDR</t>
  </si>
  <si>
    <t>Market cap (USD bn)</t>
  </si>
  <si>
    <t>https://www.businesstoday.com.my/2024/05/16/axiata-groups-courting-a-new-smartfren/</t>
  </si>
  <si>
    <t>Mobile revenue</t>
  </si>
  <si>
    <t>Revenue (2023)</t>
  </si>
  <si>
    <t>Subscriber share</t>
  </si>
  <si>
    <t>Revenue share</t>
  </si>
  <si>
    <t>Mobile revenue share</t>
  </si>
  <si>
    <t>XL+Smartfren</t>
  </si>
  <si>
    <t>L would also benefit from the addition of Smartfren's 800MHz, given its limited low band spectrum.</t>
  </si>
  <si>
    <t xml:space="preserve">As always though the potential roadblock may likely lie on the deal price, by which we expect either a share swap deal or cash funded by XL's parent - Axiata. </t>
  </si>
  <si>
    <t>tax rate</t>
  </si>
  <si>
    <t>NOPAT</t>
  </si>
  <si>
    <t>Invested Capital</t>
  </si>
  <si>
    <t xml:space="preserve">Current liabilities </t>
  </si>
  <si>
    <t>2023 data</t>
  </si>
  <si>
    <t>Indosat (pre-merger)</t>
  </si>
  <si>
    <t>Indosat (Pre-merger)</t>
  </si>
  <si>
    <t>Synergies as % of opex+capex</t>
  </si>
  <si>
    <t>Combined</t>
  </si>
  <si>
    <t>Synergies</t>
  </si>
  <si>
    <t>Low</t>
  </si>
  <si>
    <t>High</t>
  </si>
  <si>
    <t>Indonesian towers revenue by operator</t>
  </si>
  <si>
    <t>Mitratel</t>
  </si>
  <si>
    <t>Protelindo</t>
  </si>
  <si>
    <t>Tower Bersama</t>
  </si>
  <si>
    <t>INR bn</t>
  </si>
  <si>
    <t>9M23 as website is down</t>
  </si>
  <si>
    <t>Smartfren &lt;10%</t>
  </si>
  <si>
    <t>Broadband Subscribers ('000)</t>
  </si>
  <si>
    <t>Others - % YoY</t>
  </si>
  <si>
    <t>D/E</t>
  </si>
  <si>
    <t>As of 3Q24</t>
  </si>
  <si>
    <t>LTM revenue</t>
  </si>
  <si>
    <t>LTM</t>
  </si>
  <si>
    <t>IDR tn</t>
  </si>
  <si>
    <t>LTM Revenue</t>
  </si>
  <si>
    <t>LTM EBITDA</t>
  </si>
  <si>
    <t>Pre-synergy enterprise value</t>
  </si>
  <si>
    <t>Combined market cap</t>
  </si>
  <si>
    <t>Implied net debt</t>
  </si>
  <si>
    <t>Key info</t>
  </si>
  <si>
    <t>Structure</t>
  </si>
  <si>
    <t>pre-tax synergies as % of opex+capex</t>
  </si>
  <si>
    <t>XLSmart</t>
  </si>
  <si>
    <t>At completion, shareholding equalisation will result in Axiata receiving up to US$475 million. At transaction closing, Axiata will receive US$400 million, along with an additional US$75 million at the end of the first year subject to the satisfaction of certain conditions.</t>
  </si>
  <si>
    <t>LTM opex</t>
  </si>
  <si>
    <t>LTM capex</t>
  </si>
  <si>
    <t>Vodafone/Hutchison</t>
  </si>
  <si>
    <t>DTAC/TRUE - Guided</t>
  </si>
  <si>
    <t>Wind/ Hutchison</t>
  </si>
  <si>
    <t>Telefonica/E-Plus</t>
  </si>
  <si>
    <t>T-Mobile/ Sprint</t>
  </si>
  <si>
    <t>Celcom/Digi</t>
  </si>
  <si>
    <t>Expected completion</t>
  </si>
  <si>
    <t>1H 2025</t>
  </si>
  <si>
    <t>Subject to OJK and MOCD approval.</t>
  </si>
  <si>
    <t>Spectrum</t>
  </si>
  <si>
    <t>Indosat/Hutchison - Guided</t>
  </si>
  <si>
    <t>Mobile subscriber share</t>
  </si>
  <si>
    <t>Guided US$300-400m but already at US$450m today</t>
  </si>
  <si>
    <t>Mobile subs, m</t>
  </si>
  <si>
    <t>As of 10/12/24</t>
  </si>
  <si>
    <t>Implied equity value of XL Smart</t>
  </si>
  <si>
    <t>13.1% for USD475m</t>
  </si>
  <si>
    <t>USD m</t>
  </si>
  <si>
    <t>Axiata</t>
  </si>
  <si>
    <t>Sinar Mas</t>
  </si>
  <si>
    <t>Market Cap, IDR tn</t>
  </si>
  <si>
    <t>Parent share</t>
  </si>
  <si>
    <t>Initial equity value split</t>
  </si>
  <si>
    <t>Equity value split based on market cap and shareholding</t>
  </si>
  <si>
    <t>Merger ratio of 72:28 equity value split between XL Axiata and Smartfrenrespectively.</t>
  </si>
  <si>
    <t>XL Axiata will be the surviving entity and remain listed in IDX while issuing new shares to Smartfrenshareholders as per merger ratio.</t>
  </si>
  <si>
    <t xml:space="preserve">Axiata Group Berhad (“Axiata”) and Sinar Mas will become joint controlling shareholders, each holding a 34.8% stake in XLSmart, with equal influence over its strategic direction and decisions. </t>
  </si>
  <si>
    <t>As part of merger, SinarMas will receive 21.7% stake in XLSmartwhile Axiata stake will be 47.9%.Sinar Mas will pay USD475m for 13.1% stake in XLSmart from Axiata to achieve this balance.</t>
  </si>
  <si>
    <t>Parent stake</t>
  </si>
  <si>
    <t>Share in XLSmart</t>
  </si>
  <si>
    <t>Deal equity value split</t>
  </si>
  <si>
    <t>Implied parent share</t>
  </si>
  <si>
    <t>Premium over 10/12/24 close</t>
  </si>
  <si>
    <t>Implied stake in XL Axiata to be purchased by Smartfren</t>
  </si>
  <si>
    <t>850MHz</t>
  </si>
  <si>
    <t>900MHz</t>
  </si>
  <si>
    <t>1800MHz</t>
  </si>
  <si>
    <t>2100MHz</t>
  </si>
  <si>
    <t>2300MHz</t>
  </si>
  <si>
    <t>LTM EV/EBITDA</t>
  </si>
  <si>
    <t>US bn</t>
  </si>
  <si>
    <t>"control premium"</t>
  </si>
  <si>
    <t>Adjusted</t>
  </si>
  <si>
    <t>Use this for better run rate measurement</t>
  </si>
  <si>
    <t>Post-merger &gt;</t>
  </si>
  <si>
    <t>IDR bn, unless otherwise stated</t>
  </si>
  <si>
    <t>Broadband revenue</t>
  </si>
  <si>
    <t>Broadband subscribers</t>
  </si>
  <si>
    <t>000</t>
  </si>
  <si>
    <t>k IDR</t>
  </si>
  <si>
    <t>NSR defined Enterprise revenue</t>
  </si>
  <si>
    <t xml:space="preserve">Invested capital </t>
  </si>
  <si>
    <t>Asset approach</t>
  </si>
  <si>
    <t>Financing approach</t>
  </si>
  <si>
    <t>LT debt</t>
  </si>
  <si>
    <t>Other LT liabilities</t>
  </si>
  <si>
    <t>(-) Current liabilities</t>
  </si>
  <si>
    <t>as % of BOP Net PP&amp;E</t>
  </si>
  <si>
    <t>% D&amp;A/capex</t>
  </si>
  <si>
    <t>Spectrum payments. 2x winning bid, 1x thereafter for 10 years in total</t>
  </si>
  <si>
    <t>+ Addition of lease liabilities</t>
  </si>
  <si>
    <t>Lease interest expense</t>
  </si>
  <si>
    <t>Debt interest expense</t>
  </si>
  <si>
    <t>PPE schedule</t>
  </si>
  <si>
    <t>ROU assets</t>
  </si>
  <si>
    <t>BOP</t>
  </si>
  <si>
    <t>+ ROU assets</t>
  </si>
  <si>
    <t>- Depreciation of ROU assets</t>
  </si>
  <si>
    <t>EOP</t>
  </si>
  <si>
    <t>Depreciation as % of BOP ROU assets</t>
  </si>
  <si>
    <t>Lease liabilities</t>
  </si>
  <si>
    <t>Addition of lease liabilities as % of sales</t>
  </si>
  <si>
    <t>Repayment of lease liabilities as % of sales</t>
  </si>
  <si>
    <t>Less: Lease payment on principal</t>
  </si>
  <si>
    <t>Share of JV and others</t>
  </si>
  <si>
    <t>From cash flow, payment for lease liabilities principal</t>
  </si>
  <si>
    <t>PPE</t>
  </si>
  <si>
    <t>+ Capex</t>
  </si>
  <si>
    <t>-  Depreciation</t>
  </si>
  <si>
    <t>PPE ex. ROU assets</t>
  </si>
  <si>
    <t>Month</t>
  </si>
  <si>
    <t>Do not delete</t>
  </si>
  <si>
    <t>Interconnect and Other Direct Expenses</t>
  </si>
  <si>
    <t>Salaries and Benefits</t>
  </si>
  <si>
    <t>Sales and Marketing</t>
  </si>
  <si>
    <t>Infrastructure</t>
  </si>
  <si>
    <t>Supplies and Overhead</t>
  </si>
  <si>
    <t>Normalized EBITDA</t>
  </si>
  <si>
    <t>Depreciation and Amortisation</t>
  </si>
  <si>
    <t>Interest and Financing Cost (net)</t>
  </si>
  <si>
    <t>Forex gain/(loss)</t>
  </si>
  <si>
    <t>PBT</t>
  </si>
  <si>
    <t>Net profit to equityholders</t>
  </si>
  <si>
    <t>Underlying profits</t>
  </si>
  <si>
    <t>Net additions</t>
  </si>
  <si>
    <t>Fixed convergence penetration</t>
  </si>
  <si>
    <t>Annual</t>
  </si>
  <si>
    <t>Depreciation as % of BOP PPE</t>
  </si>
  <si>
    <t>PPE ex. ROU depreciation as % of total depreciation</t>
  </si>
  <si>
    <t>EXCL-ID</t>
  </si>
  <si>
    <t>This sheet contains FactSet XML data for use with this workbook's =FDS codes.  Modifying the worksheet's contents may damage the workbook's =FDS functionality.</t>
  </si>
  <si>
    <t>2022/3F</t>
  </si>
  <si>
    <t>Interest rate</t>
  </si>
  <si>
    <t>Lease interest rate</t>
  </si>
  <si>
    <t>Debt interest rate</t>
  </si>
  <si>
    <t>Others as % of sales</t>
  </si>
  <si>
    <t>Total leases</t>
  </si>
  <si>
    <t>Average leases</t>
  </si>
  <si>
    <t>Total debt</t>
  </si>
  <si>
    <t>Average debt</t>
  </si>
  <si>
    <t>Debt schedule</t>
  </si>
  <si>
    <t>Net debt ex. lease liabilities</t>
  </si>
  <si>
    <t>ST lease liabilities</t>
  </si>
  <si>
    <t>LT lease liabilities</t>
  </si>
  <si>
    <t>Net debt including lease liabilities</t>
  </si>
  <si>
    <t>LT debt implied from changes in net debt ex. leases</t>
  </si>
  <si>
    <t>Change in net debt ex. leases = change in LFCF (after dividends)</t>
  </si>
  <si>
    <t>+ ROU asset addition</t>
  </si>
  <si>
    <t>- ROU Depreciation</t>
  </si>
  <si>
    <t>- PPE Depreciation</t>
  </si>
  <si>
    <t xml:space="preserve">PPE = ROU asses + PPE ex. ROU </t>
  </si>
  <si>
    <t>(-) Capex</t>
  </si>
  <si>
    <t>(-) Changes in Working capital</t>
  </si>
  <si>
    <t>Unlevered free cash flow</t>
  </si>
  <si>
    <t>Net Debt including leases/EBITDA</t>
  </si>
  <si>
    <t>Net Debt ex. leases/EBITDA</t>
  </si>
  <si>
    <t>Net debt including leases</t>
  </si>
  <si>
    <t>+ Amortisation</t>
  </si>
  <si>
    <t>Total lease payment</t>
  </si>
  <si>
    <t>- Repayment of lease liabilities principal</t>
  </si>
  <si>
    <t>Principal lease payment</t>
  </si>
  <si>
    <t>% of lease liabilities</t>
  </si>
  <si>
    <t>(-) Cash taxes</t>
  </si>
  <si>
    <t>(-) NPV of future licence payments</t>
  </si>
  <si>
    <t>From market model</t>
  </si>
  <si>
    <t>(-) Net Debt including lease liabilities</t>
  </si>
  <si>
    <t>Proforma financials - XLSmart</t>
  </si>
  <si>
    <t>Balance sheet</t>
  </si>
  <si>
    <t>Inputs</t>
  </si>
  <si>
    <t>Depreciation &amp; Amortisation</t>
  </si>
  <si>
    <t>NCI</t>
  </si>
  <si>
    <t>Profits attributable to shareholders</t>
  </si>
  <si>
    <t>1Q24</t>
  </si>
  <si>
    <t>2Q24</t>
  </si>
  <si>
    <t>3Q24</t>
  </si>
  <si>
    <t>1Q23</t>
  </si>
  <si>
    <t>2Q23</t>
  </si>
  <si>
    <t>3Q23</t>
  </si>
  <si>
    <t>Net Income to equityholders</t>
  </si>
  <si>
    <t>4Q23</t>
  </si>
  <si>
    <t>LTM 2024</t>
  </si>
  <si>
    <t>Assume same growth as XL</t>
  </si>
  <si>
    <t>Growth and margins</t>
  </si>
  <si>
    <t>EBITDA growth</t>
  </si>
  <si>
    <t>Net income growth</t>
  </si>
  <si>
    <t>Net income margin</t>
  </si>
  <si>
    <t>Annual pre-tax run rate</t>
  </si>
  <si>
    <t xml:space="preserve">US$ m </t>
  </si>
  <si>
    <t>FX</t>
  </si>
  <si>
    <t>%</t>
  </si>
  <si>
    <t>Average</t>
  </si>
  <si>
    <t>Cash</t>
  </si>
  <si>
    <t>Debt ex. lease liabilities</t>
  </si>
  <si>
    <t>Net debt/EBITDA</t>
  </si>
  <si>
    <t>+ lease liabilities</t>
  </si>
  <si>
    <t>(-) Changes in WC</t>
  </si>
  <si>
    <t>(-) Tax paid</t>
  </si>
  <si>
    <t>Unlevered Free Cash Flow</t>
  </si>
  <si>
    <t>(-) Net interest costs</t>
  </si>
  <si>
    <t>(-) Lease payments on principal</t>
  </si>
  <si>
    <t>(-) License payments</t>
  </si>
  <si>
    <t>Equity Free Cash Flow</t>
  </si>
  <si>
    <t>Depreciation as % of sales</t>
  </si>
  <si>
    <t>Post merger</t>
  </si>
  <si>
    <t>Pre-merger</t>
  </si>
  <si>
    <t>Proforma</t>
  </si>
  <si>
    <t>Proforma - 2021</t>
  </si>
  <si>
    <t>Subscribers, m</t>
  </si>
  <si>
    <t>Expect completion by 1H25</t>
  </si>
  <si>
    <t>Fraction of the year</t>
  </si>
  <si>
    <t>4Q24e</t>
  </si>
  <si>
    <t>LTM as of 3Q24</t>
  </si>
  <si>
    <t>Comparison</t>
  </si>
  <si>
    <t>Change in EBITDA margin</t>
  </si>
  <si>
    <t>Income statement (Reported basis)</t>
  </si>
  <si>
    <t>Integration costs</t>
  </si>
  <si>
    <t>TRUE</t>
  </si>
  <si>
    <t>Synergies (pre-tax)</t>
  </si>
  <si>
    <t>Gross synergies</t>
  </si>
  <si>
    <t>Net synergies</t>
  </si>
  <si>
    <t>25%-30%</t>
  </si>
  <si>
    <t>% of gross synergies flowing to EBITDA</t>
  </si>
  <si>
    <t>Implied gross synergies within EBITDA</t>
  </si>
  <si>
    <t>Integration cost split</t>
  </si>
  <si>
    <t>Net flow to EBITDA</t>
  </si>
  <si>
    <t>NPV of synergies</t>
  </si>
  <si>
    <t>% gross synergies realised</t>
  </si>
  <si>
    <t>Integration costs as % of gross synergies</t>
  </si>
  <si>
    <t>Realised pre-tax synergies</t>
  </si>
  <si>
    <t>g</t>
  </si>
  <si>
    <t>TV</t>
  </si>
  <si>
    <t>NPV+TV</t>
  </si>
  <si>
    <t>Average of guidance in IDR bn</t>
  </si>
  <si>
    <t>Discount rate</t>
  </si>
  <si>
    <t xml:space="preserve">PV </t>
  </si>
  <si>
    <t>% addition to value</t>
  </si>
  <si>
    <t>Market Cap</t>
  </si>
  <si>
    <t>Shares outstanding, m</t>
  </si>
  <si>
    <t>Market Cap (IDR bn)</t>
  </si>
  <si>
    <t>+ Net debt</t>
  </si>
  <si>
    <t>Most recent reported net debt</t>
  </si>
  <si>
    <t>Enterprise Value</t>
  </si>
  <si>
    <t>Enterprise Value (IDR bn)</t>
  </si>
  <si>
    <t>Pre-tax gross synergies</t>
  </si>
  <si>
    <t>% realised</t>
  </si>
  <si>
    <t>(-) Integration costs</t>
  </si>
  <si>
    <t>XLSmart &gt;</t>
  </si>
  <si>
    <t>&lt; XL Axiata</t>
  </si>
  <si>
    <t>% gross synergy split</t>
  </si>
  <si>
    <t>Gross synergy</t>
  </si>
  <si>
    <t>% Integration cost split</t>
  </si>
  <si>
    <t>Net pre-tax synergies</t>
  </si>
  <si>
    <t>Gross pre-tax synergies</t>
  </si>
  <si>
    <t>Gross synergies realised</t>
  </si>
  <si>
    <t>US$ m</t>
  </si>
  <si>
    <t>Net flow to Capex</t>
  </si>
  <si>
    <t>LTM (Sep24)</t>
  </si>
  <si>
    <t>Post-tax net synergies - Opex</t>
  </si>
  <si>
    <t>Net synergies - Capex</t>
  </si>
  <si>
    <t>Gross synergies - Capex</t>
  </si>
  <si>
    <t>Opex synergies</t>
  </si>
  <si>
    <t>Capex synergies</t>
  </si>
  <si>
    <t>Realised capex synergies</t>
  </si>
  <si>
    <t>Cash flow savings</t>
  </si>
  <si>
    <t>NPV (2025)</t>
  </si>
  <si>
    <t>NPV of post-tax synergies</t>
  </si>
  <si>
    <t>Steady-state run rate</t>
  </si>
  <si>
    <t>Factor</t>
  </si>
  <si>
    <t>Cost structure comparison</t>
  </si>
  <si>
    <t>Labour cost</t>
  </si>
  <si>
    <t>Sales and marketing</t>
  </si>
  <si>
    <t>YTD as of 3Q24</t>
  </si>
  <si>
    <t>Infrastructure expenses</t>
  </si>
  <si>
    <t>Infra costs</t>
  </si>
  <si>
    <t>LTM Capex</t>
  </si>
  <si>
    <t>Capex share</t>
  </si>
  <si>
    <t>Telkomsel (Indihome)</t>
  </si>
  <si>
    <t>Overheads</t>
  </si>
  <si>
    <t>Cost of sales</t>
  </si>
  <si>
    <t>Lease payment</t>
  </si>
  <si>
    <t>Interest rate on cash holdings</t>
  </si>
  <si>
    <t>Total debt including lease liabilities</t>
  </si>
  <si>
    <t>Cost of debt including lease liabilities</t>
  </si>
  <si>
    <t>Interest coverage</t>
  </si>
  <si>
    <t>Labour costs</t>
  </si>
  <si>
    <t>G&amp;A costs</t>
  </si>
  <si>
    <t>Interconnection and others</t>
  </si>
  <si>
    <t xml:space="preserve">Maintenance </t>
  </si>
  <si>
    <t>License fee</t>
  </si>
  <si>
    <t>Sites decommissioned</t>
  </si>
  <si>
    <t>Share price</t>
  </si>
  <si>
    <t>NPV of synergies as % of Combined</t>
  </si>
  <si>
    <t>Give</t>
  </si>
  <si>
    <t>Receive</t>
  </si>
  <si>
    <t>US$ bn</t>
  </si>
  <si>
    <t>Axiata stake</t>
  </si>
  <si>
    <t>Sinar Mas stake</t>
  </si>
  <si>
    <t>Pre-equalisation</t>
  </si>
  <si>
    <t>Post-equalisation</t>
  </si>
  <si>
    <t>Proforma (LTM as of Sep 24)</t>
  </si>
  <si>
    <t>EV/LTM EBITDA</t>
  </si>
  <si>
    <t>USD bn</t>
  </si>
  <si>
    <t>As of Sep 24</t>
  </si>
  <si>
    <t>Realistic capex spend by Smartfren as it appears to have underspent in 2025; assumed 18% of sales</t>
  </si>
  <si>
    <t>Net synergy</t>
  </si>
  <si>
    <t>Net profits</t>
  </si>
  <si>
    <t>Prior forecasts</t>
  </si>
  <si>
    <t>Current forecasts</t>
  </si>
  <si>
    <t>% Variance</t>
  </si>
  <si>
    <t>Migrated 750k Link net customers in 1H24; totalling 1m</t>
  </si>
  <si>
    <t>Inventories</t>
  </si>
  <si>
    <t>Total current assets</t>
  </si>
  <si>
    <t>Intangible assets</t>
  </si>
  <si>
    <t>Deferred tax assets</t>
  </si>
  <si>
    <t>Total non-current assets</t>
  </si>
  <si>
    <t>Current liabilities</t>
  </si>
  <si>
    <t>Total current liabilities</t>
  </si>
  <si>
    <t>Non-current liabilities</t>
  </si>
  <si>
    <t>Total non-current liabilities</t>
  </si>
  <si>
    <t>Total equity</t>
  </si>
  <si>
    <t>Total liabilities and equity</t>
  </si>
  <si>
    <t>Trade receivables</t>
  </si>
  <si>
    <t>Third parties -</t>
  </si>
  <si>
    <t>Related parties -</t>
  </si>
  <si>
    <t>Other receivables</t>
  </si>
  <si>
    <t>Prepaid taxes</t>
  </si>
  <si>
    <t>Corporate income tax -</t>
  </si>
  <si>
    <t>Other taxes -</t>
  </si>
  <si>
    <t>Prepayments</t>
  </si>
  <si>
    <t>Other assets</t>
  </si>
  <si>
    <t>Investment in associates</t>
  </si>
  <si>
    <t>Fixed assets - net of accumulated depreciation</t>
  </si>
  <si>
    <t>Taxes payable</t>
  </si>
  <si>
    <t>Accrued expenses</t>
  </si>
  <si>
    <t>Deferred revenue</t>
  </si>
  <si>
    <t>Lease liabilities -</t>
  </si>
  <si>
    <t>Loans -</t>
  </si>
  <si>
    <t>Sukuk ijarah -</t>
  </si>
  <si>
    <t>Bonds payable -</t>
  </si>
  <si>
    <t>Long-term loans</t>
  </si>
  <si>
    <t>Sukuk ijarah</t>
  </si>
  <si>
    <t>Bonds payable</t>
  </si>
  <si>
    <t>Contingent consideration</t>
  </si>
  <si>
    <t>Additional paid-in capital</t>
  </si>
  <si>
    <t>Merging entity’s equity</t>
  </si>
  <si>
    <t>Treasury shares</t>
  </si>
  <si>
    <t>Retained earnings</t>
  </si>
  <si>
    <t>Appropriated -</t>
  </si>
  <si>
    <t>Unappropriated -</t>
  </si>
  <si>
    <t>Non-controlling interest</t>
  </si>
  <si>
    <t>Current portion of long-term borrowings:</t>
  </si>
  <si>
    <t>Short-term employee benefit liabilities</t>
  </si>
  <si>
    <t>Long-term employee benefit liabilities</t>
  </si>
  <si>
    <t>Share Capital</t>
  </si>
  <si>
    <t>Interest on borrowings
and lease liabilities - lease interest exp</t>
  </si>
  <si>
    <t>Amortisation as % of sales</t>
  </si>
  <si>
    <t>Ratios</t>
  </si>
  <si>
    <t>Revenue growth - % YoY</t>
  </si>
  <si>
    <t>EBITDA growth - % YoY</t>
  </si>
  <si>
    <t>As of Sep-24</t>
  </si>
  <si>
    <t>Mobile subscribers, m</t>
  </si>
  <si>
    <t>ARPU, IDR</t>
  </si>
  <si>
    <t>Merger integration assuming 1H25 completion</t>
  </si>
  <si>
    <t>Reported basis</t>
  </si>
  <si>
    <t>Cash interest rate</t>
  </si>
  <si>
    <t>50% of Smartfren in 2025</t>
  </si>
  <si>
    <t xml:space="preserve">Proforma </t>
  </si>
  <si>
    <t>As of 2024</t>
  </si>
  <si>
    <t>Proforma Merger integration</t>
  </si>
  <si>
    <t>+ Gross synergies</t>
  </si>
  <si>
    <t>- Integration costs</t>
  </si>
  <si>
    <t>LIVE</t>
  </si>
  <si>
    <t>With synergies</t>
  </si>
  <si>
    <t>Without synergies</t>
  </si>
  <si>
    <t>1 = with synergies</t>
  </si>
  <si>
    <t>2 = without synergies</t>
  </si>
  <si>
    <t>EBITDA-Capex</t>
  </si>
  <si>
    <t>Gross synergies - integration costs</t>
  </si>
  <si>
    <t>Choose scenario &gt;</t>
  </si>
  <si>
    <t>Additional paid in capital + retained earnings + treasury shares</t>
  </si>
  <si>
    <t>FCFE - NSR definition</t>
  </si>
  <si>
    <t>+ Dividends from associates</t>
  </si>
  <si>
    <t>(-) NCI</t>
  </si>
  <si>
    <t>Equity Free Cash Flow before license payment</t>
  </si>
  <si>
    <t>Share buyback</t>
  </si>
  <si>
    <t>Ticker</t>
  </si>
  <si>
    <t>Market Cap, IDR bn</t>
  </si>
  <si>
    <t>FCFE yield</t>
  </si>
  <si>
    <t>Dividend yield</t>
  </si>
  <si>
    <t>FCFE</t>
  </si>
  <si>
    <t>Market Cap, US bn</t>
  </si>
  <si>
    <t>Negligible</t>
  </si>
  <si>
    <t>As of 1Q25</t>
  </si>
  <si>
    <t>1Q25</t>
  </si>
  <si>
    <t>Mobile revenue, IDR tn</t>
  </si>
  <si>
    <t>XLSmart - Without 900MHz</t>
  </si>
  <si>
    <t>Broadband subscribers, m</t>
  </si>
  <si>
    <t>Synergies, IDR bn</t>
  </si>
  <si>
    <t>2024 Proforma</t>
  </si>
  <si>
    <t>Key cash flow and balance sheet items</t>
  </si>
  <si>
    <t>Key balance sheet</t>
  </si>
  <si>
    <t>Debt ex. leases</t>
  </si>
  <si>
    <t>Equity Free Cash Flow after net interest costs</t>
  </si>
  <si>
    <t>Levered free cash flow</t>
  </si>
  <si>
    <t>+ Addition of leases</t>
  </si>
  <si>
    <t>Addition of leases as % of sales</t>
  </si>
  <si>
    <t>Lease repayment as % of sales</t>
  </si>
  <si>
    <t>(-) Lease repayment on principal</t>
  </si>
  <si>
    <t>+ Lease interest expense</t>
  </si>
  <si>
    <t>Lease interest cost is accrued</t>
  </si>
  <si>
    <t>EBIT growth - % YoY</t>
  </si>
  <si>
    <t>Net profit growth - % YoY</t>
  </si>
  <si>
    <t>EXCL-JKT</t>
  </si>
  <si>
    <t>Market Cap (USD bn)</t>
  </si>
  <si>
    <t>Equity Free Cash Flow before license</t>
  </si>
  <si>
    <t>FCFE pre-license payment yield</t>
  </si>
  <si>
    <t>Debt/EBITDA</t>
  </si>
  <si>
    <t>Lease interest cost as % of BOP lease liability</t>
  </si>
  <si>
    <t>Min of beginning debt and free cash flow</t>
  </si>
  <si>
    <t>Linked to ROU asset</t>
  </si>
  <si>
    <t>Cash allocation</t>
  </si>
  <si>
    <t>Beginning net debt</t>
  </si>
  <si>
    <t>Target net debt @ 2.5x net debt/EBITDA</t>
  </si>
  <si>
    <t>Cash surplus/(deficit)</t>
  </si>
  <si>
    <t>Telkom Group target 17-19% in medium term; Telkomsel lower than that</t>
  </si>
  <si>
    <t>(-) Dividends</t>
  </si>
  <si>
    <t>Equity Free Cash Flow after dividends</t>
  </si>
  <si>
    <t>Levered free cash flow after dividends = Change in net debt</t>
  </si>
  <si>
    <t>Lease liability</t>
  </si>
  <si>
    <t>Assumed same as we implicitly included synergies in both opex and capex above</t>
  </si>
  <si>
    <t>% YoY</t>
  </si>
  <si>
    <t>Pre-tax synergies</t>
  </si>
  <si>
    <t>Guided US$300-400m</t>
  </si>
  <si>
    <t>Leases</t>
  </si>
  <si>
    <t>XLSmart
- High</t>
  </si>
  <si>
    <t>XLSmart
- NSRe</t>
  </si>
  <si>
    <t>XLSmart
 - Low</t>
  </si>
  <si>
    <t>As a benchmark, TRUE guided 25%-40% gross synergy flows to EBITDA</t>
  </si>
  <si>
    <t>Majority of opex savings are lease rentals which are below EBITDA line, within D&amp;A and interest expense</t>
  </si>
  <si>
    <t>D&amp;A - % YoY</t>
  </si>
  <si>
    <t>Lease rentals (below EBITDA)</t>
  </si>
  <si>
    <t>Net flow below EBITDA line</t>
  </si>
  <si>
    <t>Lease-related synergies</t>
  </si>
  <si>
    <t>Post-tax net synergies - Lease-related</t>
  </si>
  <si>
    <t>D&amp;A prior to synergies</t>
  </si>
  <si>
    <t>Change in net debt = levered free cash flow after dividends before lease payment</t>
  </si>
  <si>
    <t>XL did 60% payout in 2024, IDR 1.1tn in 2024. Assume stable in 2025 before rising thereafter</t>
  </si>
  <si>
    <t>Spectrum share - Before</t>
  </si>
  <si>
    <t>Spectrum share - After</t>
  </si>
  <si>
    <t>Lease repayment</t>
  </si>
  <si>
    <t>EBITDAaL</t>
  </si>
  <si>
    <t>EBITDAaL margin</t>
  </si>
  <si>
    <t>*Assumed normalised IDR2tn capex for smartfren as they appeared to underspend in 2024 only 1.1tn.</t>
  </si>
  <si>
    <t>Indosat - standalone</t>
  </si>
  <si>
    <t>Non-current</t>
  </si>
  <si>
    <t>Proforma - Mergeco</t>
  </si>
  <si>
    <t>As % of leases</t>
  </si>
  <si>
    <t>Opex+Capex</t>
  </si>
  <si>
    <t>As % of opex+capex</t>
  </si>
  <si>
    <t>Full year revenue</t>
  </si>
  <si>
    <t>2024 vs 2022</t>
  </si>
  <si>
    <t>Lease-related</t>
  </si>
  <si>
    <t>First year of merger</t>
  </si>
  <si>
    <t>Lease payment as % of sales</t>
  </si>
  <si>
    <t>Lease payment as % of opex+capex</t>
  </si>
  <si>
    <t>Guidance</t>
  </si>
  <si>
    <t>Synergy notes for XLSmart:</t>
  </si>
  <si>
    <t>USD300-400m by year 5</t>
  </si>
  <si>
    <t>Capex initially higher in first two years of integration</t>
  </si>
  <si>
    <t>900MHz regulatory savings</t>
  </si>
  <si>
    <t>IDR 1.3tn per year from 2027 onwards</t>
  </si>
  <si>
    <t>Network consolidation</t>
  </si>
  <si>
    <t>67k combined sites of which 20-30% are overlapping</t>
  </si>
  <si>
    <t>Expect 100m gross synergies from network by 2025 onwards</t>
  </si>
  <si>
    <t>Employee costs, one-off severance expected</t>
  </si>
  <si>
    <t>Early tower dismantling costs</t>
  </si>
  <si>
    <t>ERP migration costs</t>
  </si>
  <si>
    <t>Modelling assumptions</t>
  </si>
  <si>
    <t>Remain at 6-7% of sales level</t>
  </si>
  <si>
    <t>10% of sales currently, 2024</t>
  </si>
  <si>
    <t>Gross synergies, USD m</t>
  </si>
  <si>
    <t>Gross synergies, IDR bn</t>
  </si>
  <si>
    <t>Net synergies, IDR bn</t>
  </si>
  <si>
    <t>Net synergies, USD m</t>
  </si>
  <si>
    <t>As % of gross synergies</t>
  </si>
  <si>
    <t>Integration cost flow through, %</t>
  </si>
  <si>
    <t>Reasonable when compared to TRUE. Refer to Comps with other mergers tab</t>
  </si>
  <si>
    <t>Integration costs, IDR bn</t>
  </si>
  <si>
    <t>Integration costs, USD m</t>
  </si>
  <si>
    <t>Using True as benchmark. We assume 210m split across 3 years; 210m ~60% of run-rate gross synergies 350m</t>
  </si>
  <si>
    <t>Multiple of gross synergies</t>
  </si>
  <si>
    <t>+ Net Debt</t>
  </si>
  <si>
    <t xml:space="preserve">NPV of synergies as % of </t>
  </si>
  <si>
    <t>Enterprise value</t>
  </si>
  <si>
    <t>Implied Market Cap assuming EV+Synergies</t>
  </si>
  <si>
    <t>Current Enterprise Value</t>
  </si>
  <si>
    <t>New Enterprise Value</t>
  </si>
  <si>
    <t>(-) Net Debt</t>
  </si>
  <si>
    <t>Implied Equity Value</t>
  </si>
  <si>
    <t>Implied price/share</t>
  </si>
  <si>
    <t>/ Shares outstanding, m</t>
  </si>
  <si>
    <t>Forward valuation</t>
  </si>
  <si>
    <t>Market EV/EBITDA</t>
  </si>
  <si>
    <t>Target EV/EBITDA</t>
  </si>
  <si>
    <t>Sector EV/EBITDA</t>
  </si>
  <si>
    <t>Indosat at 3.5x</t>
  </si>
  <si>
    <t>Revenue segments</t>
  </si>
  <si>
    <t>% of revenue</t>
  </si>
  <si>
    <t>From market model &gt; Broadband</t>
  </si>
  <si>
    <t>FWA subscribers, m</t>
  </si>
  <si>
    <t>FWA ARPU</t>
  </si>
  <si>
    <t>FWA revenue</t>
  </si>
  <si>
    <t>Calculated broadband revenue</t>
  </si>
  <si>
    <t>24-30E</t>
  </si>
  <si>
    <t>22-24</t>
  </si>
  <si>
    <t>Assume no revenue synergies</t>
  </si>
  <si>
    <t>some opex savings are lease rentals which are below EBITDA line, within D&amp;A and interest expense</t>
  </si>
  <si>
    <t>Assume negligible</t>
  </si>
  <si>
    <t>Net debt ex leases</t>
  </si>
  <si>
    <t>M1</t>
  </si>
  <si>
    <t>M2</t>
  </si>
  <si>
    <t>Amount used to repay debt or increase cash</t>
  </si>
  <si>
    <t>BOP net debt</t>
  </si>
  <si>
    <t>FCF after dividends</t>
  </si>
  <si>
    <t>Net cash available after dividends</t>
  </si>
  <si>
    <t>EOP net debt</t>
  </si>
  <si>
    <t>Implied cash</t>
  </si>
  <si>
    <t>Gross debt ex leases</t>
  </si>
  <si>
    <t>M3</t>
  </si>
  <si>
    <t>Current share price</t>
  </si>
  <si>
    <t>NPV of synergies/share</t>
  </si>
  <si>
    <t>Target share price</t>
  </si>
  <si>
    <t>OpFCF (EBITDA - capex)</t>
  </si>
  <si>
    <t>FCF (OpFCF * (1-tax rate))</t>
  </si>
  <si>
    <t>EFCF</t>
  </si>
  <si>
    <t>Adj net Income</t>
  </si>
  <si>
    <t>Sub total</t>
  </si>
  <si>
    <t>Chg in Net debt/Cash</t>
  </si>
  <si>
    <t>EV bridge</t>
  </si>
  <si>
    <t>Less: Cumulative dividends</t>
  </si>
  <si>
    <t>No. of shares, bn</t>
  </si>
  <si>
    <t>EV/Revenue</t>
  </si>
  <si>
    <t>EV/EBITDA</t>
  </si>
  <si>
    <t>EV/OpFCF</t>
  </si>
  <si>
    <t>EV/FCF</t>
  </si>
  <si>
    <t>EV/Invested capital</t>
  </si>
  <si>
    <t>EV/NFA</t>
  </si>
  <si>
    <t>P/EFCF</t>
  </si>
  <si>
    <t>Adjusted P/E</t>
  </si>
  <si>
    <t>EFCF yield</t>
  </si>
  <si>
    <t>OpFCF/Net interest</t>
  </si>
  <si>
    <t>Multiples</t>
  </si>
  <si>
    <t>Key financials</t>
  </si>
  <si>
    <t>Add: Net debt</t>
  </si>
  <si>
    <t>Net debt (cash) ex. Lease liabilities</t>
  </si>
  <si>
    <t>Net debt (Cash) ex leases</t>
  </si>
  <si>
    <t>Net debt ex. Leases</t>
  </si>
  <si>
    <t>Assumed used to pay debt</t>
  </si>
  <si>
    <t>P/E</t>
  </si>
  <si>
    <t>Proforma income statement, IDR bn</t>
  </si>
  <si>
    <t>As reference only as market already baked in some synergies into current share price</t>
  </si>
  <si>
    <t xml:space="preserve">Spectrum liability </t>
  </si>
  <si>
    <t>Addition</t>
  </si>
  <si>
    <t>(-) Spectrum payment</t>
  </si>
  <si>
    <t>Spectrum liability</t>
  </si>
  <si>
    <t>FCFF</t>
  </si>
  <si>
    <t>+ D&amp;A</t>
  </si>
  <si>
    <t>PV of FCFF</t>
  </si>
  <si>
    <t>Terminal Value</t>
  </si>
  <si>
    <t>(-) Net debt 2025</t>
  </si>
  <si>
    <t>Implied price per share</t>
  </si>
  <si>
    <t>Discounted FCFF</t>
  </si>
  <si>
    <t>(-) License renewal</t>
  </si>
  <si>
    <t>(-) License auction in 2026</t>
  </si>
  <si>
    <t>D&amp;A/Capex</t>
  </si>
  <si>
    <t>% of capex</t>
  </si>
  <si>
    <t>Baseline capex</t>
  </si>
  <si>
    <t>Telkomsel:14-15%, Indosat around 17-19% at 13tn</t>
  </si>
  <si>
    <t>Interest expense on spectrum liability</t>
  </si>
  <si>
    <t>Average cash balance</t>
  </si>
  <si>
    <t>Interest income rate</t>
  </si>
  <si>
    <t>Depreciation as % of baseline capex</t>
  </si>
  <si>
    <t>Assume 4 years to realise full synergies (2025-2028)</t>
  </si>
  <si>
    <t>EFCF before dividends from assocaites, lease and license payment</t>
  </si>
  <si>
    <t>Price target</t>
  </si>
  <si>
    <t>XLSmart&gt;</t>
  </si>
  <si>
    <t>2Q25: XLSmart merger</t>
  </si>
  <si>
    <t/>
  </si>
  <si>
    <t xml:space="preserve"> % Variance</t>
  </si>
  <si>
    <t>Low to mid 40%</t>
  </si>
  <si>
    <t>Implied growth</t>
  </si>
  <si>
    <t>24-30</t>
  </si>
  <si>
    <t>3.5x proforma in 2Q25</t>
  </si>
  <si>
    <t>EV/ EBITDA</t>
  </si>
  <si>
    <t>EV/ OpFCF</t>
  </si>
  <si>
    <t>EV/ FCF</t>
  </si>
  <si>
    <t>P/ EFCF</t>
  </si>
  <si>
    <t>FCFF yield</t>
  </si>
  <si>
    <t>Div yield</t>
  </si>
  <si>
    <t>Equity value</t>
  </si>
  <si>
    <t>Last closed share price</t>
  </si>
  <si>
    <t>Number of shares</t>
  </si>
  <si>
    <t>bn</t>
  </si>
  <si>
    <t>Market capitalisation</t>
  </si>
  <si>
    <t>Less: treasury shares</t>
  </si>
  <si>
    <t xml:space="preserve">Net debt (CASH) including lease liabilities </t>
  </si>
  <si>
    <t>Less: Minorities</t>
  </si>
  <si>
    <t>Less: Tax credit</t>
  </si>
  <si>
    <t>Less: Tax credit NPV</t>
  </si>
  <si>
    <t>Add: Restructuring NPV</t>
  </si>
  <si>
    <t>EFCF market cap.</t>
  </si>
  <si>
    <t>Dividends per share</t>
  </si>
  <si>
    <t>Dividend payout ratio</t>
  </si>
  <si>
    <t>Return on invested capital</t>
  </si>
  <si>
    <t>Average 5Y capex</t>
  </si>
  <si>
    <t>ROIC1</t>
  </si>
  <si>
    <t>Incremental change</t>
  </si>
  <si>
    <t>ROIC2</t>
  </si>
  <si>
    <t>Excess returns</t>
  </si>
  <si>
    <t>Underlying EPS (IDR)</t>
  </si>
  <si>
    <t>Reported net profit</t>
  </si>
  <si>
    <t>Guidance: Pre-tax Run-rate US$300-400m which implies IDR 5.6tn/year</t>
  </si>
  <si>
    <t>After-tax cost of Debt</t>
  </si>
  <si>
    <t xml:space="preserve">+ Depreciation </t>
  </si>
  <si>
    <t>2025E revenue</t>
  </si>
  <si>
    <t>We assumed IDR 3.4tn integration costs (US$210m, ~60% of run-rate $350m gross synergies target). 30% allocated for opex (~IDR 1tn) and remainder (IDR2.4tn) for capex</t>
  </si>
  <si>
    <t>However, first year capex IDR20-25tn and integration costs were much higher than anticipated.</t>
  </si>
  <si>
    <t>Lower, lower leases and hence lower net debt</t>
  </si>
  <si>
    <t>Net debt including leases/EBITDA</t>
  </si>
  <si>
    <t>Net debt ex. leases/EBITDA</t>
  </si>
  <si>
    <t xml:space="preserve">Trimmed TP to IDR4.3k </t>
  </si>
  <si>
    <t>Associate</t>
  </si>
  <si>
    <t>Kelvin Oh, CFA</t>
  </si>
  <si>
    <t>kelvin@newstreetresearch.com</t>
  </si>
  <si>
    <t>+ 65 9159 2469</t>
  </si>
  <si>
    <t>IDR 4,500</t>
  </si>
  <si>
    <t>20-25%</t>
  </si>
  <si>
    <t>IDR 10tn from IDR20-25tn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</si>
</sst>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0">
    <numFmt numFmtId="6" formatCode="&quot;$&quot;#,##0;[Red]\-&quot;$&quot;#,##0"/>
    <numFmt numFmtId="8" formatCode="&quot;$&quot;#,##0.00;[Red]\-&quot;$&quot;#,##0.00"/>
    <numFmt numFmtId="42" formatCode="_-&quot;$&quot;* #,##0_-;\-&quot;$&quot;* #,##0_-;_-&quot;$&quot;* &quot;-&quot;_-;_-@_-"/>
    <numFmt numFmtId="41" formatCode="_-* #,##0_-;\-* #,##0_-;_-* &quot;-&quot;_-;_-@_-"/>
    <numFmt numFmtId="43" formatCode="_-* #,##0.00_-;\-* #,##0.00_-;_-* &quot;-&quot;??_-;_-@_-"/>
    <numFmt numFmtId="164" formatCode="0_ ;\-0\ "/>
    <numFmt numFmtId="165" formatCode="_-* #,##0.0_-;\-* #,##0.0_-;_-* &quot;-&quot;??_-;_-@_-"/>
    <numFmt numFmtId="166" formatCode="_-* #,##0_-;\-* #,##0_-;_-* &quot;-&quot;??_-;_-@_-"/>
    <numFmt numFmtId="167" formatCode="0.0%"/>
    <numFmt numFmtId="168" formatCode="0.0"/>
    <numFmt numFmtId="169" formatCode="#,##0.0"/>
    <numFmt numFmtId="170" formatCode="#,##0.0%;[Red]\-#,##0.0%;0.0%;@_)"/>
    <numFmt numFmtId="171" formatCode="#,##0.00_);[Red]\-#,##0.00_);0.00_);@_)"/>
    <numFmt numFmtId="172" formatCode="0.0000"/>
    <numFmt numFmtId="173" formatCode="#,##0.0_ ;[Red]\-#,##0.0\ "/>
    <numFmt numFmtId="174" formatCode="_(* #,##0_);_(* \(#,##0\);_(* &quot;-&quot;_);_(@_)"/>
    <numFmt numFmtId="175" formatCode="_-* #,##0.000_-;\-* #,##0.000_-;_-* &quot;-&quot;??_-;_-@_-"/>
    <numFmt numFmtId="176" formatCode="#,##0_);[Red]\-#,##0_);0_);@_)"/>
    <numFmt numFmtId="177" formatCode="#,##0.0_);[Red]\-#,##0.0_);0.0_);@_)"/>
    <numFmt numFmtId="178" formatCode="0.000"/>
    <numFmt numFmtId="179" formatCode="0.0\x"/>
    <numFmt numFmtId="180" formatCode="#,##0.000"/>
    <numFmt numFmtId="181" formatCode="####&quot;E&quot;"/>
    <numFmt numFmtId="182" formatCode="_(* #,##0.00_);_(* \(#,##0.00\);_(* &quot;-&quot;_);_(@_)"/>
    <numFmt numFmtId="183" formatCode="0.0000%"/>
    <numFmt numFmtId="184" formatCode="#,##0%;[Red]\-#,##0%;0%;@_)"/>
    <numFmt numFmtId="185" formatCode="#,##0.00%;[Red]\-#,##0.00%;0.00%;@_)"/>
    <numFmt numFmtId="186" formatCode="dd\ mmm\ yy_)"/>
    <numFmt numFmtId="187" formatCode="* _(#,##0.00_);[Red]* \(#,##0.00\);* _(&quot;-&quot;?_);@_)"/>
    <numFmt numFmtId="188" formatCode="\€\ * _(#,##0_);[Red]\€\ * \(#,##0\);\€\ * _(&quot;-&quot;?_);@_)"/>
    <numFmt numFmtId="189" formatCode="\€\ * _(#,##0.00_);[Red]\€\ * \(#,##0.00\);\€\ * _(&quot;-&quot;?_);@_)"/>
    <numFmt numFmtId="190" formatCode="[$EUR]\ * _(#,##0_);[Red][$EUR]\ * \(#,##0\);[$EUR]\ * _(&quot;-&quot;?_);@_)"/>
    <numFmt numFmtId="191" formatCode="[$EUR]\ * _(#,##0.00_);[Red][$EUR]\ * \(#,##0.00\);[$EUR]\ * _(&quot;-&quot;?_);@_)"/>
    <numFmt numFmtId="192" formatCode="\$\ * _(#,##0_);[Red]\$\ * \(#,##0\);\$\ * _(&quot;-&quot;?_);@_)"/>
    <numFmt numFmtId="193" formatCode="\$\ * _(#,##0.00_);[Red]\$\ * \(#,##0.00\);\$\ * _(&quot;-&quot;?_);@_)"/>
    <numFmt numFmtId="194" formatCode="[$USD]\ * _(#,##0_);[Red][$USD]\ * \(#,##0\);[$USD]\ * _(&quot;-&quot;?_);@_)"/>
    <numFmt numFmtId="195" formatCode="[$USD]\ * _(#,##0.00_);[Red][$USD]\ * \(#,##0.00\);[$USD]\ * _(&quot;-&quot;?_);@_)"/>
    <numFmt numFmtId="196" formatCode="\£\ * _(#,##0_);[Red]\£\ * \(#,##0\);\£\ * _(&quot;-&quot;?_);@_)"/>
    <numFmt numFmtId="197" formatCode="\£\ * _(#,##0.00_);[Red]\£\ * \(#,##0.00\);\£\ * _(&quot;-&quot;?_);@_)"/>
    <numFmt numFmtId="198" formatCode="[$GBP]\ * _(#,##0_);[Red][$GBP]\ * \(#,##0\);[$GBP]\ * _(&quot;-&quot;?_);@_)"/>
    <numFmt numFmtId="199" formatCode="[$GBP]\ * _(#,##0.00_);[Red][$GBP]\ * \(#,##0.00\);[$GBP]\ * _(&quot;-&quot;?_);@_)"/>
    <numFmt numFmtId="200" formatCode="mmm\ yy_)"/>
    <numFmt numFmtId="201" formatCode="yyyy_)"/>
    <numFmt numFmtId="202" formatCode="0_);\(0\)"/>
    <numFmt numFmtId="203" formatCode="0&quot;E&quot;;\(0\)&quot;E&quot;"/>
    <numFmt numFmtId="204" formatCode="0.00_);\(0.00\);0.00"/>
    <numFmt numFmtId="205" formatCode="_-\€* #,##0.00_-;\-\€* #,##0.00_-;_-\€* &quot;-&quot;??_-;_-@_-"/>
    <numFmt numFmtId="206" formatCode="_-\€* #,##0_-;\-\€* #,##0_-;_-\€* &quot;-&quot;_-;_-@_-"/>
    <numFmt numFmtId="207" formatCode="#,##0_);\(#,##0\);0_)"/>
    <numFmt numFmtId="208" formatCode="#,##0.0000_);[Red]\(#,##0.0000\);0.0000_)"/>
    <numFmt numFmtId="209" formatCode="00000"/>
    <numFmt numFmtId="210" formatCode="0.00_);\(0.00\);0.00_)"/>
    <numFmt numFmtId="211" formatCode="#,##0;\(#,##0\)"/>
    <numFmt numFmtId="212" formatCode="0.0_ ;[Red]\-0.0\ "/>
    <numFmt numFmtId="213" formatCode="_-* #,##0_ _F_-;\-* #,##0_ _F_-;_-* &quot;-&quot;_ _F_-;_-@_-"/>
    <numFmt numFmtId="214" formatCode="#,##0.00_);[Red]\(#,##0.00\);0.00_)"/>
    <numFmt numFmtId="215" formatCode="_-* #,##0.00_ _F_-;\-* #,##0.00_ _F_-;_-* &quot;-&quot;??_ _F_-;_-@_-"/>
    <numFmt numFmtId="216" formatCode="_-* #,##0&quot; F&quot;_-;\-* #,##0&quot; F&quot;_-;_-* &quot;-&quot;&quot; F&quot;_-;_-@_-"/>
    <numFmt numFmtId="217" formatCode="#,##0.00_)&quot; F&quot;;[Red]\(#,##0.00\)&quot; F&quot;;0.00_)&quot; F&quot;"/>
    <numFmt numFmtId="218" formatCode="_-* #,##0.00&quot; F&quot;_-;\-* #,##0.00&quot; F&quot;_-;_-* &quot;-&quot;??&quot; F&quot;_-;_-@_-"/>
    <numFmt numFmtId="219" formatCode="#,##0_);\(#,##0\);;"/>
    <numFmt numFmtId="220" formatCode="0%;[Red]\-0%"/>
    <numFmt numFmtId="221" formatCode="0.00\%;\-0.00\%;0.00\%"/>
    <numFmt numFmtId="222" formatCode="0.0%_);\(0.0%\)"/>
    <numFmt numFmtId="223" formatCode="0.00%_);\(0.00%\)"/>
    <numFmt numFmtId="224" formatCode="0.00\x;\-0.00\x;0.00\x"/>
    <numFmt numFmtId="225" formatCode="##0.00000"/>
    <numFmt numFmtId="226" formatCode="0\.00%;[Red]\-0\.00%"/>
    <numFmt numFmtId="227" formatCode="#,##0.0;\(#,##0.0\)"/>
    <numFmt numFmtId="228" formatCode="yyyy"/>
    <numFmt numFmtId="229" formatCode="#,##0,;\-#,##0,"/>
    <numFmt numFmtId="230" formatCode="#,##0.0_);\(#,##0.0\)"/>
    <numFmt numFmtId="231" formatCode="#,##0.00;\(#,##0.00\)"/>
    <numFmt numFmtId="232" formatCode="#,##0.0\ ;\(#,##0.0\)"/>
    <numFmt numFmtId="233" formatCode="#,##0.000;\(#,##0.000\)"/>
    <numFmt numFmtId="234" formatCode="0.000%"/>
    <numFmt numFmtId="235" formatCode="&quot;kr&quot;\ #,##0_);[Red]\(&quot;kr&quot;\ #,##0\)"/>
    <numFmt numFmtId="236" formatCode="&quot;kr&quot;\ #,##0.00_);[Red]\(&quot;kr&quot;\ #,##0.00\)"/>
    <numFmt numFmtId="237" formatCode="&quot;$&quot;_(#,##0.00_);&quot;$&quot;\(#,##0.00\)"/>
    <numFmt numFmtId="238" formatCode="#,##0.0_)\x;\(#,##0.0\)\x"/>
    <numFmt numFmtId="239" formatCode="#,##0.0_)_x;\(#,##0.0\)_x"/>
    <numFmt numFmtId="240" formatCode="0.0_)\%;\(0.0\)\%"/>
    <numFmt numFmtId="241" formatCode="#,##0.0_)_%;\(#,##0.0\)_%"/>
    <numFmt numFmtId="242" formatCode="#,##0.00\ &quot;Kč&quot;;[Red]\-#,##0.00\ &quot;Kč&quot;"/>
    <numFmt numFmtId="243" formatCode="#,##0.000_);[Red]\(#,##0.000\)"/>
    <numFmt numFmtId="244" formatCode="0.0%_);\(0.0%\)_)"/>
    <numFmt numFmtId="245" formatCode="&quot;$&quot;#,##0.00000000000000000000000000_);[Red]\(&quot;$&quot;#,##0.00000000000000000000000000\)"/>
    <numFmt numFmtId="246" formatCode="&quot;$&quot;#,##0.00&quot;A&quot;;[Red]\(&quot;$&quot;#,##0.00\)&quot;A&quot;"/>
    <numFmt numFmtId="247" formatCode="&quot;$&quot;#,##0.00&quot;E&quot;;[Red]\(&quot;$&quot;#,##0.00\)&quot;E&quot;"/>
    <numFmt numFmtId="248" formatCode="_-[$€]* #,##0.00_-;\-[$€]* #,##0.00_-;_-[$€]* &quot;-&quot;??_-;_-@_-"/>
    <numFmt numFmtId="249" formatCode="#\ ##0.0"/>
    <numFmt numFmtId="250" formatCode="#,##0.0_);[Red]\(#,##0.0\)"/>
    <numFmt numFmtId="251" formatCode="0.0%_);[Red]\(0.0%\)"/>
    <numFmt numFmtId="252" formatCode="0.00%;\(0.00%\)"/>
    <numFmt numFmtId="253" formatCode="###0"/>
    <numFmt numFmtId="254" formatCode="General_)"/>
    <numFmt numFmtId="255" formatCode="_ * #,##0.00_ ;_ * \-#,##0.00_ ;_ * &quot;-&quot;??_ ;_ @_ "/>
    <numFmt numFmtId="256" formatCode="_-* #,##0.00\ _K_č_-;\-* #,##0.00\ _K_č_-;_-* &quot;-&quot;??\ _K_č_-;_-@_-"/>
    <numFmt numFmtId="257" formatCode="#.0"/>
    <numFmt numFmtId="258" formatCode="#,##0.00_)\ \x;\(#,##0.00\)\ \x"/>
    <numFmt numFmtId="259" formatCode="#,##0.00\ ;\(#,##0.00\)"/>
    <numFmt numFmtId="260" formatCode="_-* #,##0_-;* \(#,##0\)_-;_-* &quot;-&quot;??_-;_-@_-"/>
    <numFmt numFmtId="261" formatCode="_(* #,##0_);_(* \(#,##0\);_(* &quot;-&quot;??_);_(@_)"/>
    <numFmt numFmtId="262" formatCode="0.0&quot;x&quot;"/>
    <numFmt numFmtId="263" formatCode="#,##0_);\(#,##0\)_);&quot;-&quot;_)"/>
    <numFmt numFmtId="264" formatCode="#,##0.0_);\(#,##0.0\)_);&quot;-&quot;_)"/>
    <numFmt numFmtId="265" formatCode="&quot;Y&quot;##"/>
    <numFmt numFmtId="266" formatCode="&quot;Y&quot;0"/>
    <numFmt numFmtId="267" formatCode="#,##0.00_);\(#,##0.00\)_);&quot;-&quot;_)"/>
    <numFmt numFmtId="268" formatCode="#,##0.0000_);\(#,##0.0000\)_);&quot;-&quot;_)"/>
  </numFmts>
  <fonts count="184">
    <font>
      <sz val="11"/>
      <color theme="1"/>
      <name val="Calibri"/>
      <family val="2"/>
      <scheme val="minor"/>
    </font>
    <font>
      <sz val="11"/>
      <color theme="1"/>
      <name val="Calibri"/>
      <family val="2"/>
      <scheme val="minor"/>
    </font>
    <font>
      <sz val="10"/>
      <name val="Arial"/>
      <family val="2"/>
    </font>
    <font>
      <sz val="10"/>
      <name val="Trebuchet MS"/>
      <family val="2"/>
    </font>
    <font>
      <b/>
      <sz val="10"/>
      <name val="Trebuchet MS"/>
      <family val="2"/>
    </font>
    <font>
      <sz val="10"/>
      <name val="MS Sans Serif"/>
      <family val="2"/>
    </font>
    <font>
      <sz val="8"/>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b/>
      <sz val="10"/>
      <name val="Arial"/>
      <family val="2"/>
    </font>
    <font>
      <b/>
      <sz val="10"/>
      <color indexed="9"/>
      <name val="Arial"/>
      <family val="2"/>
    </font>
    <font>
      <i/>
      <sz val="10"/>
      <name val="Arial"/>
      <family val="2"/>
    </font>
    <font>
      <b/>
      <sz val="11"/>
      <color theme="1"/>
      <name val="Calibri"/>
      <family val="2"/>
      <scheme val="minor"/>
    </font>
    <font>
      <sz val="10"/>
      <color theme="1"/>
      <name val="Arial"/>
      <family val="2"/>
    </font>
    <font>
      <b/>
      <sz val="10"/>
      <color theme="1"/>
      <name val="Arial"/>
      <family val="2"/>
    </font>
    <font>
      <i/>
      <sz val="11"/>
      <color rgb="FF7F7F7F"/>
      <name val="Calibri"/>
      <family val="2"/>
      <scheme val="minor"/>
    </font>
    <font>
      <sz val="10"/>
      <color theme="1"/>
      <name val="Roboto"/>
    </font>
    <font>
      <b/>
      <sz val="10"/>
      <color theme="1"/>
      <name val="Roboto"/>
    </font>
    <font>
      <sz val="10"/>
      <color rgb="FF0000FF"/>
      <name val="Roboto"/>
    </font>
    <font>
      <i/>
      <sz val="10"/>
      <color theme="1"/>
      <name val="Roboto"/>
    </font>
    <font>
      <b/>
      <sz val="10"/>
      <color theme="0"/>
      <name val="Roboto"/>
    </font>
    <font>
      <sz val="10"/>
      <name val="Roboto"/>
    </font>
    <font>
      <b/>
      <sz val="10"/>
      <name val="Roboto"/>
    </font>
    <font>
      <sz val="10"/>
      <color rgb="FFFF0000"/>
      <name val="Roboto"/>
    </font>
    <font>
      <sz val="10"/>
      <color theme="0"/>
      <name val="Roboto"/>
    </font>
    <font>
      <b/>
      <sz val="10"/>
      <color rgb="FF0000FF"/>
      <name val="Roboto"/>
    </font>
    <font>
      <b/>
      <i/>
      <sz val="10"/>
      <color theme="1"/>
      <name val="Roboto"/>
    </font>
    <font>
      <i/>
      <sz val="10"/>
      <color rgb="FF0000FF"/>
      <name val="Roboto"/>
    </font>
    <font>
      <b/>
      <sz val="10"/>
      <color theme="0" tint="-4.9989318521683403E-2"/>
      <name val="Roboto"/>
    </font>
    <font>
      <sz val="10"/>
      <color theme="0" tint="-4.9989318521683403E-2"/>
      <name val="Roboto"/>
    </font>
    <font>
      <sz val="11"/>
      <color rgb="FFFF0000"/>
      <name val="Calibri"/>
      <family val="2"/>
      <scheme val="minor"/>
    </font>
    <font>
      <i/>
      <sz val="11"/>
      <name val="Calibri"/>
      <family val="2"/>
      <scheme val="minor"/>
    </font>
    <font>
      <i/>
      <sz val="10"/>
      <name val="Roboto"/>
    </font>
    <font>
      <b/>
      <sz val="10"/>
      <color theme="0"/>
      <name val="Arial"/>
      <family val="2"/>
    </font>
    <font>
      <sz val="10"/>
      <color rgb="FFFF0000"/>
      <name val="Arial"/>
      <family val="2"/>
    </font>
    <font>
      <b/>
      <sz val="10"/>
      <color rgb="FF0000FF"/>
      <name val="Arial"/>
      <family val="2"/>
    </font>
    <font>
      <sz val="10"/>
      <color rgb="FF0000FF"/>
      <name val="Arial"/>
      <family val="2"/>
    </font>
    <font>
      <b/>
      <sz val="11"/>
      <name val="Calibri"/>
      <family val="2"/>
      <scheme val="minor"/>
    </font>
    <font>
      <sz val="11"/>
      <name val="Calibri"/>
      <family val="2"/>
      <scheme val="minor"/>
    </font>
    <font>
      <sz val="9"/>
      <name val="Arial"/>
      <family val="2"/>
    </font>
    <font>
      <u/>
      <sz val="6.5"/>
      <color indexed="12"/>
      <name val="MS Sans Serif"/>
      <family val="2"/>
    </font>
    <font>
      <u/>
      <sz val="10"/>
      <color theme="10"/>
      <name val="Roboto"/>
    </font>
    <font>
      <sz val="11"/>
      <color theme="1"/>
      <name val="Roboto"/>
    </font>
    <font>
      <b/>
      <sz val="9"/>
      <name val="Arial"/>
      <family val="2"/>
    </font>
    <font>
      <sz val="10"/>
      <color rgb="FF00B050"/>
      <name val="Arial"/>
      <family val="2"/>
    </font>
    <font>
      <b/>
      <sz val="10"/>
      <color rgb="FFFF0000"/>
      <name val="Roboto"/>
    </font>
    <font>
      <sz val="10"/>
      <color rgb="FF7030A0"/>
      <name val="Roboto"/>
    </font>
    <font>
      <sz val="10"/>
      <color rgb="FF00B050"/>
      <name val="Roboto"/>
    </font>
    <font>
      <b/>
      <sz val="10"/>
      <color rgb="FF00B050"/>
      <name val="Roboto"/>
    </font>
    <font>
      <sz val="10"/>
      <color rgb="FFC00000"/>
      <name val="Roboto"/>
    </font>
    <font>
      <u/>
      <sz val="11"/>
      <color theme="10"/>
      <name val="Calibri"/>
      <family val="2"/>
      <scheme val="minor"/>
    </font>
    <font>
      <b/>
      <sz val="11"/>
      <color theme="3"/>
      <name val="Calibri"/>
      <family val="2"/>
      <scheme val="minor"/>
    </font>
    <font>
      <b/>
      <sz val="10"/>
      <name val="MS Sans Serif"/>
    </font>
    <font>
      <b/>
      <sz val="12"/>
      <name val="Arial"/>
      <family val="2"/>
    </font>
    <font>
      <b/>
      <sz val="18"/>
      <name val="Arial"/>
      <family val="2"/>
    </font>
    <font>
      <b/>
      <sz val="14"/>
      <name val="Arial"/>
      <family val="2"/>
    </font>
    <font>
      <b/>
      <sz val="22"/>
      <name val="Arial"/>
      <family val="2"/>
    </font>
    <font>
      <i/>
      <sz val="9"/>
      <color indexed="55"/>
      <name val="Arial"/>
      <family val="2"/>
    </font>
    <font>
      <i/>
      <sz val="9"/>
      <color indexed="16"/>
      <name val="Arial"/>
      <family val="2"/>
    </font>
    <font>
      <sz val="10"/>
      <name val="Times New Roman"/>
      <family val="1"/>
    </font>
    <font>
      <b/>
      <sz val="12"/>
      <name val="Helv"/>
    </font>
    <font>
      <sz val="10"/>
      <color indexed="10"/>
      <name val="Times New Roman"/>
      <family val="1"/>
    </font>
    <font>
      <sz val="12"/>
      <color indexed="10"/>
      <name val="Times New Roman"/>
      <family val="1"/>
    </font>
    <font>
      <b/>
      <sz val="10"/>
      <name val="Times New Roman"/>
      <family val="1"/>
    </font>
    <font>
      <sz val="8"/>
      <name val="Helvetica"/>
      <family val="2"/>
    </font>
    <font>
      <sz val="10"/>
      <name val="Frutiger 45 Light"/>
      <family val="2"/>
    </font>
    <font>
      <sz val="24"/>
      <name val="MS Sans Serif"/>
      <family val="2"/>
    </font>
    <font>
      <sz val="12"/>
      <name val="Times New Roman"/>
      <family val="1"/>
    </font>
    <font>
      <sz val="12"/>
      <color indexed="14"/>
      <name val="Times New Roman"/>
      <family val="1"/>
    </font>
    <font>
      <sz val="10"/>
      <name val="Arial Narrow"/>
      <family val="2"/>
    </font>
    <font>
      <sz val="10"/>
      <color indexed="12"/>
      <name val="Times New Roman"/>
      <family val="1"/>
    </font>
    <font>
      <sz val="12"/>
      <name val="Arial"/>
      <family val="2"/>
    </font>
    <font>
      <b/>
      <sz val="10"/>
      <name val="Helv"/>
    </font>
    <font>
      <b/>
      <sz val="18"/>
      <name val="Times New Roman"/>
      <family val="1"/>
    </font>
    <font>
      <sz val="10"/>
      <name val="Geneva"/>
    </font>
    <font>
      <i/>
      <sz val="12"/>
      <color indexed="10"/>
      <name val="Times New Roman"/>
      <family val="1"/>
    </font>
    <font>
      <i/>
      <sz val="10"/>
      <name val="Helv"/>
    </font>
    <font>
      <sz val="12"/>
      <color indexed="12"/>
      <name val="Times New Roman"/>
      <family val="1"/>
    </font>
    <font>
      <sz val="10"/>
      <color indexed="23"/>
      <name val="MS Sans Serif"/>
      <family val="2"/>
    </font>
    <font>
      <b/>
      <sz val="14"/>
      <name val="Times New Roman"/>
      <family val="1"/>
    </font>
    <font>
      <b/>
      <sz val="12"/>
      <name val="MS Sans Serif"/>
      <family val="2"/>
    </font>
    <font>
      <b/>
      <sz val="10"/>
      <name val="MS Sans Serif"/>
      <family val="2"/>
    </font>
    <font>
      <sz val="8"/>
      <color indexed="49"/>
      <name val="Times New Roman"/>
      <family val="1"/>
    </font>
    <font>
      <sz val="10"/>
      <color indexed="8"/>
      <name val="MS Sans Serif"/>
      <family val="2"/>
    </font>
    <font>
      <sz val="12"/>
      <name val="·s²Ó©úÅé"/>
      <charset val="136"/>
    </font>
    <font>
      <sz val="11"/>
      <color indexed="8"/>
      <name val="Calibri"/>
      <family val="2"/>
    </font>
    <font>
      <sz val="11"/>
      <color indexed="9"/>
      <name val="Calibri"/>
      <family val="2"/>
    </font>
    <font>
      <sz val="10"/>
      <name val="Helv"/>
    </font>
    <font>
      <sz val="8"/>
      <color indexed="8"/>
      <name val="MS Sans Serif"/>
      <family val="2"/>
    </font>
    <font>
      <sz val="8"/>
      <name val="Times New Roman"/>
      <family val="1"/>
    </font>
    <font>
      <b/>
      <sz val="11"/>
      <color indexed="10"/>
      <name val="Times New Roman"/>
      <family val="1"/>
    </font>
    <font>
      <sz val="11"/>
      <color indexed="62"/>
      <name val="Calibri"/>
      <family val="2"/>
    </font>
    <font>
      <b/>
      <i/>
      <sz val="11"/>
      <color indexed="9"/>
      <name val="Times New Roman"/>
      <family val="1"/>
    </font>
    <font>
      <b/>
      <sz val="9"/>
      <color indexed="9"/>
      <name val="Arial"/>
      <family val="2"/>
    </font>
    <font>
      <sz val="8"/>
      <color indexed="12"/>
      <name val="Tms Rmn"/>
      <family val="1"/>
    </font>
    <font>
      <u val="singleAccounting"/>
      <sz val="10"/>
      <name val="Arial"/>
      <family val="2"/>
    </font>
    <font>
      <sz val="10"/>
      <color indexed="18"/>
      <name val="Times New Roman"/>
      <family val="1"/>
    </font>
    <font>
      <b/>
      <sz val="11"/>
      <color indexed="9"/>
      <name val="Calibri"/>
      <family val="2"/>
    </font>
    <font>
      <sz val="10"/>
      <color indexed="22"/>
      <name val="Arial"/>
      <family val="2"/>
    </font>
    <font>
      <b/>
      <sz val="8"/>
      <name val="Arial"/>
      <family val="2"/>
    </font>
    <font>
      <b/>
      <sz val="8"/>
      <name val="Times New Roman"/>
      <family val="1"/>
    </font>
    <font>
      <u val="doubleAccounting"/>
      <sz val="10"/>
      <name val="Arial"/>
      <family val="2"/>
    </font>
    <font>
      <b/>
      <i/>
      <sz val="8"/>
      <color indexed="12"/>
      <name val="HelveticaNeue Condensed"/>
    </font>
    <font>
      <i/>
      <sz val="11"/>
      <color indexed="63"/>
      <name val="Calibri"/>
      <family val="2"/>
    </font>
    <font>
      <sz val="10"/>
      <color indexed="2"/>
      <name val="Tahoma"/>
      <family val="2"/>
    </font>
    <font>
      <b/>
      <sz val="7"/>
      <color indexed="12"/>
      <name val="Arial"/>
      <family val="2"/>
    </font>
    <font>
      <b/>
      <sz val="10"/>
      <color indexed="0"/>
      <name val="Tahoma"/>
      <family val="2"/>
    </font>
    <font>
      <u/>
      <sz val="10"/>
      <color indexed="36"/>
      <name val="Arial"/>
      <family val="2"/>
    </font>
    <font>
      <sz val="11"/>
      <color indexed="58"/>
      <name val="Calibri"/>
      <family val="2"/>
    </font>
    <font>
      <i/>
      <sz val="8"/>
      <color indexed="17"/>
      <name val="Times New Roman"/>
      <family val="1"/>
    </font>
    <font>
      <sz val="8"/>
      <color indexed="21"/>
      <name val="Arial"/>
      <family val="2"/>
    </font>
    <font>
      <sz val="8"/>
      <color indexed="12"/>
      <name val="Times New Roman"/>
      <family val="1"/>
    </font>
    <font>
      <b/>
      <sz val="12"/>
      <color indexed="10"/>
      <name val="Arial"/>
      <family val="2"/>
    </font>
    <font>
      <b/>
      <sz val="15"/>
      <color indexed="34"/>
      <name val="Calibri"/>
      <family val="2"/>
    </font>
    <font>
      <b/>
      <sz val="11"/>
      <color indexed="34"/>
      <name val="Calibri"/>
      <family val="2"/>
    </font>
    <font>
      <b/>
      <sz val="10"/>
      <color indexed="18"/>
      <name val="Times New Roman"/>
      <family val="1"/>
    </font>
    <font>
      <sz val="10"/>
      <name val="Tahoma"/>
      <family val="2"/>
    </font>
    <font>
      <sz val="8"/>
      <color indexed="8"/>
      <name val="Helvetica"/>
      <family val="2"/>
    </font>
    <font>
      <u/>
      <sz val="6"/>
      <color indexed="12"/>
      <name val="Arial"/>
      <family val="2"/>
    </font>
    <font>
      <sz val="12"/>
      <name val="Helv"/>
    </font>
    <font>
      <sz val="8"/>
      <color indexed="39"/>
      <name val="Arial"/>
      <family val="2"/>
    </font>
    <font>
      <sz val="8"/>
      <color indexed="10"/>
      <name val="Helv"/>
    </font>
    <font>
      <sz val="10"/>
      <color indexed="16"/>
      <name val="MS Sans Serif"/>
      <family val="2"/>
    </font>
    <font>
      <sz val="11"/>
      <color indexed="52"/>
      <name val="Calibri"/>
      <family val="2"/>
    </font>
    <font>
      <b/>
      <sz val="12"/>
      <color indexed="17"/>
      <name val="Wingdings"/>
      <charset val="2"/>
    </font>
    <font>
      <b/>
      <sz val="8"/>
      <color indexed="14"/>
      <name val="MS Sans Serif"/>
      <family val="2"/>
    </font>
    <font>
      <sz val="8"/>
      <color indexed="18"/>
      <name val="Times New Roman"/>
      <family val="1"/>
    </font>
    <font>
      <b/>
      <i/>
      <sz val="10"/>
      <color indexed="4"/>
      <name val="Tahoma"/>
      <family val="2"/>
    </font>
    <font>
      <sz val="10"/>
      <color indexed="4"/>
      <name val="Tahoma"/>
      <family val="2"/>
    </font>
    <font>
      <sz val="11"/>
      <color indexed="60"/>
      <name val="Calibri"/>
      <family val="2"/>
    </font>
    <font>
      <sz val="7"/>
      <name val="Small Fonts"/>
      <family val="2"/>
    </font>
    <font>
      <b/>
      <u/>
      <sz val="12"/>
      <name val="L Serifa Light"/>
    </font>
    <font>
      <sz val="7"/>
      <color indexed="12"/>
      <name val="Arial"/>
      <family val="2"/>
    </font>
    <font>
      <sz val="8"/>
      <color indexed="8"/>
      <name val="Arial"/>
      <family val="2"/>
    </font>
    <font>
      <i/>
      <sz val="10"/>
      <name val="Helvetica"/>
    </font>
    <font>
      <b/>
      <sz val="8"/>
      <color indexed="18"/>
      <name val="Times New Roman"/>
      <family val="1"/>
    </font>
    <font>
      <sz val="8"/>
      <name val="Univers"/>
      <family val="2"/>
    </font>
    <font>
      <sz val="8"/>
      <color indexed="10"/>
      <name val="Arial"/>
      <family val="2"/>
    </font>
    <font>
      <sz val="10"/>
      <name val="GillSans Light"/>
    </font>
    <font>
      <sz val="8"/>
      <name val="COUR"/>
    </font>
    <font>
      <b/>
      <sz val="16"/>
      <name val="Times New Roman"/>
      <family val="1"/>
    </font>
    <font>
      <b/>
      <sz val="10"/>
      <color indexed="16"/>
      <name val="Times New Roman"/>
      <family val="1"/>
    </font>
    <font>
      <sz val="8"/>
      <name val="MS Sans Serif"/>
      <family val="2"/>
    </font>
    <font>
      <i/>
      <sz val="9"/>
      <name val="Times New Roman"/>
      <family val="1"/>
    </font>
    <font>
      <sz val="11"/>
      <color indexed="10"/>
      <name val="Calibri"/>
      <family val="2"/>
    </font>
    <font>
      <b/>
      <i/>
      <sz val="10"/>
      <name val="Arial"/>
      <family val="2"/>
    </font>
    <font>
      <sz val="8"/>
      <color indexed="9"/>
      <name val="Arial"/>
      <family val="2"/>
    </font>
    <font>
      <sz val="14"/>
      <name val="뼻뮝"/>
      <family val="3"/>
      <charset val="129"/>
    </font>
    <font>
      <sz val="12"/>
      <name val="뼻뮝"/>
      <family val="1"/>
      <charset val="129"/>
    </font>
    <font>
      <sz val="11"/>
      <name val="돋움"/>
      <family val="3"/>
      <charset val="129"/>
    </font>
    <font>
      <sz val="11"/>
      <name val="돋움체"/>
      <family val="3"/>
      <charset val="129"/>
    </font>
    <font>
      <i/>
      <sz val="10"/>
      <color rgb="FFFF0000"/>
      <name val="Roboto"/>
    </font>
    <font>
      <b/>
      <u val="singleAccounting"/>
      <sz val="10"/>
      <color theme="0"/>
      <name val="Roboto"/>
    </font>
    <font>
      <sz val="11"/>
      <color rgb="FF0000FF"/>
      <name val="Calibri"/>
      <family val="2"/>
      <scheme val="minor"/>
    </font>
    <font>
      <b/>
      <sz val="10"/>
      <color indexed="9"/>
      <name val="Roboto"/>
    </font>
    <font>
      <sz val="10"/>
      <color rgb="FF000000"/>
      <name val="Arial"/>
      <family val="2"/>
    </font>
    <font>
      <b/>
      <sz val="11"/>
      <color theme="0"/>
      <name val="Calibri"/>
      <family val="2"/>
      <scheme val="minor"/>
    </font>
    <font>
      <sz val="11"/>
      <color theme="0"/>
      <name val="Calibri"/>
      <family val="2"/>
      <scheme val="minor"/>
    </font>
    <font>
      <b/>
      <sz val="11"/>
      <color rgb="FF0000FF"/>
      <name val="Calibri"/>
      <family val="2"/>
      <scheme val="minor"/>
    </font>
    <font>
      <u val="singleAccounting"/>
      <sz val="10"/>
      <name val="Roboto"/>
    </font>
    <font>
      <b/>
      <sz val="11"/>
      <color theme="1"/>
      <name val="Roboto"/>
    </font>
    <font>
      <b/>
      <sz val="10"/>
      <color rgb="FFC00000"/>
      <name val="Roboto"/>
    </font>
    <font>
      <i/>
      <sz val="11"/>
      <color theme="1"/>
      <name val="Calibri"/>
      <family val="2"/>
      <scheme val="minor"/>
    </font>
    <font>
      <sz val="11"/>
      <color rgb="FF00B050"/>
      <name val="Calibri"/>
      <family val="2"/>
      <scheme val="minor"/>
    </font>
    <font>
      <u val="singleAccounting"/>
      <sz val="10"/>
      <color theme="0"/>
      <name val="Roboto"/>
    </font>
    <font>
      <sz val="9"/>
      <color rgb="FF00B050"/>
      <name val="Arial"/>
      <family val="2"/>
    </font>
    <font>
      <b/>
      <sz val="11"/>
      <color rgb="FFC00000"/>
      <name val="Calibri"/>
      <family val="2"/>
      <scheme val="minor"/>
    </font>
    <font>
      <b/>
      <u/>
      <sz val="10"/>
      <name val="Roboto"/>
    </font>
    <font>
      <b/>
      <sz val="11"/>
      <name val="Roboto"/>
    </font>
    <font>
      <sz val="11"/>
      <name val="Roboto"/>
    </font>
    <font>
      <b/>
      <sz val="10"/>
      <color theme="0"/>
      <name val="Arial"/>
    </font>
    <font>
      <sz val="10"/>
      <name val="Arial"/>
    </font>
    <font>
      <sz val="10"/>
      <color theme="1"/>
      <name val="Arial"/>
    </font>
    <font>
      <b/>
      <sz val="10"/>
      <name val="Arial"/>
    </font>
    <font>
      <sz val="9"/>
      <name val="Arial"/>
    </font>
    <font>
      <sz val="9"/>
      <color rgb="FF00B050"/>
      <name val="Arial"/>
    </font>
    <font>
      <b/>
      <sz val="9"/>
      <name val="Arial"/>
    </font>
    <font>
      <b/>
      <sz val="10"/>
      <color rgb="FF0000FF"/>
      <name val="Arial"/>
    </font>
    <font>
      <sz val="10"/>
      <color rgb="FF0000FF"/>
      <name val="Arial"/>
    </font>
    <font>
      <b/>
      <sz val="10"/>
      <color theme="1"/>
      <name val="Arial"/>
    </font>
    <font>
      <sz val="10"/>
      <color rgb="FF00B050"/>
      <name val="Arial"/>
    </font>
    <font>
      <b/>
      <sz val="9"/>
      <color indexed="81"/>
      <name val="Tahoma"/>
      <charset val="1"/>
    </font>
  </fonts>
  <fills count="6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indexed="44"/>
        <bgColor indexed="64"/>
      </patternFill>
    </fill>
    <fill>
      <patternFill patternType="solid">
        <fgColor indexed="18"/>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3F3FF"/>
        <bgColor indexed="64"/>
      </patternFill>
    </fill>
    <fill>
      <patternFill patternType="solid">
        <fgColor rgb="FFFFC000"/>
        <bgColor indexed="64"/>
      </patternFill>
    </fill>
    <fill>
      <patternFill patternType="solid">
        <fgColor theme="7"/>
        <bgColor indexed="64"/>
      </patternFill>
    </fill>
    <fill>
      <patternFill patternType="solid">
        <fgColor rgb="FFF1937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bgColor indexed="64"/>
      </patternFill>
    </fill>
    <fill>
      <patternFill patternType="solid">
        <fgColor theme="2"/>
        <bgColor indexed="64"/>
      </patternFill>
    </fill>
    <fill>
      <patternFill patternType="solid">
        <fgColor rgb="FFFFFFFF"/>
        <bgColor rgb="FF000000"/>
      </patternFill>
    </fill>
    <fill>
      <patternFill patternType="solid">
        <fgColor rgb="FFE1E1FF"/>
        <bgColor indexed="64"/>
      </patternFill>
    </fill>
    <fill>
      <patternFill patternType="solid">
        <fgColor indexed="25"/>
      </patternFill>
    </fill>
    <fill>
      <patternFill patternType="solid">
        <fgColor indexed="28"/>
      </patternFill>
    </fill>
    <fill>
      <patternFill patternType="solid">
        <fgColor indexed="30"/>
      </patternFill>
    </fill>
    <fill>
      <patternFill patternType="solid">
        <fgColor indexed="22"/>
      </patternFill>
    </fill>
    <fill>
      <patternFill patternType="solid">
        <fgColor indexed="47"/>
      </patternFill>
    </fill>
    <fill>
      <patternFill patternType="solid">
        <fgColor indexed="26"/>
      </patternFill>
    </fill>
    <fill>
      <patternFill patternType="solid">
        <fgColor indexed="24"/>
      </patternFill>
    </fill>
    <fill>
      <patternFill patternType="solid">
        <fgColor indexed="51"/>
      </patternFill>
    </fill>
    <fill>
      <patternFill patternType="solid">
        <fgColor indexed="37"/>
      </patternFill>
    </fill>
    <fill>
      <patternFill patternType="solid">
        <fgColor indexed="36"/>
      </patternFill>
    </fill>
    <fill>
      <patternFill patternType="solid">
        <fgColor indexed="38"/>
      </patternFill>
    </fill>
    <fill>
      <patternFill patternType="solid">
        <fgColor indexed="32"/>
      </patternFill>
    </fill>
    <fill>
      <patternFill patternType="solid">
        <fgColor indexed="52"/>
      </patternFill>
    </fill>
    <fill>
      <patternFill patternType="solid">
        <fgColor indexed="26"/>
        <bgColor indexed="64"/>
      </patternFill>
    </fill>
    <fill>
      <patternFill patternType="solid">
        <fgColor indexed="46"/>
      </patternFill>
    </fill>
    <fill>
      <patternFill patternType="solid">
        <fgColor indexed="8"/>
        <bgColor indexed="64"/>
      </patternFill>
    </fill>
    <fill>
      <patternFill patternType="solid">
        <fgColor indexed="23"/>
      </patternFill>
    </fill>
    <fill>
      <patternFill patternType="gray0625">
        <fgColor indexed="15"/>
      </patternFill>
    </fill>
    <fill>
      <patternFill patternType="solid">
        <fgColor indexed="42"/>
        <bgColor indexed="64"/>
      </patternFill>
    </fill>
    <fill>
      <patternFill patternType="solid">
        <fgColor indexed="41"/>
        <bgColor indexed="64"/>
      </patternFill>
    </fill>
    <fill>
      <patternFill patternType="lightGray">
        <fgColor indexed="12"/>
      </patternFill>
    </fill>
    <fill>
      <patternFill patternType="solid">
        <fgColor indexed="43"/>
        <bgColor indexed="64"/>
      </patternFill>
    </fill>
    <fill>
      <patternFill patternType="solid">
        <fgColor indexed="48"/>
      </patternFill>
    </fill>
    <fill>
      <patternFill patternType="solid">
        <fgColor indexed="42"/>
      </patternFill>
    </fill>
    <fill>
      <patternFill patternType="solid">
        <fgColor indexed="22"/>
        <bgColor indexed="64"/>
      </patternFill>
    </fill>
    <fill>
      <patternFill patternType="gray0625"/>
    </fill>
    <fill>
      <patternFill patternType="solid">
        <fgColor indexed="15"/>
        <bgColor indexed="64"/>
      </patternFill>
    </fill>
    <fill>
      <patternFill patternType="solid">
        <fgColor indexed="15"/>
      </patternFill>
    </fill>
    <fill>
      <patternFill patternType="solid">
        <fgColor indexed="13"/>
        <bgColor indexed="15"/>
      </patternFill>
    </fill>
    <fill>
      <patternFill patternType="solid">
        <fgColor indexed="11"/>
        <bgColor indexed="64"/>
      </patternFill>
    </fill>
    <fill>
      <patternFill patternType="gray0625">
        <fgColor indexed="22"/>
      </patternFill>
    </fill>
    <fill>
      <patternFill patternType="solid">
        <fgColor indexed="13"/>
      </patternFill>
    </fill>
    <fill>
      <patternFill patternType="solid">
        <fgColor indexed="12"/>
      </patternFill>
    </fill>
    <fill>
      <patternFill patternType="lightGray"/>
    </fill>
    <fill>
      <patternFill patternType="solid">
        <fgColor indexed="51"/>
        <bgColor indexed="64"/>
      </patternFill>
    </fill>
    <fill>
      <patternFill patternType="solid">
        <fgColor indexed="9"/>
      </patternFill>
    </fill>
    <fill>
      <patternFill patternType="solid">
        <fgColor indexed="16"/>
        <bgColor indexed="64"/>
      </patternFill>
    </fill>
    <fill>
      <patternFill patternType="solid">
        <fgColor theme="6"/>
        <bgColor indexed="64"/>
      </patternFill>
    </fill>
    <fill>
      <patternFill patternType="solid">
        <fgColor theme="4" tint="0.59999389629810485"/>
        <bgColor indexed="64"/>
      </patternFill>
    </fill>
    <fill>
      <patternFill patternType="solid">
        <fgColor theme="6"/>
        <bgColor theme="6"/>
      </patternFill>
    </fill>
    <fill>
      <patternFill patternType="solid">
        <fgColor theme="0" tint="-0.14999847407452621"/>
        <bgColor theme="0" tint="-0.14999847407452621"/>
      </patternFill>
    </fill>
    <fill>
      <patternFill patternType="solid">
        <fgColor rgb="FF99CCFF"/>
        <bgColor indexed="64"/>
      </patternFill>
    </fill>
  </fills>
  <borders count="55">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right/>
      <top/>
      <bottom style="medium">
        <color theme="4" tint="0.39997558519241921"/>
      </bottom>
      <diagonal/>
    </border>
    <border>
      <left style="medium">
        <color indexed="12"/>
      </left>
      <right style="medium">
        <color indexed="12"/>
      </right>
      <top style="medium">
        <color indexed="12"/>
      </top>
      <bottom style="medium">
        <color indexed="12"/>
      </bottom>
      <diagonal/>
    </border>
    <border>
      <left style="double">
        <color indexed="8"/>
      </left>
      <right style="double">
        <color indexed="8"/>
      </right>
      <top style="double">
        <color indexed="8"/>
      </top>
      <bottom style="double">
        <color indexed="8"/>
      </bottom>
      <diagonal/>
    </border>
    <border>
      <left/>
      <right/>
      <top/>
      <bottom style="medium">
        <color indexed="64"/>
      </bottom>
      <diagonal/>
    </border>
    <border>
      <left style="double">
        <color indexed="64"/>
      </left>
      <right/>
      <top/>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right/>
      <top/>
      <bottom style="thick">
        <color indexed="26"/>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style="hair">
        <color indexed="64"/>
      </right>
      <top/>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style="double">
        <color indexed="64"/>
      </left>
      <right/>
      <top style="double">
        <color indexed="64"/>
      </top>
      <bottom/>
      <diagonal/>
    </border>
    <border>
      <left/>
      <right style="medium">
        <color indexed="64"/>
      </right>
      <top/>
      <bottom/>
      <diagonal/>
    </border>
    <border>
      <left/>
      <right/>
      <top style="double">
        <color indexed="64"/>
      </top>
      <bottom/>
      <diagonal/>
    </border>
    <border>
      <left/>
      <right/>
      <top style="medium">
        <color indexed="23"/>
      </top>
      <bottom style="medium">
        <color indexed="23"/>
      </bottom>
      <diagonal/>
    </border>
    <border>
      <left/>
      <right/>
      <top style="medium">
        <color indexed="41"/>
      </top>
      <bottom style="medium">
        <color indexed="41"/>
      </bottom>
      <diagonal/>
    </border>
    <border>
      <left/>
      <right/>
      <top style="medium">
        <color indexed="41"/>
      </top>
      <bottom/>
      <diagonal/>
    </border>
    <border>
      <left/>
      <right/>
      <top/>
      <bottom style="thin">
        <color indexed="23"/>
      </bottom>
      <diagonal/>
    </border>
    <border>
      <left/>
      <right/>
      <top style="thick">
        <color indexed="64"/>
      </top>
      <bottom/>
      <diagonal/>
    </border>
    <border>
      <left/>
      <right/>
      <top/>
      <bottom style="thick">
        <color indexed="18"/>
      </bottom>
      <diagonal/>
    </border>
    <border>
      <left/>
      <right/>
      <top/>
      <bottom style="thin">
        <color auto="1"/>
      </bottom>
      <diagonal/>
    </border>
    <border>
      <left/>
      <right/>
      <top/>
      <bottom style="medium">
        <color theme="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s>
  <cellStyleXfs count="51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9" fontId="5" fillId="0" borderId="0" applyFont="0" applyFill="0" applyBorder="0" applyAlignment="0" applyProtection="0"/>
    <xf numFmtId="0" fontId="5" fillId="0" borderId="0"/>
    <xf numFmtId="0" fontId="2" fillId="0" borderId="0"/>
    <xf numFmtId="0" fontId="2" fillId="0" borderId="0" applyFont="0" applyFill="0" applyBorder="0" applyAlignment="0" applyProtection="0"/>
    <xf numFmtId="0" fontId="6" fillId="0" borderId="0"/>
    <xf numFmtId="43" fontId="2" fillId="0" borderId="0" applyFont="0" applyFill="0" applyBorder="0" applyAlignment="0" applyProtection="0"/>
    <xf numFmtId="0" fontId="2" fillId="0" borderId="0"/>
    <xf numFmtId="0" fontId="5" fillId="0" borderId="0"/>
    <xf numFmtId="0" fontId="2" fillId="0" borderId="0"/>
    <xf numFmtId="0" fontId="2" fillId="0" borderId="0"/>
    <xf numFmtId="0" fontId="5" fillId="0" borderId="0"/>
    <xf numFmtId="9" fontId="5" fillId="0" borderId="0" applyFont="0" applyFill="0" applyBorder="0" applyAlignment="0" applyProtection="0"/>
    <xf numFmtId="9" fontId="2" fillId="0" borderId="0" applyFont="0" applyFill="0" applyBorder="0" applyAlignment="0" applyProtection="0"/>
    <xf numFmtId="0" fontId="2" fillId="0" borderId="0"/>
    <xf numFmtId="0" fontId="17" fillId="0" borderId="0" applyNumberFormat="0" applyFill="0" applyBorder="0" applyAlignment="0" applyProtection="0"/>
    <xf numFmtId="174" fontId="18" fillId="11" borderId="0"/>
    <xf numFmtId="174" fontId="18" fillId="11" borderId="0" applyFill="0" applyBorder="0"/>
    <xf numFmtId="0" fontId="2" fillId="0" borderId="0"/>
    <xf numFmtId="0" fontId="41" fillId="0" borderId="0"/>
    <xf numFmtId="184" fontId="41" fillId="0" borderId="0" applyFont="0" applyFill="0" applyBorder="0" applyAlignment="0" applyProtection="0">
      <alignment vertical="center"/>
    </xf>
    <xf numFmtId="0" fontId="42" fillId="0" borderId="0" applyNumberFormat="0" applyFill="0" applyBorder="0" applyAlignment="0" applyProtection="0">
      <alignment vertical="top"/>
      <protection locked="0"/>
    </xf>
    <xf numFmtId="9" fontId="3" fillId="0" borderId="0" applyFont="0" applyFill="0" applyBorder="0" applyAlignment="0" applyProtection="0"/>
    <xf numFmtId="0" fontId="3" fillId="0" borderId="0"/>
    <xf numFmtId="0" fontId="83" fillId="0" borderId="0" applyNumberFormat="0" applyFill="0" applyBorder="0" applyAlignment="0" applyProtection="0"/>
    <xf numFmtId="0" fontId="41" fillId="0" borderId="0"/>
    <xf numFmtId="222" fontId="84" fillId="0" borderId="0" applyFont="0" applyFill="0" applyBorder="0" applyAlignment="0" applyProtection="0"/>
    <xf numFmtId="0" fontId="3" fillId="0" borderId="0"/>
    <xf numFmtId="0" fontId="85" fillId="0" borderId="0" applyNumberFormat="0" applyFont="0" applyFill="0" applyBorder="0" applyAlignment="0" applyProtection="0"/>
    <xf numFmtId="0" fontId="2" fillId="0" borderId="0"/>
    <xf numFmtId="230" fontId="2" fillId="0" borderId="0" applyFont="0" applyFill="0" applyBorder="0" applyAlignment="0" applyProtection="0"/>
    <xf numFmtId="237"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85" fillId="0" borderId="0" applyNumberFormat="0" applyFill="0" applyBorder="0" applyAlignment="0" applyProtection="0"/>
    <xf numFmtId="0" fontId="2" fillId="0" borderId="0" applyFont="0" applyFill="0" applyBorder="0" applyAlignment="0" applyProtection="0"/>
    <xf numFmtId="238" fontId="2" fillId="0" borderId="0" applyFont="0" applyFill="0" applyBorder="0" applyAlignment="0" applyProtection="0"/>
    <xf numFmtId="239" fontId="2" fillId="0" borderId="0" applyFont="0" applyFill="0" applyBorder="0" applyAlignment="0" applyProtection="0"/>
    <xf numFmtId="240" fontId="2" fillId="0" borderId="0" applyFont="0" applyFill="0" applyBorder="0" applyAlignment="0" applyProtection="0"/>
    <xf numFmtId="241" fontId="2" fillId="0" borderId="0" applyFont="0" applyFill="0" applyBorder="0" applyAlignment="0" applyProtection="0"/>
    <xf numFmtId="0" fontId="2" fillId="0" borderId="0" applyFont="0" applyFill="0" applyBorder="0" applyAlignment="0" applyProtection="0"/>
    <xf numFmtId="0" fontId="86" fillId="0" borderId="0"/>
    <xf numFmtId="0" fontId="2" fillId="0" borderId="0"/>
    <xf numFmtId="0" fontId="2" fillId="0" borderId="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6" borderId="0" applyNumberFormat="0" applyBorder="0" applyAlignment="0" applyProtection="0"/>
    <xf numFmtId="0" fontId="87" fillId="30" borderId="0" applyNumberFormat="0" applyBorder="0" applyAlignment="0" applyProtection="0"/>
    <xf numFmtId="0" fontId="2" fillId="0" borderId="0" applyFont="0" applyFill="0" applyBorder="0" applyAlignment="0" applyProtection="0"/>
    <xf numFmtId="234" fontId="2" fillId="0" borderId="0" applyFont="0" applyFill="0" applyBorder="0" applyAlignment="0" applyProtection="0"/>
    <xf numFmtId="0" fontId="87" fillId="31"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32" borderId="0" applyNumberFormat="0" applyBorder="0" applyAlignment="0" applyProtection="0"/>
    <xf numFmtId="0" fontId="87" fillId="26" borderId="0" applyNumberFormat="0" applyBorder="0" applyAlignment="0" applyProtection="0"/>
    <xf numFmtId="0" fontId="87" fillId="33" borderId="0" applyNumberFormat="0" applyBorder="0" applyAlignment="0" applyProtection="0"/>
    <xf numFmtId="0" fontId="88" fillId="31"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34" borderId="0" applyNumberFormat="0" applyBorder="0" applyAlignment="0" applyProtection="0"/>
    <xf numFmtId="0" fontId="88" fillId="31" borderId="0" applyNumberFormat="0" applyBorder="0" applyAlignment="0" applyProtection="0"/>
    <xf numFmtId="0" fontId="88" fillId="33" borderId="0" applyNumberFormat="0" applyBorder="0" applyAlignment="0" applyProtection="0"/>
    <xf numFmtId="0" fontId="89" fillId="0" borderId="0">
      <protection locked="0"/>
    </xf>
    <xf numFmtId="168" fontId="2" fillId="0" borderId="0" applyNumberFormat="0" applyFill="0" applyBorder="0" applyAlignment="0"/>
    <xf numFmtId="0" fontId="88" fillId="31"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8" fillId="31" borderId="0" applyNumberFormat="0" applyBorder="0" applyAlignment="0" applyProtection="0"/>
    <xf numFmtId="0" fontId="88" fillId="38" borderId="0" applyNumberFormat="0" applyBorder="0" applyAlignment="0" applyProtection="0"/>
    <xf numFmtId="242" fontId="2" fillId="0" borderId="0" applyFill="0" applyBorder="0" applyProtection="0">
      <alignment horizontal="right"/>
    </xf>
    <xf numFmtId="0" fontId="2" fillId="0" borderId="0" applyFont="0" applyFill="0" applyBorder="0" applyAlignment="0" applyProtection="0"/>
    <xf numFmtId="0" fontId="2" fillId="0" borderId="0" applyFont="0" applyFill="0" applyBorder="0" applyAlignment="0" applyProtection="0"/>
    <xf numFmtId="169" fontId="90" fillId="39" borderId="0">
      <alignment horizontal="left"/>
    </xf>
    <xf numFmtId="202" fontId="61" fillId="0" borderId="0" applyFont="0" applyFill="0" applyBorder="0" applyAlignment="0" applyProtection="0"/>
    <xf numFmtId="203" fontId="62" fillId="0" borderId="0" applyFont="0" applyFill="0" applyBorder="0" applyAlignment="0" applyProtection="0"/>
    <xf numFmtId="0" fontId="91" fillId="0" borderId="0">
      <alignment horizontal="center" wrapText="1"/>
      <protection locked="0"/>
    </xf>
    <xf numFmtId="0" fontId="2" fillId="0" borderId="0" applyNumberFormat="0" applyFill="0" applyBorder="0" applyAlignment="0" applyProtection="0"/>
    <xf numFmtId="0" fontId="73" fillId="0" borderId="0" applyNumberFormat="0" applyFill="0" applyBorder="0" applyAlignment="0" applyProtection="0"/>
    <xf numFmtId="0" fontId="63" fillId="0" borderId="20" applyNumberFormat="0" applyFill="0" applyAlignment="0" applyProtection="0"/>
    <xf numFmtId="211" fontId="92" fillId="6" borderId="0" applyNumberFormat="0" applyFill="0" applyBorder="0" applyAlignment="0" applyProtection="0">
      <alignment horizontal="right"/>
    </xf>
    <xf numFmtId="0" fontId="2" fillId="0" borderId="0" applyFont="0" applyFill="0" applyBorder="0" applyAlignment="0" applyProtection="0"/>
    <xf numFmtId="43" fontId="2" fillId="0" borderId="0" applyFont="0" applyFill="0" applyBorder="0" applyAlignment="0" applyProtection="0"/>
    <xf numFmtId="229" fontId="2" fillId="0" borderId="0" applyFont="0" applyFill="0" applyBorder="0" applyAlignment="0" applyProtection="0"/>
    <xf numFmtId="0" fontId="2" fillId="0" borderId="0"/>
    <xf numFmtId="0" fontId="93" fillId="40" borderId="0" applyNumberFormat="0" applyBorder="0" applyAlignment="0" applyProtection="0"/>
    <xf numFmtId="243" fontId="91" fillId="0" borderId="0" applyFill="0" applyBorder="0" applyAlignment="0" applyProtection="0">
      <protection locked="0"/>
    </xf>
    <xf numFmtId="0" fontId="94" fillId="41" borderId="0"/>
    <xf numFmtId="230" fontId="61" fillId="0" borderId="0" applyNumberFormat="0" applyFont="0" applyAlignment="0" applyProtection="0"/>
    <xf numFmtId="0" fontId="95" fillId="5" borderId="0" applyNumberFormat="0" applyBorder="0">
      <alignment horizontal="center" vertical="center"/>
    </xf>
    <xf numFmtId="0" fontId="96" fillId="0" borderId="0" applyNumberFormat="0" applyFill="0" applyBorder="0" applyAlignment="0" applyProtection="0"/>
    <xf numFmtId="0" fontId="97" fillId="0" borderId="0" applyFont="0" applyFill="0" applyBorder="0" applyAlignment="0" applyProtection="0"/>
    <xf numFmtId="0" fontId="2" fillId="0" borderId="0"/>
    <xf numFmtId="39" fontId="64" fillId="0" borderId="6" applyNumberFormat="0" applyFill="0" applyBorder="0"/>
    <xf numFmtId="0" fontId="41" fillId="0" borderId="0" applyNumberFormat="0" applyAlignment="0">
      <alignment vertical="center"/>
    </xf>
    <xf numFmtId="243" fontId="91" fillId="0" borderId="0" applyFont="0" applyFill="0" applyBorder="0" applyAlignment="0" applyProtection="0">
      <protection locked="0"/>
    </xf>
    <xf numFmtId="0" fontId="74" fillId="0" borderId="0"/>
    <xf numFmtId="1" fontId="98" fillId="0" borderId="0"/>
    <xf numFmtId="0" fontId="99" fillId="42" borderId="21" applyNumberFormat="0" applyAlignment="0" applyProtection="0"/>
    <xf numFmtId="171" fontId="59" fillId="0" borderId="0" applyNumberFormat="0" applyAlignment="0">
      <alignment vertical="center"/>
    </xf>
    <xf numFmtId="0" fontId="5" fillId="0" borderId="0">
      <alignment horizontal="center" wrapText="1"/>
      <protection hidden="1"/>
    </xf>
    <xf numFmtId="0" fontId="65" fillId="43" borderId="22" applyNumberFormat="0" applyProtection="0">
      <alignment horizontal="center" vertical="center" wrapText="1"/>
    </xf>
    <xf numFmtId="0" fontId="65" fillId="43" borderId="0" applyNumberFormat="0" applyBorder="0" applyProtection="0">
      <alignment horizontal="centerContinuous" vertical="center"/>
    </xf>
    <xf numFmtId="0" fontId="65" fillId="43" borderId="5" applyNumberFormat="0" applyBorder="0" applyProtection="0">
      <alignment horizontal="center" vertical="center" wrapText="1"/>
    </xf>
    <xf numFmtId="0" fontId="45" fillId="44" borderId="0" applyNumberFormat="0">
      <alignment horizontal="center" vertical="top" wrapText="1"/>
    </xf>
    <xf numFmtId="0" fontId="45" fillId="44" borderId="0" applyNumberFormat="0">
      <alignment horizontal="left" vertical="top" wrapText="1"/>
    </xf>
    <xf numFmtId="0" fontId="45" fillId="44" borderId="0" applyNumberFormat="0">
      <alignment horizontal="centerContinuous" vertical="top"/>
    </xf>
    <xf numFmtId="0" fontId="41" fillId="44" borderId="0" applyNumberFormat="0">
      <alignment horizontal="center" vertical="top" wrapText="1"/>
    </xf>
    <xf numFmtId="0" fontId="45" fillId="45" borderId="0" applyNumberFormat="0">
      <alignment horizontal="center" vertical="top" wrapText="1"/>
    </xf>
    <xf numFmtId="0" fontId="61" fillId="0" borderId="23" applyNumberFormat="0" applyFont="0" applyFill="0" applyAlignment="0" applyProtection="0">
      <alignment horizontal="left"/>
    </xf>
    <xf numFmtId="176" fontId="41" fillId="0" borderId="0" applyFont="0" applyFill="0" applyBorder="0" applyAlignment="0" applyProtection="0">
      <alignment vertical="center"/>
    </xf>
    <xf numFmtId="169" fontId="66"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alignment horizontal="right"/>
    </xf>
    <xf numFmtId="0" fontId="67" fillId="0" borderId="0" applyFont="0" applyFill="0" applyBorder="0" applyAlignment="0" applyProtection="0">
      <alignment horizontal="right"/>
    </xf>
    <xf numFmtId="0" fontId="76" fillId="0" borderId="0" applyFont="0" applyFill="0" applyBorder="0" applyAlignment="0" applyProtection="0"/>
    <xf numFmtId="230" fontId="6" fillId="0" borderId="0"/>
    <xf numFmtId="3" fontId="100" fillId="0" borderId="0" applyFont="0" applyFill="0" applyBorder="0" applyAlignment="0" applyProtection="0"/>
    <xf numFmtId="0" fontId="68" fillId="46" borderId="0">
      <alignment horizontal="center" vertical="center" wrapText="1"/>
    </xf>
    <xf numFmtId="0" fontId="2" fillId="0" borderId="0">
      <alignment horizontal="left"/>
    </xf>
    <xf numFmtId="0" fontId="2" fillId="0" borderId="0"/>
    <xf numFmtId="0" fontId="2" fillId="0" borderId="0">
      <alignment horizontal="left"/>
    </xf>
    <xf numFmtId="204" fontId="5" fillId="0" borderId="0" applyFill="0" applyBorder="0">
      <alignment horizontal="right"/>
      <protection locked="0"/>
    </xf>
    <xf numFmtId="205" fontId="69" fillId="0" borderId="0" applyFont="0"/>
    <xf numFmtId="187" fontId="41" fillId="0" borderId="0" applyFont="0" applyFill="0" applyBorder="0" applyAlignment="0" applyProtection="0">
      <alignment vertical="center"/>
    </xf>
    <xf numFmtId="206" fontId="69" fillId="0" borderId="0" applyFont="0"/>
    <xf numFmtId="244" fontId="2" fillId="0" borderId="0"/>
    <xf numFmtId="8" fontId="2" fillId="0" borderId="0" applyFont="0" applyFill="0" applyBorder="0" applyAlignment="0"/>
    <xf numFmtId="0" fontId="67" fillId="0" borderId="0" applyFont="0" applyFill="0" applyBorder="0" applyAlignment="0" applyProtection="0">
      <alignment horizontal="right"/>
    </xf>
    <xf numFmtId="0" fontId="67" fillId="0" borderId="0" applyFont="0" applyFill="0" applyBorder="0" applyAlignment="0" applyProtection="0">
      <alignment horizontal="right"/>
    </xf>
    <xf numFmtId="192" fontId="41" fillId="0" borderId="0" applyFont="0" applyFill="0" applyBorder="0" applyAlignment="0" applyProtection="0">
      <alignment vertical="center"/>
    </xf>
    <xf numFmtId="193" fontId="41" fillId="0" borderId="0" applyFont="0" applyFill="0" applyBorder="0" applyAlignment="0" applyProtection="0">
      <alignment vertical="center"/>
    </xf>
    <xf numFmtId="190" fontId="41" fillId="0" borderId="0" applyFont="0" applyFill="0" applyBorder="0" applyAlignment="0" applyProtection="0">
      <alignment vertical="center"/>
    </xf>
    <xf numFmtId="191" fontId="41" fillId="0" borderId="0" applyFont="0" applyFill="0" applyBorder="0" applyAlignment="0" applyProtection="0">
      <alignment vertical="center"/>
    </xf>
    <xf numFmtId="188" fontId="41" fillId="0" borderId="0" applyFont="0" applyFill="0" applyBorder="0" applyAlignment="0" applyProtection="0">
      <alignment vertical="center"/>
    </xf>
    <xf numFmtId="189" fontId="41" fillId="0" borderId="0" applyFont="0" applyFill="0" applyBorder="0" applyAlignment="0" applyProtection="0">
      <alignment vertical="center"/>
    </xf>
    <xf numFmtId="198" fontId="41" fillId="0" borderId="0" applyFont="0" applyFill="0" applyBorder="0" applyAlignment="0" applyProtection="0">
      <alignment vertical="center"/>
    </xf>
    <xf numFmtId="199" fontId="41" fillId="0" borderId="0" applyFont="0" applyFill="0" applyBorder="0" applyAlignment="0" applyProtection="0">
      <alignment vertical="center"/>
    </xf>
    <xf numFmtId="196" fontId="41" fillId="0" borderId="0" applyFont="0" applyFill="0" applyBorder="0" applyAlignment="0" applyProtection="0">
      <alignment vertical="center"/>
    </xf>
    <xf numFmtId="197" fontId="41" fillId="0" borderId="0" applyFont="0" applyFill="0" applyBorder="0" applyAlignment="0" applyProtection="0">
      <alignment vertical="center"/>
    </xf>
    <xf numFmtId="194" fontId="41" fillId="0" borderId="0" applyFont="0" applyFill="0" applyBorder="0" applyAlignment="0" applyProtection="0">
      <alignment vertical="center"/>
    </xf>
    <xf numFmtId="195" fontId="41" fillId="0" borderId="0" applyFont="0" applyFill="0" applyBorder="0" applyAlignment="0" applyProtection="0">
      <alignment vertical="center"/>
    </xf>
    <xf numFmtId="245" fontId="2" fillId="0" borderId="0" applyFont="0" applyFill="0" applyBorder="0" applyAlignment="0" applyProtection="0"/>
    <xf numFmtId="186" fontId="41" fillId="0" borderId="0" applyFont="0" applyFill="0" applyBorder="0" applyAlignment="0" applyProtection="0">
      <alignment vertical="center"/>
    </xf>
    <xf numFmtId="200" fontId="41" fillId="0" borderId="0" applyFont="0" applyFill="0" applyBorder="0" applyAlignment="0" applyProtection="0">
      <alignment vertical="center"/>
    </xf>
    <xf numFmtId="201" fontId="41" fillId="0" borderId="0" applyFont="0" applyFill="0" applyBorder="0" applyAlignment="0" applyProtection="0">
      <alignment vertical="center"/>
    </xf>
    <xf numFmtId="15" fontId="101" fillId="0" borderId="0" applyFill="0" applyBorder="0" applyAlignment="0"/>
    <xf numFmtId="0" fontId="101" fillId="39" borderId="0" applyFont="0" applyFill="0" applyBorder="0" applyAlignment="0" applyProtection="0"/>
    <xf numFmtId="233" fontId="2" fillId="39" borderId="9" applyFont="0" applyFill="0" applyBorder="0" applyAlignment="0" applyProtection="0"/>
    <xf numFmtId="231" fontId="2" fillId="39" borderId="0" applyFont="0" applyFill="0" applyBorder="0" applyAlignment="0" applyProtection="0"/>
    <xf numFmtId="17" fontId="101" fillId="0" borderId="0" applyFill="0" applyBorder="0">
      <alignment horizontal="right"/>
    </xf>
    <xf numFmtId="166" fontId="2" fillId="0" borderId="2" applyFont="0" applyFill="0" applyBorder="0" applyAlignment="0" applyProtection="0"/>
    <xf numFmtId="0" fontId="67" fillId="0" borderId="0" applyFont="0" applyFill="0" applyBorder="0" applyAlignment="0" applyProtection="0"/>
    <xf numFmtId="0" fontId="2" fillId="0" borderId="0">
      <alignment horizontal="right"/>
      <protection locked="0"/>
    </xf>
    <xf numFmtId="231" fontId="2" fillId="0" borderId="0" applyFill="0" applyBorder="0">
      <alignment horizontal="right"/>
    </xf>
    <xf numFmtId="14" fontId="102" fillId="0" borderId="0" applyFont="0" applyFill="0" applyBorder="0" applyAlignment="0" applyProtection="0">
      <alignment horizontal="center"/>
    </xf>
    <xf numFmtId="228" fontId="102" fillId="0" borderId="0" applyFont="0" applyFill="0" applyBorder="0" applyAlignment="0" applyProtection="0">
      <alignment horizontal="center"/>
    </xf>
    <xf numFmtId="207" fontId="70" fillId="0" borderId="6" applyNumberFormat="0" applyFill="0" applyBorder="0" applyAlignment="0">
      <alignment horizontal="left"/>
      <protection locked="0"/>
    </xf>
    <xf numFmtId="208" fontId="61" fillId="0" borderId="0" applyFont="0" applyFill="0" applyBorder="0" applyAlignment="0" applyProtection="0"/>
    <xf numFmtId="0" fontId="71" fillId="0" borderId="0">
      <protection locked="0"/>
    </xf>
    <xf numFmtId="8" fontId="91" fillId="0" borderId="0" applyFont="0" applyFill="0" applyBorder="0" applyAlignment="0" applyProtection="0"/>
    <xf numFmtId="0" fontId="6" fillId="0" borderId="0"/>
    <xf numFmtId="6" fontId="91" fillId="0" borderId="0" applyFont="0" applyFill="0" applyBorder="0" applyAlignment="0" applyProtection="0"/>
    <xf numFmtId="0" fontId="67" fillId="0" borderId="24" applyNumberFormat="0" applyFont="0" applyFill="0" applyAlignment="0" applyProtection="0"/>
    <xf numFmtId="0" fontId="103" fillId="0" borderId="0" applyFill="0" applyBorder="0" applyAlignment="0" applyProtection="0"/>
    <xf numFmtId="167" fontId="104" fillId="0" borderId="25" applyNumberFormat="0" applyAlignment="0" applyProtection="0">
      <alignment vertical="top"/>
    </xf>
    <xf numFmtId="0" fontId="6" fillId="47" borderId="0" applyNumberFormat="0" applyFont="0" applyBorder="0" applyAlignment="0" applyProtection="0"/>
    <xf numFmtId="209" fontId="61" fillId="0" borderId="0" applyFont="0" applyFill="0" applyBorder="0" applyAlignment="0"/>
    <xf numFmtId="8" fontId="91" fillId="0" borderId="0" applyFont="0" applyFill="0" applyBorder="0" applyAlignment="0" applyProtection="0">
      <alignment horizontal="right"/>
    </xf>
    <xf numFmtId="246" fontId="61" fillId="0" borderId="0" applyFont="0" applyFill="0" applyBorder="0" applyProtection="0">
      <alignment horizontal="left"/>
      <protection locked="0"/>
    </xf>
    <xf numFmtId="247" fontId="61" fillId="0" borderId="0" applyFont="0" applyFill="0" applyBorder="0" applyProtection="0">
      <alignment horizontal="left"/>
      <protection locked="0"/>
    </xf>
    <xf numFmtId="8" fontId="2" fillId="0" borderId="0"/>
    <xf numFmtId="167" fontId="2" fillId="0" borderId="0"/>
    <xf numFmtId="230" fontId="2" fillId="0" borderId="0"/>
    <xf numFmtId="248" fontId="2" fillId="0" borderId="0" applyFont="0" applyFill="0" applyBorder="0" applyAlignment="0" applyProtection="0"/>
    <xf numFmtId="0" fontId="105" fillId="0" borderId="0" applyNumberFormat="0" applyFill="0" applyBorder="0" applyAlignment="0" applyProtection="0"/>
    <xf numFmtId="249" fontId="61" fillId="6" borderId="0">
      <alignment horizontal="right"/>
    </xf>
    <xf numFmtId="0" fontId="106" fillId="0" borderId="0"/>
    <xf numFmtId="3" fontId="107" fillId="0" borderId="0" applyNumberFormat="0" applyFont="0" applyFill="0" applyBorder="0" applyAlignment="0" applyProtection="0">
      <alignment horizontal="left"/>
    </xf>
    <xf numFmtId="0" fontId="108" fillId="48" borderId="0"/>
    <xf numFmtId="2" fontId="100" fillId="0" borderId="0" applyFont="0" applyFill="0" applyBorder="0" applyAlignment="0" applyProtection="0"/>
    <xf numFmtId="0" fontId="2" fillId="39" borderId="0" applyFont="0" applyFill="0" applyBorder="0" applyAlignment="0"/>
    <xf numFmtId="0" fontId="6" fillId="0" borderId="0"/>
    <xf numFmtId="0" fontId="109" fillId="0" borderId="0" applyNumberFormat="0" applyFill="0" applyBorder="0" applyAlignment="0" applyProtection="0">
      <alignment vertical="top"/>
      <protection locked="0"/>
    </xf>
    <xf numFmtId="0" fontId="2" fillId="0" borderId="0">
      <alignment horizontal="left"/>
    </xf>
    <xf numFmtId="0" fontId="2" fillId="0" borderId="0">
      <alignment horizontal="left"/>
    </xf>
    <xf numFmtId="0" fontId="2" fillId="0" borderId="0" applyFill="0" applyBorder="0" applyProtection="0">
      <alignment horizontal="left"/>
    </xf>
    <xf numFmtId="0" fontId="2" fillId="0" borderId="0">
      <alignment horizontal="left"/>
    </xf>
    <xf numFmtId="0" fontId="2" fillId="0" borderId="0">
      <alignment horizontal="left"/>
    </xf>
    <xf numFmtId="0" fontId="6" fillId="0" borderId="0"/>
    <xf numFmtId="250" fontId="91" fillId="0" borderId="0" applyFill="0" applyBorder="0" applyAlignment="0" applyProtection="0">
      <protection locked="0"/>
    </xf>
    <xf numFmtId="0" fontId="110" fillId="49" borderId="0" applyNumberFormat="0" applyBorder="0" applyAlignment="0" applyProtection="0"/>
    <xf numFmtId="38" fontId="6" fillId="50" borderId="0" applyNumberFormat="0" applyBorder="0" applyAlignment="0" applyProtection="0"/>
    <xf numFmtId="251" fontId="111" fillId="0" borderId="0" applyFill="0" applyBorder="0" applyAlignment="0" applyProtection="0"/>
    <xf numFmtId="251" fontId="112" fillId="0" borderId="0" applyAlignment="0">
      <alignment horizontal="left"/>
      <protection locked="0"/>
    </xf>
    <xf numFmtId="0" fontId="58" fillId="44" borderId="0" applyNumberFormat="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5" fillId="0" borderId="0" applyNumberFormat="0" applyFill="0" applyBorder="0" applyAlignment="0" applyProtection="0">
      <alignment horizontal="left" vertical="center"/>
    </xf>
    <xf numFmtId="0" fontId="45" fillId="0" borderId="0" applyNumberFormat="0" applyFill="0" applyBorder="0" applyAlignment="0" applyProtection="0">
      <alignment vertical="center"/>
    </xf>
    <xf numFmtId="0" fontId="61" fillId="0" borderId="0"/>
    <xf numFmtId="227" fontId="113" fillId="0" borderId="0" applyNumberFormat="0" applyFill="0" applyBorder="0" applyAlignment="0" applyProtection="0"/>
    <xf numFmtId="2" fontId="72" fillId="51" borderId="0"/>
    <xf numFmtId="252" fontId="101" fillId="39" borderId="5" applyNumberFormat="0" applyFont="0" applyAlignment="0"/>
    <xf numFmtId="0" fontId="67" fillId="0" borderId="0" applyFont="0" applyFill="0" applyBorder="0" applyAlignment="0" applyProtection="0">
      <alignment horizontal="right"/>
    </xf>
    <xf numFmtId="0" fontId="2" fillId="1" borderId="0" applyNumberFormat="0" applyBorder="0" applyProtection="0">
      <alignment horizontal="left" vertical="center"/>
    </xf>
    <xf numFmtId="0" fontId="2" fillId="0" borderId="0" applyProtection="0">
      <alignment horizontal="right"/>
    </xf>
    <xf numFmtId="0" fontId="2" fillId="0" borderId="0">
      <alignment horizontal="left"/>
    </xf>
    <xf numFmtId="0" fontId="114" fillId="52" borderId="0">
      <alignment horizontal="left"/>
    </xf>
    <xf numFmtId="0" fontId="2" fillId="29" borderId="0"/>
    <xf numFmtId="0" fontId="115" fillId="0" borderId="26" applyNumberFormat="0" applyFill="0" applyAlignment="0" applyProtection="0"/>
    <xf numFmtId="0" fontId="2" fillId="0" borderId="0">
      <alignment horizontal="left"/>
    </xf>
    <xf numFmtId="0" fontId="2" fillId="0" borderId="6">
      <alignment horizontal="left" vertical="top"/>
    </xf>
    <xf numFmtId="0" fontId="2" fillId="0" borderId="0" applyProtection="0">
      <alignment horizontal="left"/>
    </xf>
    <xf numFmtId="0" fontId="2" fillId="0" borderId="0">
      <alignment horizontal="left"/>
    </xf>
    <xf numFmtId="0" fontId="2" fillId="0" borderId="6">
      <alignment horizontal="left" vertical="top"/>
    </xf>
    <xf numFmtId="0" fontId="2" fillId="0" borderId="0" applyProtection="0">
      <alignment horizontal="left"/>
    </xf>
    <xf numFmtId="0" fontId="2" fillId="0" borderId="0">
      <alignment horizontal="left"/>
    </xf>
    <xf numFmtId="0" fontId="116" fillId="0" borderId="0" applyNumberFormat="0" applyFill="0" applyBorder="0" applyAlignment="0" applyProtection="0"/>
    <xf numFmtId="0" fontId="117" fillId="0" borderId="0"/>
    <xf numFmtId="0" fontId="118" fillId="0" borderId="0">
      <alignment wrapText="1"/>
    </xf>
    <xf numFmtId="0" fontId="41" fillId="2" borderId="0" applyNumberFormat="0" applyFont="0" applyBorder="0" applyAlignment="0" applyProtection="0">
      <alignment vertical="center"/>
    </xf>
    <xf numFmtId="253" fontId="119" fillId="0" borderId="0" applyNumberFormat="0" applyFill="0" applyBorder="0" applyAlignment="0"/>
    <xf numFmtId="0" fontId="120" fillId="0" borderId="0" applyNumberFormat="0" applyFill="0" applyBorder="0" applyAlignment="0" applyProtection="0">
      <alignment vertical="top"/>
      <protection locked="0"/>
    </xf>
    <xf numFmtId="250" fontId="91" fillId="0" borderId="0" applyFill="0" applyBorder="0" applyAlignment="0" applyProtection="0">
      <alignment horizontal="right"/>
      <protection locked="0"/>
    </xf>
    <xf numFmtId="0" fontId="67" fillId="0" borderId="0" applyNumberFormat="0" applyFill="0" applyBorder="0" applyAlignment="0" applyProtection="0"/>
    <xf numFmtId="0" fontId="67" fillId="0" borderId="0" applyNumberFormat="0" applyFill="0" applyBorder="0" applyAlignment="0" applyProtection="0"/>
    <xf numFmtId="10" fontId="6" fillId="39" borderId="5" applyNumberFormat="0" applyBorder="0" applyAlignment="0" applyProtection="0"/>
    <xf numFmtId="0" fontId="41" fillId="0" borderId="27" applyNumberFormat="0" applyAlignment="0">
      <alignment vertical="center"/>
    </xf>
    <xf numFmtId="230" fontId="121" fillId="53" borderId="0"/>
    <xf numFmtId="8" fontId="6" fillId="0" borderId="0"/>
    <xf numFmtId="0" fontId="41" fillId="0" borderId="28" applyNumberFormat="0" applyAlignment="0">
      <alignment vertical="center"/>
      <protection locked="0"/>
    </xf>
    <xf numFmtId="231" fontId="2" fillId="39" borderId="0" applyFont="0" applyBorder="0" applyAlignment="0" applyProtection="0">
      <protection locked="0"/>
    </xf>
    <xf numFmtId="176" fontId="41" fillId="54" borderId="28" applyNumberFormat="0" applyAlignment="0">
      <alignment vertical="center"/>
      <protection locked="0"/>
    </xf>
    <xf numFmtId="0" fontId="6" fillId="39" borderId="0" applyFont="0" applyBorder="0" applyAlignment="0">
      <protection locked="0"/>
    </xf>
    <xf numFmtId="0" fontId="41" fillId="44" borderId="0" applyNumberFormat="0" applyAlignment="0">
      <alignment vertical="center"/>
    </xf>
    <xf numFmtId="0" fontId="41" fillId="55" borderId="0" applyNumberFormat="0" applyAlignment="0">
      <alignment vertical="center"/>
    </xf>
    <xf numFmtId="0" fontId="72" fillId="0" borderId="0" applyNumberFormat="0" applyFill="0" applyBorder="0" applyAlignment="0" applyProtection="0"/>
    <xf numFmtId="250" fontId="6" fillId="39" borderId="0">
      <protection locked="0"/>
    </xf>
    <xf numFmtId="0" fontId="41" fillId="0" borderId="29" applyNumberFormat="0" applyAlignment="0">
      <alignment vertical="center"/>
      <protection locked="0"/>
    </xf>
    <xf numFmtId="254" fontId="2" fillId="39" borderId="0" applyFont="0" applyBorder="0" applyAlignment="0">
      <protection locked="0"/>
    </xf>
    <xf numFmtId="10" fontId="6" fillId="39" borderId="0">
      <protection locked="0"/>
    </xf>
    <xf numFmtId="0" fontId="6" fillId="39" borderId="0" applyFont="0" applyBorder="0" applyAlignment="0">
      <protection locked="0"/>
    </xf>
    <xf numFmtId="250" fontId="122" fillId="39" borderId="0" applyNumberFormat="0" applyBorder="0" applyAlignment="0">
      <protection locked="0"/>
    </xf>
    <xf numFmtId="10" fontId="2" fillId="0" borderId="0">
      <protection locked="0"/>
    </xf>
    <xf numFmtId="0" fontId="2" fillId="39" borderId="5"/>
    <xf numFmtId="0" fontId="2" fillId="39" borderId="5"/>
    <xf numFmtId="0" fontId="71" fillId="0" borderId="0" applyNumberFormat="0" applyFill="0" applyBorder="0" applyAlignment="0">
      <protection locked="0"/>
    </xf>
    <xf numFmtId="15" fontId="2" fillId="0" borderId="0">
      <protection locked="0"/>
    </xf>
    <xf numFmtId="2" fontId="2" fillId="0" borderId="8">
      <protection locked="0"/>
    </xf>
    <xf numFmtId="0" fontId="2" fillId="0" borderId="0">
      <protection locked="0"/>
    </xf>
    <xf numFmtId="0" fontId="5" fillId="0" borderId="0" applyFill="0" applyBorder="0">
      <alignment horizontal="right"/>
      <protection locked="0"/>
    </xf>
    <xf numFmtId="210" fontId="5" fillId="0" borderId="0" applyFill="0" applyBorder="0">
      <alignment horizontal="right"/>
      <protection locked="0"/>
    </xf>
    <xf numFmtId="173" fontId="73" fillId="56" borderId="0" applyBorder="0"/>
    <xf numFmtId="0" fontId="54" fillId="57" borderId="30">
      <alignment horizontal="left" vertical="center" wrapText="1"/>
    </xf>
    <xf numFmtId="4" fontId="72" fillId="51" borderId="0"/>
    <xf numFmtId="1" fontId="123" fillId="1" borderId="16">
      <protection locked="0"/>
    </xf>
    <xf numFmtId="211" fontId="74" fillId="0" borderId="2" applyNumberFormat="0" applyFill="0">
      <alignment vertical="center"/>
    </xf>
    <xf numFmtId="37" fontId="124" fillId="0" borderId="0" applyNumberFormat="0" applyFill="0" applyBorder="0" applyAlignment="0" applyProtection="0">
      <alignment horizontal="right"/>
    </xf>
    <xf numFmtId="0" fontId="125" fillId="0" borderId="31" applyNumberFormat="0" applyFill="0" applyAlignment="0" applyProtection="0"/>
    <xf numFmtId="230" fontId="2" fillId="58" borderId="0"/>
    <xf numFmtId="230" fontId="126" fillId="0" borderId="0" applyNumberFormat="0" applyFont="0" applyFill="0" applyBorder="0" applyAlignment="0">
      <protection hidden="1"/>
    </xf>
    <xf numFmtId="0" fontId="75" fillId="0" borderId="0" applyNumberFormat="0" applyFill="0" applyBorder="0" applyProtection="0">
      <alignment horizontal="left" vertical="center"/>
    </xf>
    <xf numFmtId="0" fontId="127" fillId="0" borderId="0"/>
    <xf numFmtId="212" fontId="73" fillId="56" borderId="0" applyBorder="0" applyAlignment="0">
      <alignment horizontal="right"/>
    </xf>
    <xf numFmtId="222" fontId="128" fillId="0" borderId="0" applyFill="0" applyBorder="0" applyAlignment="0" applyProtection="0"/>
    <xf numFmtId="0" fontId="108" fillId="0" borderId="0"/>
    <xf numFmtId="0" fontId="129" fillId="0" borderId="0"/>
    <xf numFmtId="0" fontId="130" fillId="0" borderId="0"/>
    <xf numFmtId="40" fontId="5" fillId="0" borderId="0" applyFont="0" applyFill="0" applyBorder="0" applyAlignment="0" applyProtection="0"/>
    <xf numFmtId="38" fontId="5" fillId="0" borderId="0" applyFont="0" applyFill="0" applyBorder="0" applyAlignment="0" applyProtection="0"/>
    <xf numFmtId="40" fontId="5" fillId="0" borderId="0" applyFont="0" applyFill="0" applyBorder="0" applyAlignment="0" applyProtection="0"/>
    <xf numFmtId="213" fontId="76" fillId="0" borderId="0" applyFont="0" applyFill="0" applyBorder="0" applyAlignment="0" applyProtection="0"/>
    <xf numFmtId="214" fontId="61" fillId="0" borderId="0" applyFont="0" applyFill="0" applyBorder="0" applyAlignment="0" applyProtection="0"/>
    <xf numFmtId="215" fontId="76" fillId="0" borderId="0" applyFont="0" applyFill="0" applyBorder="0" applyAlignment="0" applyProtection="0"/>
    <xf numFmtId="167" fontId="2" fillId="0" borderId="0"/>
    <xf numFmtId="0" fontId="2" fillId="0" borderId="22"/>
    <xf numFmtId="0" fontId="5" fillId="0" borderId="0" applyFont="0" applyFill="0" applyBorder="0" applyAlignment="0" applyProtection="0"/>
    <xf numFmtId="8" fontId="5" fillId="0" borderId="0" applyFont="0" applyFill="0" applyBorder="0" applyAlignment="0" applyProtection="0"/>
    <xf numFmtId="216" fontId="76" fillId="0" borderId="0" applyFont="0" applyFill="0" applyBorder="0" applyAlignment="0" applyProtection="0"/>
    <xf numFmtId="217" fontId="2" fillId="0" borderId="0" applyFont="0" applyFill="0" applyBorder="0" applyAlignment="0"/>
    <xf numFmtId="218" fontId="76" fillId="0" borderId="0" applyFont="0" applyFill="0" applyBorder="0" applyAlignment="0" applyProtection="0"/>
    <xf numFmtId="0" fontId="67" fillId="0" borderId="0" applyFont="0" applyFill="0" applyBorder="0" applyAlignment="0" applyProtection="0">
      <alignment horizontal="right"/>
    </xf>
    <xf numFmtId="168" fontId="2" fillId="50" borderId="0" applyFont="0" applyBorder="0" applyAlignment="0" applyProtection="0">
      <alignment horizontal="right"/>
      <protection hidden="1"/>
    </xf>
    <xf numFmtId="0" fontId="60" fillId="0" borderId="0" applyNumberFormat="0" applyAlignment="0">
      <alignment vertical="center"/>
    </xf>
    <xf numFmtId="0" fontId="71" fillId="0" borderId="32" applyBorder="0" applyAlignment="0" applyProtection="0">
      <alignment horizontal="center"/>
    </xf>
    <xf numFmtId="0" fontId="131" fillId="33" borderId="0" applyNumberFormat="0" applyBorder="0" applyAlignment="0" applyProtection="0"/>
    <xf numFmtId="37" fontId="132" fillId="0" borderId="0"/>
    <xf numFmtId="0" fontId="2" fillId="0" borderId="0"/>
    <xf numFmtId="1" fontId="133" fillId="0" borderId="0" applyFill="0" applyBorder="0"/>
    <xf numFmtId="38" fontId="6" fillId="0" borderId="0" applyFont="0" applyFill="0" applyBorder="0" applyAlignment="0"/>
    <xf numFmtId="250" fontId="2" fillId="0" borderId="0" applyFont="0" applyFill="0" applyBorder="0" applyAlignment="0"/>
    <xf numFmtId="40" fontId="6" fillId="0" borderId="0" applyFont="0" applyFill="0" applyBorder="0" applyAlignment="0"/>
    <xf numFmtId="255" fontId="2" fillId="0" borderId="0" applyFont="0" applyFill="0" applyBorder="0" applyAlignment="0"/>
    <xf numFmtId="250" fontId="101" fillId="0" borderId="0" applyNumberFormat="0" applyFill="0" applyBorder="0" applyAlignment="0" applyProtection="0"/>
    <xf numFmtId="0" fontId="6" fillId="0" borderId="0" applyFont="0" applyFill="0" applyBorder="0" applyAlignment="0" applyProtection="0"/>
    <xf numFmtId="227" fontId="61" fillId="0" borderId="0" applyFill="0" applyBorder="0" applyAlignment="0" applyProtection="0"/>
    <xf numFmtId="0" fontId="2" fillId="0" borderId="0"/>
    <xf numFmtId="165" fontId="2" fillId="0" borderId="0"/>
    <xf numFmtId="37" fontId="134" fillId="0" borderId="0" applyNumberFormat="0" applyFont="0" applyFill="0" applyBorder="0" applyAlignment="0" applyProtection="0"/>
    <xf numFmtId="0" fontId="6" fillId="0" borderId="0" applyNumberFormat="0" applyFill="0" applyBorder="0" applyAlignment="0" applyProtection="0">
      <alignment vertical="center"/>
    </xf>
    <xf numFmtId="0" fontId="78" fillId="0" borderId="8"/>
    <xf numFmtId="256" fontId="2" fillId="0" borderId="0" applyFont="0" applyFill="0" applyBorder="0" applyAlignment="0" applyProtection="0"/>
    <xf numFmtId="176" fontId="41" fillId="0" borderId="0" applyFont="0" applyFill="0" applyBorder="0" applyAlignment="0" applyProtection="0">
      <alignment vertical="center"/>
    </xf>
    <xf numFmtId="171" fontId="41" fillId="0" borderId="0" applyFont="0" applyFill="0" applyBorder="0" applyAlignment="0" applyProtection="0">
      <alignment vertical="center"/>
    </xf>
    <xf numFmtId="38" fontId="61" fillId="0" borderId="10" applyFont="0" applyFill="0" applyBorder="0" applyAlignment="0" applyProtection="0"/>
    <xf numFmtId="172" fontId="2" fillId="0" borderId="0" applyFont="0" applyFill="0" applyBorder="0" applyAlignment="0" applyProtection="0"/>
    <xf numFmtId="43" fontId="61" fillId="0" borderId="0" applyFont="0" applyFill="0" applyBorder="0" applyAlignment="0" applyProtection="0"/>
    <xf numFmtId="41" fontId="61" fillId="0" borderId="0" applyFont="0" applyFill="0" applyBorder="0" applyAlignment="0" applyProtection="0"/>
    <xf numFmtId="219" fontId="77" fillId="59" borderId="6" applyFont="0" applyBorder="0"/>
    <xf numFmtId="168" fontId="135" fillId="0" borderId="0"/>
    <xf numFmtId="0" fontId="2" fillId="0" borderId="5">
      <alignment vertical="center" wrapText="1"/>
    </xf>
    <xf numFmtId="0" fontId="41" fillId="60" borderId="0" applyNumberFormat="0" applyFont="0" applyBorder="0" applyAlignment="0" applyProtection="0">
      <alignment vertical="center"/>
    </xf>
    <xf numFmtId="1" fontId="2" fillId="0" borderId="0" applyProtection="0">
      <alignment horizontal="right" vertical="center"/>
    </xf>
    <xf numFmtId="0" fontId="130" fillId="0" borderId="0"/>
    <xf numFmtId="0" fontId="65" fillId="0" borderId="33" applyNumberFormat="0" applyAlignment="0" applyProtection="0"/>
    <xf numFmtId="0" fontId="61" fillId="44" borderId="0" applyNumberFormat="0" applyFont="0" applyBorder="0" applyAlignment="0" applyProtection="0"/>
    <xf numFmtId="0" fontId="6" fillId="45" borderId="8" applyNumberFormat="0" applyFont="0" applyBorder="0" applyAlignment="0" applyProtection="0">
      <alignment horizontal="center"/>
    </xf>
    <xf numFmtId="0" fontId="6" fillId="4" borderId="8" applyNumberFormat="0" applyFont="0" applyBorder="0" applyAlignment="0" applyProtection="0">
      <alignment horizontal="center"/>
    </xf>
    <xf numFmtId="0" fontId="61" fillId="0" borderId="34" applyNumberFormat="0" applyAlignment="0" applyProtection="0"/>
    <xf numFmtId="0" fontId="61" fillId="0" borderId="35" applyNumberFormat="0" applyAlignment="0" applyProtection="0"/>
    <xf numFmtId="0" fontId="65" fillId="0" borderId="36" applyNumberFormat="0" applyAlignment="0" applyProtection="0"/>
    <xf numFmtId="0" fontId="71" fillId="0" borderId="2">
      <alignment vertical="center"/>
    </xf>
    <xf numFmtId="0" fontId="6" fillId="0" borderId="0"/>
    <xf numFmtId="167" fontId="136" fillId="0" borderId="0" applyFill="0" applyBorder="0" applyProtection="0">
      <alignment vertical="top"/>
    </xf>
    <xf numFmtId="14" fontId="91" fillId="0" borderId="0">
      <alignment horizontal="center" wrapText="1"/>
      <protection locked="0"/>
    </xf>
    <xf numFmtId="0" fontId="5" fillId="0" borderId="0" applyFont="0" applyFill="0" applyBorder="0" applyAlignment="0" applyProtection="0"/>
    <xf numFmtId="167" fontId="89" fillId="0" borderId="0" applyFont="0" applyFill="0" applyBorder="0" applyAlignment="0" applyProtection="0"/>
    <xf numFmtId="10" fontId="89" fillId="0" borderId="0" applyFont="0" applyFill="0" applyBorder="0" applyAlignment="0" applyProtection="0"/>
    <xf numFmtId="0" fontId="2" fillId="0" borderId="0" applyFont="0" applyFill="0" applyBorder="0" applyAlignment="0"/>
    <xf numFmtId="254" fontId="2" fillId="0" borderId="0" applyFont="0" applyFill="0" applyBorder="0" applyAlignment="0"/>
    <xf numFmtId="10" fontId="2" fillId="0" borderId="0" applyFont="0" applyFill="0" applyBorder="0" applyAlignment="0" applyProtection="0"/>
    <xf numFmtId="9" fontId="61" fillId="0" borderId="0"/>
    <xf numFmtId="10" fontId="61" fillId="0" borderId="0"/>
    <xf numFmtId="9" fontId="61" fillId="0" borderId="0"/>
    <xf numFmtId="184" fontId="41" fillId="0" borderId="0" applyFont="0" applyFill="0" applyBorder="0" applyAlignment="0" applyProtection="0">
      <alignment horizontal="right" vertical="center"/>
    </xf>
    <xf numFmtId="185" fontId="41" fillId="0" borderId="0" applyFont="0" applyFill="0" applyBorder="0" applyAlignment="0" applyProtection="0">
      <alignment vertical="center"/>
    </xf>
    <xf numFmtId="220" fontId="61" fillId="0" borderId="0" applyFont="0" applyFill="0" applyBorder="0" applyAlignment="0" applyProtection="0"/>
    <xf numFmtId="221" fontId="5" fillId="0" borderId="0" applyFill="0" applyBorder="0">
      <alignment horizontal="right"/>
      <protection locked="0"/>
    </xf>
    <xf numFmtId="251" fontId="91" fillId="0" borderId="0" applyFont="0" applyFill="0" applyBorder="0" applyAlignment="0" applyProtection="0"/>
    <xf numFmtId="234" fontId="2" fillId="0" borderId="0" applyFont="0" applyFill="0" applyBorder="0" applyAlignment="0" applyProtection="0"/>
    <xf numFmtId="8" fontId="91" fillId="0" borderId="0" applyFont="0" applyFill="0" applyBorder="0" applyAlignment="0" applyProtection="0"/>
    <xf numFmtId="250" fontId="91" fillId="0" borderId="0" applyFont="0" applyFill="0" applyBorder="0" applyAlignment="0" applyProtection="0">
      <protection locked="0"/>
    </xf>
    <xf numFmtId="222" fontId="78" fillId="0" borderId="0" applyFill="0" applyBorder="0" applyAlignment="0" applyProtection="0"/>
    <xf numFmtId="223" fontId="2" fillId="0" borderId="0" applyFont="0" applyFill="0" applyBorder="0" applyAlignment="0"/>
    <xf numFmtId="9" fontId="76" fillId="0" borderId="0" applyFont="0" applyFill="0" applyBorder="0" applyAlignment="0" applyProtection="0"/>
    <xf numFmtId="250" fontId="91" fillId="0" borderId="0" applyFill="0" applyBorder="0" applyAlignment="0" applyProtection="0"/>
    <xf numFmtId="38" fontId="91" fillId="0" borderId="0" applyFont="0" applyFill="0" applyBorder="0" applyAlignment="0" applyProtection="0"/>
    <xf numFmtId="8" fontId="137" fillId="0" borderId="37">
      <alignment horizontal="right"/>
    </xf>
    <xf numFmtId="0" fontId="2" fillId="0" borderId="0">
      <alignment horizontal="right"/>
    </xf>
    <xf numFmtId="0" fontId="2" fillId="0" borderId="0"/>
    <xf numFmtId="257" fontId="2" fillId="0" borderId="0"/>
    <xf numFmtId="235" fontId="138" fillId="0" borderId="0"/>
    <xf numFmtId="257" fontId="2" fillId="0" borderId="0"/>
    <xf numFmtId="235" fontId="138" fillId="0" borderId="0"/>
    <xf numFmtId="235" fontId="138" fillId="0" borderId="0"/>
    <xf numFmtId="257" fontId="2" fillId="0" borderId="0"/>
    <xf numFmtId="235" fontId="138" fillId="0" borderId="0"/>
    <xf numFmtId="235" fontId="138" fillId="0" borderId="0"/>
    <xf numFmtId="235" fontId="138" fillId="0" borderId="0"/>
    <xf numFmtId="257" fontId="2" fillId="0" borderId="0"/>
    <xf numFmtId="235" fontId="138" fillId="0" borderId="0"/>
    <xf numFmtId="235" fontId="138" fillId="0" borderId="0"/>
    <xf numFmtId="257" fontId="2" fillId="0" borderId="0"/>
    <xf numFmtId="235" fontId="138" fillId="0" borderId="0"/>
    <xf numFmtId="235" fontId="138" fillId="0" borderId="0"/>
    <xf numFmtId="0" fontId="2" fillId="0" borderId="0"/>
    <xf numFmtId="0" fontId="2" fillId="0" borderId="0"/>
    <xf numFmtId="0" fontId="2" fillId="0" borderId="0"/>
    <xf numFmtId="224" fontId="5" fillId="0" borderId="0">
      <alignment horizontal="right"/>
      <protection locked="0"/>
    </xf>
    <xf numFmtId="250" fontId="139" fillId="0" borderId="0" applyNumberFormat="0" applyFill="0" applyBorder="0" applyAlignment="0" applyProtection="0">
      <alignment horizontal="left"/>
    </xf>
    <xf numFmtId="250" fontId="102" fillId="0" borderId="0" applyFont="0" applyFill="0" applyBorder="0" applyAlignment="0" applyProtection="0"/>
    <xf numFmtId="0" fontId="140" fillId="0" borderId="0" applyNumberFormat="0" applyFill="0" applyBorder="0" applyProtection="0">
      <alignment horizontal="right" vertical="center"/>
    </xf>
    <xf numFmtId="0" fontId="2" fillId="0" borderId="0">
      <alignment horizontal="right"/>
    </xf>
    <xf numFmtId="0" fontId="2" fillId="0" borderId="0">
      <alignment horizontal="right"/>
    </xf>
    <xf numFmtId="0" fontId="2" fillId="0" borderId="0" applyFill="0" applyBorder="0" applyProtection="0">
      <alignment horizontal="right"/>
    </xf>
    <xf numFmtId="0" fontId="2" fillId="0" borderId="0">
      <alignment horizontal="right"/>
    </xf>
    <xf numFmtId="0" fontId="61" fillId="0" borderId="38" applyNumberFormat="0" applyFont="0" applyFill="0" applyAlignment="0" applyProtection="0"/>
    <xf numFmtId="0" fontId="65" fillId="43" borderId="39" applyNumberFormat="0" applyBorder="0" applyProtection="0">
      <alignment horizontal="left" wrapText="1"/>
    </xf>
    <xf numFmtId="0" fontId="65" fillId="43" borderId="0" applyNumberFormat="0" applyBorder="0" applyProtection="0">
      <alignment horizontal="left"/>
    </xf>
    <xf numFmtId="0" fontId="141" fillId="61" borderId="0" applyFont="0" applyFill="0" applyAlignment="0"/>
    <xf numFmtId="0" fontId="45" fillId="0" borderId="0" applyNumberFormat="0" applyFill="0" applyBorder="0">
      <alignment horizontal="left" vertical="center" wrapText="1"/>
    </xf>
    <xf numFmtId="0" fontId="41" fillId="0" borderId="0" applyNumberFormat="0" applyFill="0" applyBorder="0">
      <alignment horizontal="left" vertical="center" wrapText="1" indent="1"/>
    </xf>
    <xf numFmtId="0" fontId="6" fillId="0" borderId="0" applyNumberFormat="0" applyFont="0" applyFill="0" applyBorder="0" applyAlignment="0" applyProtection="0"/>
    <xf numFmtId="0" fontId="61" fillId="0" borderId="0" applyNumberFormat="0" applyFont="0" applyFill="0" applyBorder="0" applyAlignment="0" applyProtection="0"/>
    <xf numFmtId="0" fontId="61" fillId="0" borderId="0" applyNumberFormat="0" applyFont="0" applyFill="0" applyBorder="0" applyAlignment="0" applyProtection="0"/>
    <xf numFmtId="0" fontId="61" fillId="0" borderId="0" applyNumberFormat="0" applyFont="0" applyFill="0" applyBorder="0" applyAlignment="0" applyProtection="0"/>
    <xf numFmtId="0" fontId="61" fillId="0" borderId="40" applyNumberFormat="0" applyFont="0" applyFill="0" applyAlignment="0" applyProtection="0"/>
    <xf numFmtId="207" fontId="79" fillId="0" borderId="6" applyNumberFormat="0" applyFill="0" applyBorder="0">
      <protection locked="0"/>
    </xf>
    <xf numFmtId="0" fontId="2" fillId="0" borderId="41">
      <alignment vertical="center"/>
    </xf>
    <xf numFmtId="225" fontId="80" fillId="0" borderId="0" applyFill="0" applyBorder="0">
      <alignment horizontal="right"/>
      <protection hidden="1"/>
    </xf>
    <xf numFmtId="0" fontId="81" fillId="0" borderId="0" applyNumberFormat="0" applyFill="0" applyBorder="0" applyProtection="0">
      <alignment horizontal="left" vertical="center"/>
    </xf>
    <xf numFmtId="0" fontId="82" fillId="46" borderId="5">
      <alignment horizontal="center" vertical="center" wrapText="1"/>
      <protection hidden="1"/>
    </xf>
    <xf numFmtId="40" fontId="5" fillId="0" borderId="0" applyFont="0" applyFill="0" applyBorder="0" applyAlignment="0" applyProtection="0"/>
    <xf numFmtId="243" fontId="91" fillId="0" borderId="0" applyFill="0" applyBorder="0" applyAlignment="0" applyProtection="0">
      <protection locked="0"/>
    </xf>
    <xf numFmtId="0" fontId="97" fillId="0" borderId="0" applyFill="0" applyBorder="0" applyAlignment="0" applyProtection="0"/>
    <xf numFmtId="40" fontId="61" fillId="0" borderId="0" applyFont="0" applyFill="0" applyBorder="0" applyAlignment="0" applyProtection="0"/>
    <xf numFmtId="226" fontId="61" fillId="0" borderId="0" applyFont="0" applyFill="0" applyBorder="0" applyAlignment="0" applyProtection="0"/>
    <xf numFmtId="211" fontId="74" fillId="0" borderId="0" applyNumberFormat="0" applyFill="0" applyBorder="0" applyAlignment="0"/>
    <xf numFmtId="0" fontId="5" fillId="0" borderId="0"/>
    <xf numFmtId="0" fontId="61" fillId="0" borderId="0" applyFont="0" applyFill="0" applyBorder="0" applyAlignment="0" applyProtection="0"/>
    <xf numFmtId="0" fontId="6" fillId="44" borderId="0" applyNumberFormat="0" applyFont="0" applyBorder="0" applyAlignment="0">
      <protection hidden="1"/>
    </xf>
    <xf numFmtId="0" fontId="89" fillId="0" borderId="0"/>
    <xf numFmtId="0" fontId="2" fillId="0" borderId="0"/>
    <xf numFmtId="176" fontId="45" fillId="0" borderId="42" applyNumberFormat="0" applyFill="0" applyAlignment="0" applyProtection="0">
      <alignment vertical="center"/>
    </xf>
    <xf numFmtId="0" fontId="91" fillId="0" borderId="0"/>
    <xf numFmtId="176" fontId="41" fillId="0" borderId="43" applyNumberFormat="0" applyFont="0" applyFill="0" applyAlignment="0" applyProtection="0">
      <alignment vertical="center"/>
    </xf>
    <xf numFmtId="0" fontId="2" fillId="0" borderId="0" applyBorder="0" applyProtection="0">
      <alignment vertical="center"/>
    </xf>
    <xf numFmtId="0" fontId="67" fillId="0" borderId="2" applyBorder="0" applyProtection="0">
      <alignment horizontal="right" vertical="center"/>
    </xf>
    <xf numFmtId="0" fontId="2" fillId="62" borderId="0" applyBorder="0" applyProtection="0">
      <alignment horizontal="centerContinuous" vertical="center"/>
    </xf>
    <xf numFmtId="0" fontId="2" fillId="41" borderId="2" applyBorder="0" applyProtection="0">
      <alignment horizontal="centerContinuous" vertical="center"/>
    </xf>
    <xf numFmtId="0" fontId="2" fillId="0" borderId="0" applyBorder="0" applyProtection="0">
      <alignment vertical="center"/>
    </xf>
    <xf numFmtId="227" fontId="6" fillId="0" borderId="0">
      <alignment horizontal="right"/>
    </xf>
    <xf numFmtId="3" fontId="6" fillId="0" borderId="0">
      <alignment horizontal="right"/>
    </xf>
    <xf numFmtId="0" fontId="41" fillId="50" borderId="0" applyNumberFormat="0" applyFont="0" applyBorder="0" applyAlignment="0" applyProtection="0">
      <alignment vertical="center"/>
    </xf>
    <xf numFmtId="0" fontId="2" fillId="0" borderId="0">
      <alignment horizontal="left"/>
    </xf>
    <xf numFmtId="0" fontId="2" fillId="0" borderId="0"/>
    <xf numFmtId="0" fontId="2" fillId="0" borderId="0" applyFill="0" applyBorder="0" applyProtection="0">
      <alignment horizontal="left"/>
    </xf>
    <xf numFmtId="0" fontId="41" fillId="0" borderId="0" applyNumberFormat="0" applyFont="0" applyFill="0" applyAlignment="0" applyProtection="0">
      <alignment vertical="center"/>
    </xf>
    <xf numFmtId="0" fontId="2" fillId="0" borderId="6" applyFill="0" applyBorder="0" applyProtection="0">
      <alignment horizontal="left" vertical="top"/>
    </xf>
    <xf numFmtId="176" fontId="41" fillId="0" borderId="0" applyNumberFormat="0" applyFont="0" applyBorder="0" applyAlignment="0" applyProtection="0">
      <alignment vertical="center"/>
    </xf>
    <xf numFmtId="0" fontId="2" fillId="61" borderId="44" applyNumberFormat="0" applyAlignment="0" applyProtection="0">
      <alignment vertical="center"/>
    </xf>
    <xf numFmtId="0" fontId="91" fillId="0" borderId="0"/>
    <xf numFmtId="0" fontId="142" fillId="0" borderId="0">
      <alignment horizontal="centerContinuous"/>
    </xf>
    <xf numFmtId="0" fontId="2" fillId="55" borderId="0" applyNumberFormat="0" applyFont="0" applyBorder="0" applyAlignment="0" applyProtection="0"/>
    <xf numFmtId="49" fontId="67" fillId="0" borderId="2">
      <alignment vertical="center"/>
    </xf>
    <xf numFmtId="49" fontId="41" fillId="0" borderId="0" applyFont="0" applyFill="0" applyBorder="0" applyAlignment="0" applyProtection="0">
      <alignment horizontal="center" vertical="center"/>
    </xf>
    <xf numFmtId="0" fontId="2" fillId="0" borderId="0"/>
    <xf numFmtId="0" fontId="2" fillId="0" borderId="0"/>
    <xf numFmtId="0" fontId="2" fillId="0" borderId="0"/>
    <xf numFmtId="0" fontId="2" fillId="0" borderId="0"/>
    <xf numFmtId="0" fontId="2" fillId="0" borderId="0"/>
    <xf numFmtId="0" fontId="2" fillId="0" borderId="0"/>
    <xf numFmtId="183" fontId="2" fillId="0" borderId="0" applyFill="0" applyBorder="0" applyAlignment="0" applyProtection="0">
      <alignment horizontal="right"/>
    </xf>
    <xf numFmtId="1" fontId="102" fillId="0" borderId="1" applyFill="0" applyBorder="0" applyProtection="0">
      <alignment horizontal="right"/>
    </xf>
    <xf numFmtId="258" fontId="2" fillId="0" borderId="0"/>
    <xf numFmtId="0" fontId="61" fillId="0" borderId="0" applyNumberFormat="0" applyFill="0" applyBorder="0" applyAlignment="0" applyProtection="0"/>
    <xf numFmtId="0" fontId="69" fillId="0" borderId="0" applyNumberFormat="0" applyFill="0" applyBorder="0" applyAlignment="0" applyProtection="0"/>
    <xf numFmtId="236" fontId="138" fillId="0" borderId="0"/>
    <xf numFmtId="0" fontId="2" fillId="0" borderId="2" applyFill="0" applyAlignment="0" applyProtection="0"/>
    <xf numFmtId="0" fontId="65" fillId="43" borderId="22" applyNumberFormat="0" applyProtection="0">
      <alignment horizontal="left" vertical="center"/>
    </xf>
    <xf numFmtId="0" fontId="102" fillId="0" borderId="0" applyFill="0" applyBorder="0" applyProtection="0"/>
    <xf numFmtId="0" fontId="2" fillId="0" borderId="45"/>
    <xf numFmtId="250" fontId="143" fillId="0" borderId="46"/>
    <xf numFmtId="250" fontId="137" fillId="0" borderId="0" applyNumberFormat="0" applyFill="0" applyBorder="0" applyAlignment="0" applyProtection="0"/>
    <xf numFmtId="0" fontId="5" fillId="0" borderId="0" applyBorder="0"/>
    <xf numFmtId="207" fontId="62" fillId="0" borderId="0" applyNumberFormat="0" applyFill="0" applyBorder="0" applyAlignment="0"/>
    <xf numFmtId="0" fontId="2" fillId="0" borderId="0"/>
    <xf numFmtId="0" fontId="2" fillId="0" borderId="0"/>
    <xf numFmtId="0" fontId="2" fillId="0" borderId="0" applyNumberFormat="0" applyFont="0" applyFill="0" applyBorder="0" applyAlignment="0">
      <alignment horizontal="left" vertical="center"/>
    </xf>
    <xf numFmtId="230" fontId="2" fillId="0" borderId="4" applyNumberFormat="0" applyFont="0" applyFill="0" applyAlignment="0"/>
    <xf numFmtId="176" fontId="45" fillId="0" borderId="0" applyNumberFormat="0" applyFill="0" applyBorder="0" applyAlignment="0" applyProtection="0">
      <alignment vertical="center"/>
    </xf>
    <xf numFmtId="0" fontId="45" fillId="44" borderId="0" applyNumberFormat="0" applyAlignment="0" applyProtection="0">
      <alignment horizontal="left" vertical="center" wrapText="1"/>
    </xf>
    <xf numFmtId="255"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169" fontId="144" fillId="0" borderId="2" applyAlignment="0">
      <alignment horizontal="left"/>
      <protection locked="0"/>
    </xf>
    <xf numFmtId="0" fontId="41" fillId="0" borderId="0" applyNumberFormat="0" applyFont="0" applyBorder="0" applyAlignment="0" applyProtection="0">
      <alignment vertical="center"/>
    </xf>
    <xf numFmtId="0" fontId="2" fillId="0" borderId="0"/>
    <xf numFmtId="0" fontId="145" fillId="0" borderId="0"/>
    <xf numFmtId="0" fontId="41" fillId="0" borderId="0" applyNumberFormat="0" applyFont="0" applyAlignment="0" applyProtection="0">
      <alignment vertical="center"/>
    </xf>
    <xf numFmtId="232" fontId="2" fillId="0" borderId="0" applyNumberFormat="0"/>
    <xf numFmtId="42" fontId="2" fillId="0" borderId="0" applyFont="0" applyFill="0" applyBorder="0" applyAlignment="0" applyProtection="0"/>
    <xf numFmtId="0" fontId="146" fillId="0" borderId="0" applyNumberFormat="0" applyFill="0" applyBorder="0" applyAlignment="0" applyProtection="0"/>
    <xf numFmtId="0" fontId="147" fillId="0" borderId="0" applyNumberFormat="0" applyFont="0" applyFill="0" applyBorder="0" applyAlignment="0" applyProtection="0">
      <alignment horizontal="left"/>
    </xf>
    <xf numFmtId="0" fontId="148" fillId="0" borderId="0" applyNumberFormat="0" applyFill="0" applyBorder="0" applyAlignment="0" applyProtection="0"/>
    <xf numFmtId="1" fontId="91" fillId="0" borderId="0" applyFont="0" applyFill="0" applyBorder="0" applyAlignment="0" applyProtection="0"/>
    <xf numFmtId="0" fontId="61" fillId="43" borderId="0" applyNumberFormat="0" applyBorder="0" applyProtection="0">
      <alignment horizontal="left"/>
    </xf>
    <xf numFmtId="0" fontId="65" fillId="0" borderId="2">
      <alignment horizontal="right"/>
    </xf>
    <xf numFmtId="0" fontId="97" fillId="0" borderId="0" applyFont="0" applyFill="0" applyBorder="0" applyAlignment="0" applyProtection="0"/>
    <xf numFmtId="40" fontId="149" fillId="0" borderId="0" applyFont="0" applyFill="0" applyBorder="0" applyAlignment="0" applyProtection="0"/>
    <xf numFmtId="38"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50" fillId="0" borderId="0"/>
    <xf numFmtId="0" fontId="151" fillId="0" borderId="0" applyFont="0" applyFill="0" applyBorder="0" applyAlignment="0" applyProtection="0"/>
    <xf numFmtId="0" fontId="151" fillId="0" borderId="0" applyFont="0" applyFill="0" applyBorder="0" applyAlignment="0" applyProtection="0"/>
    <xf numFmtId="259" fontId="2" fillId="0" borderId="0" applyFont="0" applyFill="0" applyBorder="0" applyAlignment="0" applyProtection="0"/>
    <xf numFmtId="0" fontId="151" fillId="0" borderId="0" applyFont="0" applyFill="0" applyBorder="0" applyAlignment="0" applyProtection="0"/>
    <xf numFmtId="0" fontId="152" fillId="0" borderId="0"/>
    <xf numFmtId="0" fontId="1" fillId="0" borderId="0"/>
    <xf numFmtId="0" fontId="52" fillId="0" borderId="0" applyNumberFormat="0" applyFill="0" applyBorder="0" applyAlignment="0" applyProtection="0"/>
    <xf numFmtId="0" fontId="53" fillId="0" borderId="19" applyNumberFormat="0" applyFill="0" applyAlignment="0" applyProtection="0"/>
    <xf numFmtId="0" fontId="2" fillId="0" borderId="0"/>
    <xf numFmtId="43" fontId="3"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9" fontId="15" fillId="0" borderId="0" applyFont="0" applyFill="0" applyBorder="0" applyAlignment="0" applyProtection="0"/>
    <xf numFmtId="0" fontId="3"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184" fontId="41" fillId="0" borderId="0" applyFont="0" applyFill="0" applyBorder="0" applyAlignment="0" applyProtection="0">
      <alignment vertical="center"/>
    </xf>
    <xf numFmtId="0" fontId="41" fillId="0" borderId="0"/>
    <xf numFmtId="0" fontId="6" fillId="0" borderId="0"/>
    <xf numFmtId="0" fontId="52" fillId="0" borderId="0" applyNumberFormat="0" applyFill="0" applyBorder="0" applyAlignment="0" applyProtection="0"/>
  </cellStyleXfs>
  <cellXfs count="1548">
    <xf numFmtId="0" fontId="0" fillId="0" borderId="0" xfId="0"/>
    <xf numFmtId="0" fontId="4" fillId="0" borderId="0" xfId="3" applyFont="1"/>
    <xf numFmtId="0" fontId="4" fillId="0" borderId="1" xfId="9" applyFont="1" applyBorder="1"/>
    <xf numFmtId="0" fontId="4" fillId="0" borderId="1" xfId="9" applyFont="1" applyBorder="1" applyAlignment="1">
      <alignment horizontal="right"/>
    </xf>
    <xf numFmtId="0" fontId="3" fillId="0" borderId="0" xfId="9" applyFont="1"/>
    <xf numFmtId="0" fontId="3" fillId="2" borderId="0" xfId="9" applyFont="1" applyFill="1"/>
    <xf numFmtId="0" fontId="3" fillId="4" borderId="0" xfId="9" applyFont="1" applyFill="1" applyAlignment="1">
      <alignment horizontal="right"/>
    </xf>
    <xf numFmtId="1" fontId="3" fillId="4" borderId="0" xfId="9" applyNumberFormat="1" applyFont="1" applyFill="1" applyAlignment="1">
      <alignment horizontal="right"/>
    </xf>
    <xf numFmtId="0" fontId="3" fillId="4" borderId="0" xfId="9" applyFont="1" applyFill="1"/>
    <xf numFmtId="1" fontId="3" fillId="4" borderId="0" xfId="10" applyNumberFormat="1" applyFont="1" applyFill="1" applyAlignment="1">
      <alignment horizontal="right"/>
    </xf>
    <xf numFmtId="2" fontId="3" fillId="4" borderId="0" xfId="9" applyNumberFormat="1" applyFont="1" applyFill="1" applyAlignment="1">
      <alignment horizontal="right"/>
    </xf>
    <xf numFmtId="0" fontId="3" fillId="0" borderId="0" xfId="9" applyFont="1" applyAlignment="1">
      <alignment horizontal="right"/>
    </xf>
    <xf numFmtId="1" fontId="3" fillId="0" borderId="0" xfId="9" applyNumberFormat="1" applyFont="1" applyAlignment="1">
      <alignment horizontal="right"/>
    </xf>
    <xf numFmtId="166" fontId="3" fillId="4" borderId="0" xfId="10" applyNumberFormat="1" applyFont="1" applyFill="1" applyAlignment="1">
      <alignment horizontal="right"/>
    </xf>
    <xf numFmtId="0" fontId="3" fillId="0" borderId="0" xfId="11" applyFont="1"/>
    <xf numFmtId="0" fontId="3" fillId="4" borderId="0" xfId="11" applyFont="1" applyFill="1" applyAlignment="1">
      <alignment horizontal="right"/>
    </xf>
    <xf numFmtId="0" fontId="4" fillId="0" borderId="0" xfId="11" applyFont="1" applyAlignment="1">
      <alignment horizontal="left"/>
    </xf>
    <xf numFmtId="0" fontId="4" fillId="0" borderId="0" xfId="11" applyFont="1" applyAlignment="1">
      <alignment horizontal="right"/>
    </xf>
    <xf numFmtId="166" fontId="3" fillId="0" borderId="0" xfId="9" applyNumberFormat="1" applyFont="1" applyAlignment="1">
      <alignment horizontal="right"/>
    </xf>
    <xf numFmtId="0" fontId="4" fillId="2" borderId="0" xfId="9" applyFont="1" applyFill="1"/>
    <xf numFmtId="0" fontId="4" fillId="4" borderId="0" xfId="9" applyFont="1" applyFill="1" applyAlignment="1">
      <alignment horizontal="right"/>
    </xf>
    <xf numFmtId="0" fontId="3" fillId="2" borderId="0" xfId="3" applyFont="1" applyFill="1" applyAlignment="1">
      <alignment vertical="center"/>
    </xf>
    <xf numFmtId="0" fontId="0" fillId="2" borderId="0" xfId="3" applyFont="1" applyFill="1" applyAlignment="1">
      <alignment vertical="center"/>
    </xf>
    <xf numFmtId="1" fontId="4" fillId="4" borderId="0" xfId="9" applyNumberFormat="1" applyFont="1" applyFill="1" applyAlignment="1">
      <alignment horizontal="right"/>
    </xf>
    <xf numFmtId="0" fontId="4" fillId="0" borderId="0" xfId="9" applyFont="1"/>
    <xf numFmtId="0" fontId="5" fillId="4" borderId="0" xfId="12" applyFill="1" applyAlignment="1">
      <alignment horizontal="right"/>
    </xf>
    <xf numFmtId="166" fontId="3" fillId="4" borderId="0" xfId="10" applyNumberFormat="1" applyFont="1" applyFill="1" applyBorder="1" applyAlignment="1">
      <alignment horizontal="right"/>
    </xf>
    <xf numFmtId="166" fontId="3" fillId="4" borderId="0" xfId="9" applyNumberFormat="1" applyFont="1" applyFill="1" applyAlignment="1">
      <alignment horizontal="right"/>
    </xf>
    <xf numFmtId="166" fontId="3" fillId="0" borderId="0" xfId="10" applyNumberFormat="1" applyFont="1" applyFill="1"/>
    <xf numFmtId="0" fontId="4" fillId="0" borderId="1" xfId="13" applyFont="1" applyBorder="1"/>
    <xf numFmtId="0" fontId="4" fillId="0" borderId="1" xfId="13" applyFont="1" applyBorder="1" applyAlignment="1">
      <alignment horizontal="right"/>
    </xf>
    <xf numFmtId="0" fontId="2" fillId="4" borderId="0" xfId="3" applyFill="1" applyAlignment="1">
      <alignment horizontal="right"/>
    </xf>
    <xf numFmtId="0" fontId="3" fillId="4" borderId="0" xfId="3" applyFont="1" applyFill="1" applyAlignment="1">
      <alignment horizontal="right"/>
    </xf>
    <xf numFmtId="0" fontId="2" fillId="4" borderId="0" xfId="13" applyFill="1" applyAlignment="1">
      <alignment horizontal="right"/>
    </xf>
    <xf numFmtId="0" fontId="2" fillId="4" borderId="0" xfId="13" applyFill="1"/>
    <xf numFmtId="0" fontId="2" fillId="0" borderId="0" xfId="3"/>
    <xf numFmtId="166" fontId="0" fillId="4" borderId="0" xfId="1" applyNumberFormat="1" applyFont="1" applyFill="1" applyAlignment="1">
      <alignment horizontal="right"/>
    </xf>
    <xf numFmtId="9" fontId="0" fillId="4" borderId="0" xfId="2" applyFont="1" applyFill="1" applyAlignment="1">
      <alignment horizontal="right"/>
    </xf>
    <xf numFmtId="0" fontId="0" fillId="4" borderId="0" xfId="3" applyFont="1" applyFill="1"/>
    <xf numFmtId="0" fontId="0" fillId="0" borderId="0" xfId="0" applyAlignment="1">
      <alignment vertical="center"/>
    </xf>
    <xf numFmtId="0" fontId="12" fillId="5" borderId="0" xfId="6" applyFont="1" applyFill="1"/>
    <xf numFmtId="43" fontId="11" fillId="4" borderId="0" xfId="1" applyFont="1" applyFill="1" applyAlignment="1"/>
    <xf numFmtId="43" fontId="11" fillId="4" borderId="0" xfId="1" applyFont="1" applyFill="1" applyBorder="1" applyAlignment="1">
      <alignment horizontal="left"/>
    </xf>
    <xf numFmtId="0" fontId="13" fillId="4" borderId="0" xfId="6" applyFont="1" applyFill="1" applyAlignment="1">
      <alignment horizontal="left"/>
    </xf>
    <xf numFmtId="0" fontId="2" fillId="4" borderId="3" xfId="14" applyFill="1" applyBorder="1"/>
    <xf numFmtId="9" fontId="0" fillId="0" borderId="0" xfId="2" applyFont="1" applyAlignment="1">
      <alignment vertical="center"/>
    </xf>
    <xf numFmtId="177" fontId="0" fillId="0" borderId="0" xfId="1" applyNumberFormat="1" applyFont="1" applyAlignment="1">
      <alignment vertical="center"/>
    </xf>
    <xf numFmtId="170" fontId="0" fillId="0" borderId="0" xfId="2" applyNumberFormat="1" applyFont="1" applyAlignment="1">
      <alignment vertical="center"/>
    </xf>
    <xf numFmtId="1" fontId="0" fillId="0" borderId="0" xfId="0" applyNumberFormat="1" applyAlignment="1">
      <alignment vertical="center"/>
    </xf>
    <xf numFmtId="176" fontId="0" fillId="0" borderId="0" xfId="0" applyNumberFormat="1" applyAlignment="1">
      <alignment vertical="center"/>
    </xf>
    <xf numFmtId="167" fontId="0" fillId="0" borderId="0" xfId="2" applyNumberFormat="1" applyFont="1" applyAlignment="1">
      <alignment vertical="center"/>
    </xf>
    <xf numFmtId="166" fontId="0" fillId="0" borderId="0" xfId="1" applyNumberFormat="1" applyFont="1" applyAlignment="1">
      <alignment vertical="center"/>
    </xf>
    <xf numFmtId="176" fontId="0" fillId="0" borderId="0" xfId="1" applyNumberFormat="1" applyFont="1" applyAlignment="1">
      <alignment vertical="center"/>
    </xf>
    <xf numFmtId="166" fontId="11" fillId="7" borderId="0" xfId="1" applyNumberFormat="1" applyFont="1" applyFill="1" applyAlignment="1"/>
    <xf numFmtId="0" fontId="11" fillId="7" borderId="0" xfId="0" applyFont="1" applyFill="1"/>
    <xf numFmtId="0" fontId="11" fillId="0" borderId="0" xfId="0" applyFont="1"/>
    <xf numFmtId="0" fontId="11" fillId="8" borderId="0" xfId="0" applyFont="1" applyFill="1"/>
    <xf numFmtId="3" fontId="11" fillId="8" borderId="0" xfId="0" applyNumberFormat="1" applyFont="1" applyFill="1" applyAlignment="1">
      <alignment horizontal="center"/>
    </xf>
    <xf numFmtId="3" fontId="11" fillId="9" borderId="0" xfId="0" applyNumberFormat="1" applyFont="1" applyFill="1" applyAlignment="1">
      <alignment horizontal="left"/>
    </xf>
    <xf numFmtId="3" fontId="2" fillId="9" borderId="0" xfId="0" applyNumberFormat="1" applyFont="1" applyFill="1" applyAlignment="1">
      <alignment horizontal="center"/>
    </xf>
    <xf numFmtId="180" fontId="2" fillId="9" borderId="0" xfId="0" applyNumberFormat="1" applyFont="1" applyFill="1" applyAlignment="1">
      <alignment horizontal="center"/>
    </xf>
    <xf numFmtId="3" fontId="11" fillId="10" borderId="0" xfId="0" applyNumberFormat="1" applyFont="1" applyFill="1" applyAlignment="1">
      <alignment horizontal="left"/>
    </xf>
    <xf numFmtId="3" fontId="2" fillId="0" borderId="0" xfId="0" applyNumberFormat="1" applyFont="1" applyAlignment="1">
      <alignment horizontal="center"/>
    </xf>
    <xf numFmtId="0" fontId="2" fillId="10" borderId="0" xfId="0" applyFont="1" applyFill="1" applyAlignment="1">
      <alignment horizontal="left"/>
    </xf>
    <xf numFmtId="0" fontId="2" fillId="10" borderId="0" xfId="18" applyFill="1"/>
    <xf numFmtId="167" fontId="0" fillId="0" borderId="0" xfId="2" applyNumberFormat="1" applyFont="1"/>
    <xf numFmtId="169" fontId="2" fillId="9" borderId="0" xfId="0" applyNumberFormat="1" applyFont="1" applyFill="1" applyAlignment="1">
      <alignment horizontal="center"/>
    </xf>
    <xf numFmtId="17" fontId="0" fillId="0" borderId="0" xfId="0" applyNumberFormat="1" applyAlignment="1">
      <alignment vertical="center"/>
    </xf>
    <xf numFmtId="166" fontId="0" fillId="0" borderId="0" xfId="1" applyNumberFormat="1" applyFont="1" applyAlignment="1">
      <alignment horizontal="center" vertical="center"/>
    </xf>
    <xf numFmtId="37"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3" fontId="0" fillId="0" borderId="0" xfId="0" applyNumberFormat="1" applyAlignment="1">
      <alignment horizontal="center" vertical="center"/>
    </xf>
    <xf numFmtId="43" fontId="0" fillId="0" borderId="0" xfId="1" applyFont="1" applyAlignment="1">
      <alignment horizontal="center" vertical="center"/>
    </xf>
    <xf numFmtId="170" fontId="0" fillId="0" borderId="0" xfId="2" applyNumberFormat="1" applyFont="1" applyAlignment="1">
      <alignment horizontal="center" vertical="center"/>
    </xf>
    <xf numFmtId="17" fontId="14" fillId="0" borderId="0" xfId="0" applyNumberFormat="1" applyFont="1" applyAlignment="1">
      <alignment horizontal="center" vertical="center"/>
    </xf>
    <xf numFmtId="43" fontId="0" fillId="0" borderId="0" xfId="0" applyNumberFormat="1" applyAlignment="1">
      <alignment horizontal="center" vertical="center"/>
    </xf>
    <xf numFmtId="0" fontId="14" fillId="0" borderId="0" xfId="0" applyFont="1"/>
    <xf numFmtId="0" fontId="2" fillId="11" borderId="0" xfId="15" applyFont="1" applyFill="1"/>
    <xf numFmtId="17" fontId="12" fillId="0" borderId="0" xfId="6" applyNumberFormat="1" applyFont="1" applyAlignment="1">
      <alignment horizontal="center"/>
    </xf>
    <xf numFmtId="17" fontId="12" fillId="5" borderId="0" xfId="6" applyNumberFormat="1" applyFont="1" applyFill="1" applyAlignment="1">
      <alignment horizontal="right"/>
    </xf>
    <xf numFmtId="166" fontId="11" fillId="4" borderId="0" xfId="1" applyNumberFormat="1" applyFont="1" applyFill="1" applyAlignment="1">
      <alignment horizontal="right"/>
    </xf>
    <xf numFmtId="167" fontId="2" fillId="4" borderId="0" xfId="16" applyNumberFormat="1" applyFont="1" applyFill="1" applyBorder="1" applyAlignment="1">
      <alignment horizontal="right"/>
    </xf>
    <xf numFmtId="0" fontId="11" fillId="6" borderId="0" xfId="14" applyFont="1" applyFill="1" applyAlignment="1">
      <alignment horizontal="right"/>
    </xf>
    <xf numFmtId="0" fontId="2" fillId="11" borderId="0" xfId="15" applyFont="1" applyFill="1" applyAlignment="1">
      <alignment horizontal="right"/>
    </xf>
    <xf numFmtId="0" fontId="0" fillId="0" borderId="0" xfId="0" applyAlignment="1">
      <alignment horizontal="right"/>
    </xf>
    <xf numFmtId="9" fontId="2" fillId="4" borderId="0" xfId="5" applyFont="1" applyFill="1" applyAlignment="1">
      <alignment horizontal="right"/>
    </xf>
    <xf numFmtId="166" fontId="2" fillId="4" borderId="0" xfId="1" applyNumberFormat="1" applyFont="1" applyFill="1" applyBorder="1" applyAlignment="1">
      <alignment horizontal="right"/>
    </xf>
    <xf numFmtId="166" fontId="2" fillId="4" borderId="0" xfId="1" applyNumberFormat="1" applyFont="1" applyFill="1" applyAlignment="1">
      <alignment horizontal="right"/>
    </xf>
    <xf numFmtId="3" fontId="2" fillId="11" borderId="0" xfId="14" applyNumberFormat="1" applyFill="1" applyAlignment="1">
      <alignment horizontal="right"/>
    </xf>
    <xf numFmtId="1" fontId="2" fillId="11" borderId="0" xfId="14" applyNumberFormat="1" applyFill="1" applyAlignment="1">
      <alignment horizontal="right"/>
    </xf>
    <xf numFmtId="3" fontId="2" fillId="9" borderId="0" xfId="0" quotePrefix="1" applyNumberFormat="1" applyFont="1" applyFill="1" applyAlignment="1">
      <alignment horizontal="center"/>
    </xf>
    <xf numFmtId="167" fontId="2" fillId="9" borderId="0" xfId="2" quotePrefix="1" applyNumberFormat="1" applyFont="1" applyFill="1" applyAlignment="1">
      <alignment horizontal="center"/>
    </xf>
    <xf numFmtId="3" fontId="2" fillId="9" borderId="0" xfId="0" applyNumberFormat="1" applyFont="1" applyFill="1" applyAlignment="1">
      <alignment horizontal="left"/>
    </xf>
    <xf numFmtId="0" fontId="15" fillId="8" borderId="0" xfId="0" applyFont="1" applyFill="1"/>
    <xf numFmtId="0" fontId="16" fillId="8" borderId="0" xfId="0" applyFont="1" applyFill="1"/>
    <xf numFmtId="3" fontId="15" fillId="9" borderId="0" xfId="0" applyNumberFormat="1" applyFont="1" applyFill="1" applyAlignment="1">
      <alignment horizontal="left"/>
    </xf>
    <xf numFmtId="167" fontId="15" fillId="9" borderId="0" xfId="2" applyNumberFormat="1" applyFont="1" applyFill="1" applyAlignment="1">
      <alignment horizontal="left"/>
    </xf>
    <xf numFmtId="180" fontId="15" fillId="9" borderId="0" xfId="0" applyNumberFormat="1" applyFont="1" applyFill="1" applyAlignment="1">
      <alignment horizontal="left"/>
    </xf>
    <xf numFmtId="3" fontId="15" fillId="10" borderId="0" xfId="0" applyNumberFormat="1" applyFont="1" applyFill="1" applyAlignment="1">
      <alignment horizontal="left"/>
    </xf>
    <xf numFmtId="0" fontId="15" fillId="10" borderId="0" xfId="0" applyFont="1" applyFill="1"/>
    <xf numFmtId="166" fontId="2" fillId="7" borderId="0" xfId="1" applyNumberFormat="1" applyFont="1" applyFill="1" applyAlignment="1">
      <alignment horizontal="center"/>
    </xf>
    <xf numFmtId="0" fontId="2" fillId="7" borderId="0" xfId="0" applyFont="1" applyFill="1" applyAlignment="1">
      <alignment horizontal="center"/>
    </xf>
    <xf numFmtId="0" fontId="2" fillId="0" borderId="0" xfId="0" applyFont="1" applyAlignment="1">
      <alignment horizontal="center"/>
    </xf>
    <xf numFmtId="0" fontId="2" fillId="8" borderId="0" xfId="0" applyFont="1" applyFill="1"/>
    <xf numFmtId="3" fontId="2" fillId="8" borderId="0" xfId="0" applyNumberFormat="1" applyFont="1" applyFill="1" applyAlignment="1">
      <alignment horizontal="center"/>
    </xf>
    <xf numFmtId="167" fontId="2" fillId="0" borderId="0" xfId="17" applyNumberFormat="1" applyFont="1" applyFill="1" applyAlignment="1">
      <alignment horizontal="center"/>
    </xf>
    <xf numFmtId="3" fontId="2" fillId="10" borderId="0" xfId="0" applyNumberFormat="1" applyFont="1" applyFill="1" applyAlignment="1">
      <alignment horizontal="left"/>
    </xf>
    <xf numFmtId="166" fontId="2" fillId="7" borderId="0" xfId="1" applyNumberFormat="1" applyFont="1" applyFill="1" applyAlignment="1"/>
    <xf numFmtId="0" fontId="15" fillId="7" borderId="0" xfId="0" applyFont="1" applyFill="1"/>
    <xf numFmtId="0" fontId="15" fillId="7" borderId="0" xfId="0" applyFont="1" applyFill="1" applyAlignment="1">
      <alignment horizontal="center"/>
    </xf>
    <xf numFmtId="0" fontId="15" fillId="0" borderId="0" xfId="0" applyFont="1"/>
    <xf numFmtId="0" fontId="15" fillId="0" borderId="0" xfId="0" applyFont="1" applyAlignment="1">
      <alignment horizontal="center"/>
    </xf>
    <xf numFmtId="3" fontId="15" fillId="8" borderId="0" xfId="0" applyNumberFormat="1" applyFont="1" applyFill="1" applyAlignment="1">
      <alignment horizontal="center"/>
    </xf>
    <xf numFmtId="9" fontId="2" fillId="8" borderId="0" xfId="17" applyFont="1" applyFill="1" applyAlignment="1">
      <alignment horizontal="center"/>
    </xf>
    <xf numFmtId="167" fontId="15" fillId="0" borderId="0" xfId="17" applyNumberFormat="1" applyFont="1" applyFill="1" applyAlignment="1">
      <alignment horizontal="center"/>
    </xf>
    <xf numFmtId="3" fontId="15" fillId="9" borderId="0" xfId="0" applyNumberFormat="1" applyFont="1" applyFill="1" applyAlignment="1">
      <alignment horizontal="center"/>
    </xf>
    <xf numFmtId="167" fontId="15" fillId="9" borderId="0" xfId="2" applyNumberFormat="1" applyFont="1" applyFill="1" applyAlignment="1">
      <alignment horizontal="center"/>
    </xf>
    <xf numFmtId="9" fontId="2" fillId="9" borderId="0" xfId="17" applyFont="1" applyFill="1" applyAlignment="1">
      <alignment horizontal="center"/>
    </xf>
    <xf numFmtId="169" fontId="15" fillId="9" borderId="0" xfId="0" applyNumberFormat="1" applyFont="1" applyFill="1" applyAlignment="1">
      <alignment horizontal="center"/>
    </xf>
    <xf numFmtId="180" fontId="15" fillId="9" borderId="0" xfId="0" applyNumberFormat="1" applyFont="1" applyFill="1" applyAlignment="1">
      <alignment horizontal="center"/>
    </xf>
    <xf numFmtId="3" fontId="15" fillId="0" borderId="0" xfId="0" applyNumberFormat="1" applyFont="1" applyAlignment="1">
      <alignment horizontal="center"/>
    </xf>
    <xf numFmtId="0" fontId="15" fillId="0" borderId="0" xfId="0" applyFont="1" applyAlignment="1">
      <alignment vertical="center"/>
    </xf>
    <xf numFmtId="3" fontId="15" fillId="10" borderId="0" xfId="0" applyNumberFormat="1" applyFont="1" applyFill="1" applyAlignment="1">
      <alignment horizontal="center"/>
    </xf>
    <xf numFmtId="3" fontId="16" fillId="8" borderId="0" xfId="0" applyNumberFormat="1" applyFont="1" applyFill="1" applyAlignment="1">
      <alignment horizontal="center"/>
    </xf>
    <xf numFmtId="3" fontId="16" fillId="9" borderId="0" xfId="0" applyNumberFormat="1" applyFont="1" applyFill="1" applyAlignment="1">
      <alignment horizontal="left"/>
    </xf>
    <xf numFmtId="3" fontId="16" fillId="9" borderId="0" xfId="0" applyNumberFormat="1" applyFont="1" applyFill="1" applyAlignment="1">
      <alignment horizontal="center"/>
    </xf>
    <xf numFmtId="0" fontId="11" fillId="0" borderId="0" xfId="4" applyFont="1" applyAlignment="1">
      <alignment horizontal="center"/>
    </xf>
    <xf numFmtId="0" fontId="11" fillId="0" borderId="0" xfId="0" applyFont="1" applyAlignment="1">
      <alignment vertical="center"/>
    </xf>
    <xf numFmtId="3" fontId="15" fillId="0" borderId="0" xfId="0" applyNumberFormat="1" applyFont="1" applyAlignment="1">
      <alignment vertical="center"/>
    </xf>
    <xf numFmtId="0" fontId="15" fillId="13" borderId="0" xfId="0" applyFont="1" applyFill="1" applyAlignment="1">
      <alignment vertical="center"/>
    </xf>
    <xf numFmtId="3" fontId="15" fillId="13" borderId="0" xfId="0" applyNumberFormat="1" applyFont="1" applyFill="1" applyAlignment="1">
      <alignment vertical="center"/>
    </xf>
    <xf numFmtId="9" fontId="15" fillId="0" borderId="0" xfId="0" applyNumberFormat="1" applyFont="1" applyAlignment="1">
      <alignment vertical="center"/>
    </xf>
    <xf numFmtId="0" fontId="11" fillId="0" borderId="6" xfId="4" applyFont="1" applyBorder="1" applyAlignment="1">
      <alignment horizontal="center"/>
    </xf>
    <xf numFmtId="0" fontId="15" fillId="0" borderId="6" xfId="0" applyFont="1" applyBorder="1" applyAlignment="1">
      <alignment vertical="center"/>
    </xf>
    <xf numFmtId="3" fontId="15" fillId="0" borderId="6" xfId="0" applyNumberFormat="1" applyFont="1" applyBorder="1" applyAlignment="1">
      <alignment vertical="center"/>
    </xf>
    <xf numFmtId="3" fontId="15" fillId="13" borderId="6" xfId="0" applyNumberFormat="1" applyFont="1" applyFill="1" applyBorder="1" applyAlignment="1">
      <alignment vertical="center"/>
    </xf>
    <xf numFmtId="9" fontId="15" fillId="0" borderId="6" xfId="0" applyNumberFormat="1" applyFont="1" applyBorder="1" applyAlignment="1">
      <alignment vertical="center"/>
    </xf>
    <xf numFmtId="167" fontId="0" fillId="0" borderId="0" xfId="0" applyNumberFormat="1" applyAlignment="1">
      <alignment vertical="center"/>
    </xf>
    <xf numFmtId="0" fontId="16" fillId="0" borderId="0" xfId="0" applyFont="1" applyAlignment="1">
      <alignment vertical="center"/>
    </xf>
    <xf numFmtId="9" fontId="16" fillId="0" borderId="0" xfId="0" applyNumberFormat="1" applyFont="1" applyAlignment="1">
      <alignment vertical="center"/>
    </xf>
    <xf numFmtId="9" fontId="16" fillId="0" borderId="6" xfId="0" applyNumberFormat="1" applyFont="1" applyBorder="1" applyAlignment="1">
      <alignment vertical="center"/>
    </xf>
    <xf numFmtId="9" fontId="14" fillId="0" borderId="9" xfId="0" applyNumberFormat="1" applyFont="1" applyBorder="1"/>
    <xf numFmtId="9" fontId="0" fillId="0" borderId="7" xfId="0" applyNumberFormat="1" applyBorder="1"/>
    <xf numFmtId="9" fontId="0" fillId="0" borderId="8" xfId="0" applyNumberFormat="1" applyBorder="1"/>
    <xf numFmtId="0" fontId="14" fillId="0" borderId="0" xfId="0" applyFont="1" applyAlignment="1">
      <alignment vertical="center"/>
    </xf>
    <xf numFmtId="0" fontId="18" fillId="11" borderId="0" xfId="0" applyFont="1" applyFill="1"/>
    <xf numFmtId="0" fontId="19" fillId="11" borderId="0" xfId="0" applyFont="1" applyFill="1"/>
    <xf numFmtId="0" fontId="19" fillId="11" borderId="4" xfId="0" applyFont="1" applyFill="1" applyBorder="1"/>
    <xf numFmtId="0" fontId="18" fillId="11" borderId="4" xfId="0" applyFont="1" applyFill="1" applyBorder="1"/>
    <xf numFmtId="0" fontId="18" fillId="11" borderId="2" xfId="0" applyFont="1" applyFill="1" applyBorder="1"/>
    <xf numFmtId="0" fontId="19" fillId="12" borderId="0" xfId="0" applyFont="1" applyFill="1"/>
    <xf numFmtId="0" fontId="18" fillId="8" borderId="4" xfId="0" applyFont="1" applyFill="1" applyBorder="1"/>
    <xf numFmtId="1" fontId="3" fillId="4" borderId="0" xfId="9" quotePrefix="1" applyNumberFormat="1" applyFont="1" applyFill="1" applyAlignment="1">
      <alignment horizontal="right"/>
    </xf>
    <xf numFmtId="174" fontId="18" fillId="11" borderId="0" xfId="0" applyNumberFormat="1" applyFont="1" applyFill="1"/>
    <xf numFmtId="174" fontId="18" fillId="12" borderId="0" xfId="0" applyNumberFormat="1" applyFont="1" applyFill="1"/>
    <xf numFmtId="9" fontId="18" fillId="11" borderId="0" xfId="2" applyFont="1" applyFill="1"/>
    <xf numFmtId="167" fontId="18" fillId="11" borderId="0" xfId="2" applyNumberFormat="1" applyFont="1" applyFill="1" applyBorder="1"/>
    <xf numFmtId="167" fontId="18" fillId="11" borderId="2" xfId="2" applyNumberFormat="1" applyFont="1" applyFill="1" applyBorder="1"/>
    <xf numFmtId="174" fontId="18" fillId="11" borderId="4" xfId="0" applyNumberFormat="1" applyFont="1" applyFill="1" applyBorder="1"/>
    <xf numFmtId="174" fontId="19" fillId="11" borderId="4" xfId="0" applyNumberFormat="1" applyFont="1" applyFill="1" applyBorder="1"/>
    <xf numFmtId="167" fontId="18" fillId="11" borderId="4" xfId="2" applyNumberFormat="1" applyFont="1" applyFill="1" applyBorder="1"/>
    <xf numFmtId="0" fontId="18" fillId="11" borderId="10" xfId="0" applyFont="1" applyFill="1" applyBorder="1"/>
    <xf numFmtId="174" fontId="18" fillId="11" borderId="10" xfId="0" applyNumberFormat="1" applyFont="1" applyFill="1" applyBorder="1"/>
    <xf numFmtId="9" fontId="18" fillId="11" borderId="10" xfId="2" applyFont="1" applyFill="1" applyBorder="1"/>
    <xf numFmtId="174" fontId="18" fillId="12" borderId="10" xfId="0" applyNumberFormat="1" applyFont="1" applyFill="1" applyBorder="1"/>
    <xf numFmtId="174" fontId="19" fillId="11" borderId="12" xfId="0" applyNumberFormat="1" applyFont="1" applyFill="1" applyBorder="1"/>
    <xf numFmtId="0" fontId="18" fillId="8" borderId="12" xfId="0" applyFont="1" applyFill="1" applyBorder="1"/>
    <xf numFmtId="167" fontId="18" fillId="11" borderId="10" xfId="2" applyNumberFormat="1" applyFont="1" applyFill="1" applyBorder="1"/>
    <xf numFmtId="167" fontId="18" fillId="11" borderId="13" xfId="2" applyNumberFormat="1" applyFont="1" applyFill="1" applyBorder="1"/>
    <xf numFmtId="167" fontId="18" fillId="11" borderId="0" xfId="2" applyNumberFormat="1" applyFont="1" applyFill="1"/>
    <xf numFmtId="167" fontId="18" fillId="11" borderId="0" xfId="2" applyNumberFormat="1" applyFont="1" applyFill="1" applyAlignment="1">
      <alignment horizontal="center"/>
    </xf>
    <xf numFmtId="10" fontId="18" fillId="11" borderId="0" xfId="0" applyNumberFormat="1" applyFont="1" applyFill="1"/>
    <xf numFmtId="10" fontId="20" fillId="11" borderId="0" xfId="0" applyNumberFormat="1" applyFont="1" applyFill="1"/>
    <xf numFmtId="0" fontId="18" fillId="11" borderId="12" xfId="0" applyFont="1" applyFill="1" applyBorder="1"/>
    <xf numFmtId="167" fontId="18" fillId="11" borderId="0" xfId="0" applyNumberFormat="1" applyFont="1" applyFill="1"/>
    <xf numFmtId="167" fontId="18" fillId="11" borderId="10" xfId="0" applyNumberFormat="1" applyFont="1" applyFill="1" applyBorder="1"/>
    <xf numFmtId="167" fontId="18" fillId="11" borderId="12" xfId="2" applyNumberFormat="1" applyFont="1" applyFill="1" applyBorder="1"/>
    <xf numFmtId="0" fontId="22" fillId="11" borderId="0" xfId="0" applyFont="1" applyFill="1"/>
    <xf numFmtId="0" fontId="22" fillId="11" borderId="10" xfId="0" applyFont="1" applyFill="1" applyBorder="1"/>
    <xf numFmtId="181" fontId="22" fillId="11" borderId="0" xfId="0" applyNumberFormat="1" applyFont="1" applyFill="1"/>
    <xf numFmtId="0" fontId="23" fillId="11" borderId="0" xfId="0" applyFont="1" applyFill="1"/>
    <xf numFmtId="0" fontId="24" fillId="11" borderId="0" xfId="0" applyFont="1" applyFill="1"/>
    <xf numFmtId="0" fontId="24" fillId="11" borderId="10" xfId="0" applyFont="1" applyFill="1" applyBorder="1"/>
    <xf numFmtId="181" fontId="24" fillId="11" borderId="0" xfId="0" applyNumberFormat="1" applyFont="1" applyFill="1"/>
    <xf numFmtId="0" fontId="23" fillId="11" borderId="10" xfId="0" applyFont="1" applyFill="1" applyBorder="1"/>
    <xf numFmtId="181" fontId="23" fillId="11" borderId="0" xfId="0" applyNumberFormat="1" applyFont="1" applyFill="1"/>
    <xf numFmtId="9" fontId="23" fillId="11" borderId="0" xfId="0" applyNumberFormat="1" applyFont="1" applyFill="1"/>
    <xf numFmtId="9" fontId="23" fillId="11" borderId="0" xfId="2" applyFont="1" applyFill="1"/>
    <xf numFmtId="9" fontId="18" fillId="11" borderId="0" xfId="0" applyNumberFormat="1" applyFont="1" applyFill="1"/>
    <xf numFmtId="9" fontId="18" fillId="11" borderId="10" xfId="0" applyNumberFormat="1" applyFont="1" applyFill="1" applyBorder="1"/>
    <xf numFmtId="167" fontId="18" fillId="11" borderId="4" xfId="0" applyNumberFormat="1" applyFont="1" applyFill="1" applyBorder="1"/>
    <xf numFmtId="167" fontId="18" fillId="11" borderId="12" xfId="0" applyNumberFormat="1" applyFont="1" applyFill="1" applyBorder="1"/>
    <xf numFmtId="174" fontId="18" fillId="11" borderId="12" xfId="0" applyNumberFormat="1" applyFont="1" applyFill="1" applyBorder="1"/>
    <xf numFmtId="0" fontId="24" fillId="13" borderId="0" xfId="0" applyFont="1" applyFill="1"/>
    <xf numFmtId="0" fontId="24" fillId="12" borderId="0" xfId="0" applyFont="1" applyFill="1"/>
    <xf numFmtId="10" fontId="20" fillId="9" borderId="5" xfId="0" applyNumberFormat="1" applyFont="1" applyFill="1" applyBorder="1" applyAlignment="1">
      <alignment horizontal="center"/>
    </xf>
    <xf numFmtId="9" fontId="20" fillId="9" borderId="5" xfId="0" applyNumberFormat="1" applyFont="1" applyFill="1" applyBorder="1" applyAlignment="1">
      <alignment horizontal="center"/>
    </xf>
    <xf numFmtId="0" fontId="23" fillId="11" borderId="0" xfId="0" applyFont="1" applyFill="1" applyAlignment="1">
      <alignment horizontal="center"/>
    </xf>
    <xf numFmtId="10" fontId="24" fillId="12" borderId="0" xfId="0" applyNumberFormat="1" applyFont="1" applyFill="1" applyAlignment="1">
      <alignment horizontal="center"/>
    </xf>
    <xf numFmtId="0" fontId="24" fillId="11" borderId="0" xfId="0" applyFont="1" applyFill="1" applyAlignment="1">
      <alignment horizontal="center"/>
    </xf>
    <xf numFmtId="9" fontId="23" fillId="11" borderId="0" xfId="0" applyNumberFormat="1" applyFont="1" applyFill="1" applyAlignment="1">
      <alignment horizontal="center"/>
    </xf>
    <xf numFmtId="167" fontId="24" fillId="12" borderId="5" xfId="0" applyNumberFormat="1" applyFont="1" applyFill="1" applyBorder="1" applyAlignment="1">
      <alignment horizontal="center"/>
    </xf>
    <xf numFmtId="0" fontId="19" fillId="8" borderId="14" xfId="0" applyFont="1" applyFill="1" applyBorder="1"/>
    <xf numFmtId="0" fontId="18" fillId="11" borderId="6" xfId="0" applyFont="1" applyFill="1" applyBorder="1"/>
    <xf numFmtId="0" fontId="18" fillId="11" borderId="15" xfId="0" applyFont="1" applyFill="1" applyBorder="1"/>
    <xf numFmtId="0" fontId="19" fillId="11" borderId="15" xfId="0" applyFont="1" applyFill="1" applyBorder="1"/>
    <xf numFmtId="167" fontId="19" fillId="11" borderId="1" xfId="2" applyNumberFormat="1" applyFont="1" applyFill="1" applyBorder="1"/>
    <xf numFmtId="167" fontId="19" fillId="11" borderId="11" xfId="2" applyNumberFormat="1" applyFont="1" applyFill="1" applyBorder="1"/>
    <xf numFmtId="0" fontId="17" fillId="11" borderId="0" xfId="19" applyFill="1"/>
    <xf numFmtId="174" fontId="17" fillId="11" borderId="0" xfId="19" applyNumberFormat="1" applyFill="1"/>
    <xf numFmtId="174" fontId="18" fillId="11" borderId="0" xfId="21" applyFill="1"/>
    <xf numFmtId="174" fontId="18" fillId="11" borderId="10" xfId="21" applyFill="1" applyBorder="1"/>
    <xf numFmtId="174" fontId="19" fillId="11" borderId="0" xfId="21" applyFont="1" applyFill="1"/>
    <xf numFmtId="166" fontId="18" fillId="11" borderId="0" xfId="0" applyNumberFormat="1" applyFont="1" applyFill="1"/>
    <xf numFmtId="0" fontId="25" fillId="11" borderId="0" xfId="0" applyFont="1" applyFill="1"/>
    <xf numFmtId="174" fontId="25" fillId="11" borderId="0" xfId="21" applyFont="1" applyFill="1"/>
    <xf numFmtId="10" fontId="18" fillId="11" borderId="0" xfId="2" applyNumberFormat="1" applyFont="1" applyFill="1" applyAlignment="1">
      <alignment horizontal="center"/>
    </xf>
    <xf numFmtId="10" fontId="19" fillId="11" borderId="0" xfId="2" applyNumberFormat="1" applyFont="1" applyFill="1"/>
    <xf numFmtId="0" fontId="19" fillId="11" borderId="0" xfId="0" applyFont="1" applyFill="1" applyAlignment="1">
      <alignment horizontal="centerContinuous"/>
    </xf>
    <xf numFmtId="167" fontId="26" fillId="11" borderId="0" xfId="0" applyNumberFormat="1" applyFont="1" applyFill="1"/>
    <xf numFmtId="9" fontId="27" fillId="11" borderId="10" xfId="0" applyNumberFormat="1" applyFont="1" applyFill="1" applyBorder="1"/>
    <xf numFmtId="0" fontId="18" fillId="13" borderId="0" xfId="0" applyFont="1" applyFill="1"/>
    <xf numFmtId="0" fontId="18" fillId="12" borderId="0" xfId="0" applyFont="1" applyFill="1"/>
    <xf numFmtId="167" fontId="18" fillId="9" borderId="0" xfId="2" applyNumberFormat="1" applyFont="1" applyFill="1"/>
    <xf numFmtId="167" fontId="18" fillId="9" borderId="0" xfId="0" applyNumberFormat="1" applyFont="1" applyFill="1"/>
    <xf numFmtId="174" fontId="19" fillId="11" borderId="0" xfId="0" applyNumberFormat="1" applyFont="1" applyFill="1"/>
    <xf numFmtId="0" fontId="19" fillId="11" borderId="1" xfId="0" applyFont="1" applyFill="1" applyBorder="1" applyAlignment="1">
      <alignment horizontal="right"/>
    </xf>
    <xf numFmtId="167" fontId="20" fillId="9" borderId="0" xfId="2" applyNumberFormat="1" applyFont="1" applyFill="1"/>
    <xf numFmtId="0" fontId="18" fillId="10" borderId="1" xfId="0" applyFont="1" applyFill="1" applyBorder="1"/>
    <xf numFmtId="0" fontId="19" fillId="10" borderId="1" xfId="0" applyFont="1" applyFill="1" applyBorder="1" applyAlignment="1">
      <alignment horizontal="right"/>
    </xf>
    <xf numFmtId="167" fontId="18" fillId="11" borderId="16" xfId="2" applyNumberFormat="1" applyFont="1" applyFill="1" applyBorder="1"/>
    <xf numFmtId="0" fontId="21" fillId="10" borderId="17" xfId="0" applyFont="1" applyFill="1" applyBorder="1"/>
    <xf numFmtId="0" fontId="18" fillId="10" borderId="11" xfId="0" applyFont="1" applyFill="1" applyBorder="1"/>
    <xf numFmtId="0" fontId="17" fillId="11" borderId="0" xfId="19" applyFill="1" applyBorder="1"/>
    <xf numFmtId="0" fontId="19" fillId="11" borderId="6" xfId="0" applyFont="1" applyFill="1" applyBorder="1"/>
    <xf numFmtId="10" fontId="19" fillId="11" borderId="0" xfId="2" applyNumberFormat="1" applyFont="1" applyFill="1" applyBorder="1"/>
    <xf numFmtId="167" fontId="19" fillId="11" borderId="0" xfId="2" applyNumberFormat="1" applyFont="1" applyFill="1" applyBorder="1"/>
    <xf numFmtId="0" fontId="21" fillId="11" borderId="6" xfId="0" applyFont="1" applyFill="1" applyBorder="1"/>
    <xf numFmtId="167" fontId="21" fillId="11" borderId="0" xfId="2" applyNumberFormat="1" applyFont="1" applyFill="1" applyBorder="1"/>
    <xf numFmtId="0" fontId="17" fillId="11" borderId="2" xfId="19" applyFill="1" applyBorder="1"/>
    <xf numFmtId="0" fontId="18" fillId="11" borderId="13" xfId="0" applyFont="1" applyFill="1" applyBorder="1"/>
    <xf numFmtId="0" fontId="19" fillId="12" borderId="17" xfId="0" applyFont="1" applyFill="1" applyBorder="1"/>
    <xf numFmtId="167" fontId="19" fillId="12" borderId="1" xfId="0" applyNumberFormat="1" applyFont="1" applyFill="1" applyBorder="1"/>
    <xf numFmtId="0" fontId="17" fillId="12" borderId="1" xfId="19" applyFill="1" applyBorder="1"/>
    <xf numFmtId="0" fontId="18" fillId="12" borderId="11" xfId="0" applyFont="1" applyFill="1" applyBorder="1"/>
    <xf numFmtId="167" fontId="19" fillId="12" borderId="1" xfId="2" applyNumberFormat="1" applyFont="1" applyFill="1" applyBorder="1"/>
    <xf numFmtId="174" fontId="19" fillId="11" borderId="2" xfId="0" applyNumberFormat="1" applyFont="1" applyFill="1" applyBorder="1"/>
    <xf numFmtId="0" fontId="18" fillId="12" borderId="10" xfId="0" applyFont="1" applyFill="1" applyBorder="1"/>
    <xf numFmtId="0" fontId="19" fillId="13" borderId="0" xfId="0" applyFont="1" applyFill="1"/>
    <xf numFmtId="0" fontId="18" fillId="13" borderId="10" xfId="0" applyFont="1" applyFill="1" applyBorder="1"/>
    <xf numFmtId="0" fontId="19" fillId="11" borderId="1" xfId="0" applyFont="1" applyFill="1" applyBorder="1"/>
    <xf numFmtId="167" fontId="20" fillId="9" borderId="16" xfId="2" applyNumberFormat="1" applyFont="1" applyFill="1" applyBorder="1"/>
    <xf numFmtId="0" fontId="21" fillId="11" borderId="0" xfId="0" applyFont="1" applyFill="1"/>
    <xf numFmtId="174" fontId="27" fillId="9" borderId="0" xfId="0" applyNumberFormat="1" applyFont="1" applyFill="1"/>
    <xf numFmtId="167" fontId="23" fillId="11" borderId="0" xfId="2" applyNumberFormat="1" applyFont="1" applyFill="1" applyBorder="1"/>
    <xf numFmtId="167" fontId="23" fillId="9" borderId="0" xfId="0" applyNumberFormat="1" applyFont="1" applyFill="1"/>
    <xf numFmtId="9" fontId="18" fillId="11" borderId="0" xfId="2" applyFont="1" applyFill="1" applyBorder="1"/>
    <xf numFmtId="0" fontId="11" fillId="18" borderId="0" xfId="22" applyFont="1" applyFill="1"/>
    <xf numFmtId="17" fontId="11" fillId="18" borderId="0" xfId="22" applyNumberFormat="1" applyFont="1" applyFill="1"/>
    <xf numFmtId="0" fontId="0" fillId="19" borderId="0" xfId="0" applyFill="1"/>
    <xf numFmtId="0" fontId="11" fillId="0" borderId="0" xfId="22" applyFont="1"/>
    <xf numFmtId="17" fontId="11" fillId="0" borderId="0" xfId="22" applyNumberFormat="1" applyFont="1"/>
    <xf numFmtId="0" fontId="0" fillId="7" borderId="0" xfId="0" applyFill="1"/>
    <xf numFmtId="0" fontId="0" fillId="20" borderId="0" xfId="0" applyFill="1"/>
    <xf numFmtId="0" fontId="0" fillId="17" borderId="0" xfId="0" applyFill="1"/>
    <xf numFmtId="0" fontId="14" fillId="19" borderId="0" xfId="0" applyFont="1" applyFill="1"/>
    <xf numFmtId="0" fontId="14" fillId="20" borderId="0" xfId="0" applyFont="1" applyFill="1"/>
    <xf numFmtId="181" fontId="11" fillId="21" borderId="0" xfId="22" applyNumberFormat="1" applyFont="1" applyFill="1"/>
    <xf numFmtId="17" fontId="11" fillId="21" borderId="0" xfId="22" applyNumberFormat="1" applyFont="1" applyFill="1"/>
    <xf numFmtId="174" fontId="0" fillId="0" borderId="0" xfId="0" applyNumberFormat="1"/>
    <xf numFmtId="174" fontId="0" fillId="20" borderId="0" xfId="0" applyNumberFormat="1" applyFill="1"/>
    <xf numFmtId="9" fontId="0" fillId="0" borderId="0" xfId="2" applyFont="1" applyFill="1" applyBorder="1"/>
    <xf numFmtId="0" fontId="11" fillId="0" borderId="0" xfId="18" applyFont="1"/>
    <xf numFmtId="0" fontId="18" fillId="11" borderId="1" xfId="0" applyFont="1" applyFill="1" applyBorder="1"/>
    <xf numFmtId="0" fontId="19" fillId="7" borderId="1" xfId="0" applyFont="1" applyFill="1" applyBorder="1" applyAlignment="1">
      <alignment horizontal="right"/>
    </xf>
    <xf numFmtId="0" fontId="18" fillId="7" borderId="1" xfId="0" applyFont="1" applyFill="1" applyBorder="1"/>
    <xf numFmtId="167" fontId="20" fillId="9" borderId="0" xfId="0" applyNumberFormat="1" applyFont="1" applyFill="1"/>
    <xf numFmtId="9" fontId="20" fillId="9" borderId="0" xfId="0" applyNumberFormat="1" applyFont="1" applyFill="1"/>
    <xf numFmtId="174" fontId="20" fillId="9" borderId="0" xfId="0" applyNumberFormat="1" applyFont="1" applyFill="1"/>
    <xf numFmtId="0" fontId="19" fillId="11" borderId="17" xfId="0" applyFont="1" applyFill="1" applyBorder="1"/>
    <xf numFmtId="0" fontId="18" fillId="11" borderId="11" xfId="0" applyFont="1" applyFill="1" applyBorder="1"/>
    <xf numFmtId="10" fontId="19" fillId="11" borderId="1" xfId="2" applyNumberFormat="1" applyFont="1" applyFill="1" applyBorder="1"/>
    <xf numFmtId="9" fontId="29" fillId="9" borderId="0" xfId="0" applyNumberFormat="1" applyFont="1" applyFill="1"/>
    <xf numFmtId="0" fontId="19" fillId="7" borderId="17" xfId="0" applyFont="1" applyFill="1" applyBorder="1"/>
    <xf numFmtId="0" fontId="18" fillId="7" borderId="11" xfId="0" applyFont="1" applyFill="1" applyBorder="1"/>
    <xf numFmtId="0" fontId="28" fillId="11" borderId="6" xfId="0" applyFont="1" applyFill="1" applyBorder="1"/>
    <xf numFmtId="0" fontId="30" fillId="11" borderId="0" xfId="0" applyFont="1" applyFill="1"/>
    <xf numFmtId="174" fontId="30" fillId="11" borderId="0" xfId="0" applyNumberFormat="1" applyFont="1" applyFill="1"/>
    <xf numFmtId="0" fontId="31" fillId="11" borderId="0" xfId="0" applyFont="1" applyFill="1"/>
    <xf numFmtId="174" fontId="31" fillId="11" borderId="0" xfId="0" applyNumberFormat="1" applyFont="1" applyFill="1"/>
    <xf numFmtId="0" fontId="30" fillId="11" borderId="1" xfId="0" applyFont="1" applyFill="1" applyBorder="1"/>
    <xf numFmtId="0" fontId="30" fillId="11" borderId="1" xfId="0" applyFont="1" applyFill="1" applyBorder="1" applyAlignment="1">
      <alignment horizontal="right"/>
    </xf>
    <xf numFmtId="174" fontId="21" fillId="11" borderId="0" xfId="0" applyNumberFormat="1" applyFont="1" applyFill="1"/>
    <xf numFmtId="9" fontId="29" fillId="9" borderId="0" xfId="2" applyFont="1" applyFill="1"/>
    <xf numFmtId="10" fontId="19" fillId="9" borderId="0" xfId="0" applyNumberFormat="1" applyFont="1" applyFill="1"/>
    <xf numFmtId="9" fontId="27" fillId="11" borderId="2" xfId="0" applyNumberFormat="1" applyFont="1" applyFill="1" applyBorder="1" applyAlignment="1">
      <alignment horizontal="center"/>
    </xf>
    <xf numFmtId="10" fontId="27" fillId="11" borderId="2" xfId="0" applyNumberFormat="1" applyFont="1" applyFill="1" applyBorder="1" applyAlignment="1">
      <alignment horizontal="center"/>
    </xf>
    <xf numFmtId="0" fontId="19" fillId="13" borderId="0" xfId="0" applyFont="1" applyFill="1" applyAlignment="1">
      <alignment horizontal="centerContinuous"/>
    </xf>
    <xf numFmtId="0" fontId="18" fillId="13" borderId="0" xfId="0" applyFont="1" applyFill="1" applyAlignment="1">
      <alignment horizontal="centerContinuous"/>
    </xf>
    <xf numFmtId="9" fontId="0" fillId="0" borderId="0" xfId="2" applyFont="1" applyFill="1"/>
    <xf numFmtId="182" fontId="0" fillId="0" borderId="0" xfId="0" applyNumberFormat="1"/>
    <xf numFmtId="0" fontId="32" fillId="0" borderId="0" xfId="0" applyFont="1"/>
    <xf numFmtId="183" fontId="18" fillId="11" borderId="0" xfId="0" applyNumberFormat="1" applyFont="1" applyFill="1"/>
    <xf numFmtId="43" fontId="18" fillId="11" borderId="0" xfId="0" applyNumberFormat="1" applyFont="1" applyFill="1"/>
    <xf numFmtId="0" fontId="24" fillId="19" borderId="0" xfId="0" applyFont="1" applyFill="1"/>
    <xf numFmtId="0" fontId="24" fillId="19" borderId="10" xfId="0" applyFont="1" applyFill="1" applyBorder="1"/>
    <xf numFmtId="181" fontId="24" fillId="19" borderId="0" xfId="0" applyNumberFormat="1" applyFont="1" applyFill="1"/>
    <xf numFmtId="0" fontId="23" fillId="19" borderId="0" xfId="0" applyFont="1" applyFill="1"/>
    <xf numFmtId="0" fontId="33" fillId="19" borderId="0" xfId="19" applyFont="1" applyFill="1"/>
    <xf numFmtId="0" fontId="34" fillId="22" borderId="0" xfId="0" applyFont="1" applyFill="1"/>
    <xf numFmtId="0" fontId="24" fillId="22" borderId="0" xfId="0" applyFont="1" applyFill="1"/>
    <xf numFmtId="0" fontId="24" fillId="22" borderId="10" xfId="0" applyFont="1" applyFill="1" applyBorder="1"/>
    <xf numFmtId="181" fontId="24" fillId="22" borderId="0" xfId="0" applyNumberFormat="1" applyFont="1" applyFill="1"/>
    <xf numFmtId="0" fontId="35" fillId="23" borderId="0" xfId="0" applyFont="1" applyFill="1"/>
    <xf numFmtId="0" fontId="35" fillId="23" borderId="0" xfId="0" applyFont="1" applyFill="1" applyAlignment="1">
      <alignment horizontal="center"/>
    </xf>
    <xf numFmtId="3" fontId="0" fillId="0" borderId="0" xfId="0" applyNumberFormat="1"/>
    <xf numFmtId="168" fontId="3" fillId="4" borderId="0" xfId="9" applyNumberFormat="1" applyFont="1" applyFill="1" applyAlignment="1">
      <alignment horizontal="right"/>
    </xf>
    <xf numFmtId="9" fontId="36" fillId="9" borderId="0" xfId="17" applyFont="1" applyFill="1" applyAlignment="1">
      <alignment horizontal="center"/>
    </xf>
    <xf numFmtId="0" fontId="0" fillId="11" borderId="0" xfId="0" applyFill="1"/>
    <xf numFmtId="15" fontId="0" fillId="11" borderId="0" xfId="0" applyNumberFormat="1" applyFill="1"/>
    <xf numFmtId="0" fontId="0" fillId="11" borderId="1" xfId="0" applyFill="1" applyBorder="1"/>
    <xf numFmtId="3" fontId="0" fillId="11" borderId="0" xfId="0" applyNumberFormat="1" applyFill="1"/>
    <xf numFmtId="0" fontId="14" fillId="11" borderId="1" xfId="0" applyFont="1" applyFill="1" applyBorder="1"/>
    <xf numFmtId="3" fontId="14" fillId="11" borderId="1" xfId="0" applyNumberFormat="1" applyFont="1" applyFill="1" applyBorder="1"/>
    <xf numFmtId="0" fontId="22" fillId="23" borderId="0" xfId="23" applyFont="1" applyFill="1" applyAlignment="1">
      <alignment vertical="center"/>
    </xf>
    <xf numFmtId="0" fontId="26" fillId="23" borderId="0" xfId="23" applyFont="1" applyFill="1"/>
    <xf numFmtId="0" fontId="41" fillId="23" borderId="0" xfId="23" applyFill="1"/>
    <xf numFmtId="0" fontId="23" fillId="11" borderId="0" xfId="23" applyFont="1" applyFill="1"/>
    <xf numFmtId="0" fontId="41" fillId="0" borderId="0" xfId="23"/>
    <xf numFmtId="0" fontId="24" fillId="11" borderId="0" xfId="23" applyFont="1" applyFill="1" applyAlignment="1">
      <alignment vertical="center"/>
    </xf>
    <xf numFmtId="0" fontId="18" fillId="11" borderId="0" xfId="23" applyFont="1" applyFill="1"/>
    <xf numFmtId="3" fontId="23" fillId="11" borderId="0" xfId="23" quotePrefix="1" applyNumberFormat="1" applyFont="1" applyFill="1" applyAlignment="1">
      <alignment horizontal="left"/>
    </xf>
    <xf numFmtId="184" fontId="23" fillId="11" borderId="0" xfId="24" applyFont="1" applyFill="1" applyAlignment="1">
      <alignment horizontal="left"/>
    </xf>
    <xf numFmtId="0" fontId="43" fillId="11" borderId="0" xfId="25" applyFont="1" applyFill="1" applyAlignment="1" applyProtection="1"/>
    <xf numFmtId="0" fontId="23" fillId="11" borderId="0" xfId="23" quotePrefix="1" applyFont="1" applyFill="1"/>
    <xf numFmtId="0" fontId="44" fillId="11" borderId="0" xfId="23" applyFont="1" applyFill="1"/>
    <xf numFmtId="3" fontId="46" fillId="9" borderId="0" xfId="0" applyNumberFormat="1" applyFont="1" applyFill="1" applyAlignment="1">
      <alignment horizontal="center"/>
    </xf>
    <xf numFmtId="0" fontId="36" fillId="0" borderId="0" xfId="0" applyFont="1" applyAlignment="1">
      <alignment horizontal="center"/>
    </xf>
    <xf numFmtId="174" fontId="4" fillId="22" borderId="0" xfId="23" applyNumberFormat="1" applyFont="1" applyFill="1"/>
    <xf numFmtId="167" fontId="4" fillId="22" borderId="0" xfId="23" applyNumberFormat="1" applyFont="1" applyFill="1"/>
    <xf numFmtId="167" fontId="34" fillId="24" borderId="0" xfId="26" applyNumberFormat="1" applyFont="1" applyFill="1" applyBorder="1"/>
    <xf numFmtId="167" fontId="23" fillId="24" borderId="0" xfId="26" applyNumberFormat="1" applyFont="1" applyFill="1" applyBorder="1"/>
    <xf numFmtId="0" fontId="23" fillId="24" borderId="0" xfId="27" applyFont="1" applyFill="1"/>
    <xf numFmtId="0" fontId="24" fillId="24" borderId="0" xfId="27" applyFont="1" applyFill="1"/>
    <xf numFmtId="0" fontId="23" fillId="11" borderId="0" xfId="27" applyFont="1" applyFill="1"/>
    <xf numFmtId="0" fontId="22" fillId="23" borderId="0" xfId="4" applyFont="1" applyFill="1"/>
    <xf numFmtId="3" fontId="23" fillId="0" borderId="0" xfId="3" applyNumberFormat="1" applyFont="1"/>
    <xf numFmtId="1" fontId="23" fillId="0" borderId="0" xfId="3" applyNumberFormat="1" applyFont="1"/>
    <xf numFmtId="0" fontId="23" fillId="0" borderId="0" xfId="3" applyFont="1"/>
    <xf numFmtId="0" fontId="22" fillId="23" borderId="1" xfId="4" applyFont="1" applyFill="1" applyBorder="1"/>
    <xf numFmtId="166" fontId="23" fillId="0" borderId="0" xfId="1" applyNumberFormat="1" applyFont="1"/>
    <xf numFmtId="166" fontId="23" fillId="10" borderId="0" xfId="1" applyNumberFormat="1" applyFont="1" applyFill="1"/>
    <xf numFmtId="167" fontId="23" fillId="0" borderId="0" xfId="2" applyNumberFormat="1" applyFont="1"/>
    <xf numFmtId="166" fontId="23" fillId="0" borderId="0" xfId="3" applyNumberFormat="1" applyFont="1"/>
    <xf numFmtId="165" fontId="23" fillId="0" borderId="0" xfId="3" applyNumberFormat="1" applyFont="1"/>
    <xf numFmtId="167" fontId="23" fillId="0" borderId="0" xfId="3" applyNumberFormat="1" applyFont="1"/>
    <xf numFmtId="3" fontId="23" fillId="15" borderId="0" xfId="3" applyNumberFormat="1" applyFont="1" applyFill="1"/>
    <xf numFmtId="166" fontId="24" fillId="15" borderId="0" xfId="1" applyNumberFormat="1" applyFont="1" applyFill="1" applyAlignment="1"/>
    <xf numFmtId="166" fontId="23" fillId="15" borderId="0" xfId="1" applyNumberFormat="1" applyFont="1" applyFill="1" applyAlignment="1"/>
    <xf numFmtId="166" fontId="23" fillId="15" borderId="0" xfId="1" applyNumberFormat="1" applyFont="1" applyFill="1" applyAlignment="1">
      <alignment horizontal="left"/>
    </xf>
    <xf numFmtId="167" fontId="23" fillId="15" borderId="0" xfId="2" applyNumberFormat="1" applyFont="1" applyFill="1" applyAlignment="1"/>
    <xf numFmtId="9" fontId="23" fillId="15" borderId="0" xfId="2" applyFont="1" applyFill="1" applyAlignment="1"/>
    <xf numFmtId="166" fontId="24" fillId="0" borderId="0" xfId="1" applyNumberFormat="1" applyFont="1" applyFill="1" applyAlignment="1"/>
    <xf numFmtId="3" fontId="24" fillId="0" borderId="0" xfId="3" applyNumberFormat="1" applyFont="1"/>
    <xf numFmtId="166" fontId="24" fillId="0" borderId="0" xfId="3" applyNumberFormat="1" applyFont="1"/>
    <xf numFmtId="167" fontId="23" fillId="0" borderId="0" xfId="3" applyNumberFormat="1" applyFont="1" applyAlignment="1">
      <alignment horizontal="right"/>
    </xf>
    <xf numFmtId="167" fontId="23" fillId="0" borderId="0" xfId="2" applyNumberFormat="1" applyFont="1" applyFill="1" applyBorder="1"/>
    <xf numFmtId="167" fontId="24" fillId="0" borderId="0" xfId="3" applyNumberFormat="1" applyFont="1"/>
    <xf numFmtId="166" fontId="23" fillId="15" borderId="0" xfId="1" applyNumberFormat="1" applyFont="1" applyFill="1" applyAlignment="1">
      <alignment horizontal="right"/>
    </xf>
    <xf numFmtId="9" fontId="23" fillId="15" borderId="0" xfId="1" applyNumberFormat="1" applyFont="1" applyFill="1" applyAlignment="1"/>
    <xf numFmtId="167" fontId="24" fillId="0" borderId="0" xfId="5" applyNumberFormat="1" applyFont="1" applyFill="1" applyAlignment="1">
      <alignment horizontal="center"/>
    </xf>
    <xf numFmtId="166" fontId="23" fillId="0" borderId="0" xfId="1" applyNumberFormat="1" applyFont="1" applyFill="1"/>
    <xf numFmtId="3" fontId="34" fillId="0" borderId="0" xfId="3" applyNumberFormat="1" applyFont="1"/>
    <xf numFmtId="166" fontId="34" fillId="0" borderId="0" xfId="1" applyNumberFormat="1" applyFont="1"/>
    <xf numFmtId="166" fontId="23" fillId="0" borderId="0" xfId="1" applyNumberFormat="1" applyFont="1" applyFill="1" applyAlignment="1">
      <alignment horizontal="center"/>
    </xf>
    <xf numFmtId="37" fontId="23" fillId="0" borderId="0" xfId="6" applyNumberFormat="1" applyFont="1" applyAlignment="1">
      <alignment horizontal="center"/>
    </xf>
    <xf numFmtId="3" fontId="23" fillId="13" borderId="0" xfId="3" applyNumberFormat="1" applyFont="1" applyFill="1"/>
    <xf numFmtId="167" fontId="23" fillId="0" borderId="0" xfId="6" applyNumberFormat="1" applyFont="1" applyAlignment="1">
      <alignment horizontal="right"/>
    </xf>
    <xf numFmtId="9" fontId="23" fillId="0" borderId="0" xfId="3" applyNumberFormat="1" applyFont="1"/>
    <xf numFmtId="166" fontId="24" fillId="0" borderId="0" xfId="1" applyNumberFormat="1" applyFont="1" applyFill="1" applyAlignment="1">
      <alignment horizontal="center"/>
    </xf>
    <xf numFmtId="43" fontId="24" fillId="0" borderId="0" xfId="1" applyFont="1" applyFill="1" applyBorder="1" applyAlignment="1"/>
    <xf numFmtId="167" fontId="24" fillId="0" borderId="0" xfId="6" applyNumberFormat="1" applyFont="1" applyAlignment="1">
      <alignment horizontal="right"/>
    </xf>
    <xf numFmtId="0" fontId="24" fillId="0" borderId="1" xfId="4" applyFont="1" applyBorder="1"/>
    <xf numFmtId="167" fontId="23" fillId="0" borderId="0" xfId="2" applyNumberFormat="1" applyFont="1" applyFill="1" applyAlignment="1">
      <alignment horizontal="right"/>
    </xf>
    <xf numFmtId="0" fontId="24" fillId="0" borderId="0" xfId="4" applyFont="1"/>
    <xf numFmtId="0" fontId="24" fillId="0" borderId="0" xfId="4" applyFont="1" applyAlignment="1">
      <alignment horizontal="right"/>
    </xf>
    <xf numFmtId="167" fontId="23" fillId="0" borderId="0" xfId="6" applyNumberFormat="1" applyFont="1" applyAlignment="1">
      <alignment horizontal="center"/>
    </xf>
    <xf numFmtId="167" fontId="24" fillId="0" borderId="0" xfId="6" applyNumberFormat="1" applyFont="1" applyAlignment="1">
      <alignment horizontal="center"/>
    </xf>
    <xf numFmtId="0" fontId="24" fillId="0" borderId="1" xfId="4" applyFont="1" applyBorder="1" applyAlignment="1">
      <alignment horizontal="center"/>
    </xf>
    <xf numFmtId="0" fontId="23" fillId="0" borderId="0" xfId="4" applyFont="1"/>
    <xf numFmtId="166" fontId="23" fillId="0" borderId="0" xfId="1" applyNumberFormat="1" applyFont="1" applyBorder="1"/>
    <xf numFmtId="166" fontId="23" fillId="0" borderId="0" xfId="1" applyNumberFormat="1" applyFont="1" applyFill="1" applyBorder="1"/>
    <xf numFmtId="9" fontId="23" fillId="0" borderId="0" xfId="2" applyFont="1" applyAlignment="1"/>
    <xf numFmtId="9" fontId="34" fillId="0" borderId="0" xfId="2" applyFont="1"/>
    <xf numFmtId="3" fontId="23" fillId="0" borderId="0" xfId="2" applyNumberFormat="1" applyFont="1" applyFill="1" applyBorder="1"/>
    <xf numFmtId="168" fontId="24" fillId="0" borderId="0" xfId="3" applyNumberFormat="1" applyFont="1"/>
    <xf numFmtId="43" fontId="23" fillId="0" borderId="0" xfId="3" applyNumberFormat="1" applyFont="1"/>
    <xf numFmtId="0" fontId="24" fillId="0" borderId="0" xfId="4" applyFont="1" applyAlignment="1">
      <alignment horizontal="center"/>
    </xf>
    <xf numFmtId="0" fontId="24" fillId="0" borderId="0" xfId="3" applyFont="1"/>
    <xf numFmtId="9" fontId="24" fillId="0" borderId="0" xfId="6" applyNumberFormat="1" applyFont="1" applyAlignment="1">
      <alignment horizontal="center"/>
    </xf>
    <xf numFmtId="9" fontId="34" fillId="0" borderId="0" xfId="2" applyFont="1" applyFill="1" applyBorder="1" applyAlignment="1"/>
    <xf numFmtId="167" fontId="34" fillId="0" borderId="0" xfId="2" applyNumberFormat="1" applyFont="1" applyFill="1" applyBorder="1"/>
    <xf numFmtId="0" fontId="23" fillId="0" borderId="0" xfId="7" applyFont="1"/>
    <xf numFmtId="43" fontId="23" fillId="0" borderId="0" xfId="1" applyFont="1" applyFill="1" applyAlignment="1"/>
    <xf numFmtId="1" fontId="23" fillId="2" borderId="0" xfId="3" applyNumberFormat="1" applyFont="1" applyFill="1"/>
    <xf numFmtId="1" fontId="23" fillId="3" borderId="0" xfId="3" applyNumberFormat="1" applyFont="1" applyFill="1"/>
    <xf numFmtId="0" fontId="23" fillId="0" borderId="0" xfId="6" applyFont="1"/>
    <xf numFmtId="9" fontId="23" fillId="0" borderId="0" xfId="2" applyFont="1" applyFill="1"/>
    <xf numFmtId="9" fontId="23" fillId="2" borderId="0" xfId="2" applyFont="1" applyFill="1"/>
    <xf numFmtId="164" fontId="23" fillId="0" borderId="0" xfId="1" applyNumberFormat="1" applyFont="1" applyFill="1" applyBorder="1"/>
    <xf numFmtId="2" fontId="23" fillId="0" borderId="0" xfId="3" applyNumberFormat="1" applyFont="1"/>
    <xf numFmtId="37" fontId="23" fillId="0" borderId="0" xfId="7" applyNumberFormat="1" applyFont="1"/>
    <xf numFmtId="166" fontId="23" fillId="3" borderId="0" xfId="1" applyNumberFormat="1" applyFont="1" applyFill="1"/>
    <xf numFmtId="0" fontId="24" fillId="0" borderId="0" xfId="6" applyFont="1"/>
    <xf numFmtId="166" fontId="24" fillId="0" borderId="0" xfId="1" applyNumberFormat="1" applyFont="1" applyFill="1"/>
    <xf numFmtId="3" fontId="23" fillId="14" borderId="0" xfId="3" applyNumberFormat="1" applyFont="1" applyFill="1"/>
    <xf numFmtId="170" fontId="23" fillId="0" borderId="0" xfId="2" applyNumberFormat="1" applyFont="1" applyFill="1" applyAlignment="1">
      <alignment horizontal="right"/>
    </xf>
    <xf numFmtId="166" fontId="23" fillId="2" borderId="0" xfId="1" applyNumberFormat="1" applyFont="1" applyFill="1" applyAlignment="1">
      <alignment horizontal="center"/>
    </xf>
    <xf numFmtId="166" fontId="23" fillId="3" borderId="0" xfId="1" applyNumberFormat="1" applyFont="1" applyFill="1" applyAlignment="1">
      <alignment horizontal="center"/>
    </xf>
    <xf numFmtId="43" fontId="23" fillId="0" borderId="0" xfId="1" applyFont="1" applyFill="1" applyAlignment="1">
      <alignment horizontal="center"/>
    </xf>
    <xf numFmtId="171" fontId="23" fillId="0" borderId="0" xfId="1" applyNumberFormat="1" applyFont="1" applyFill="1" applyAlignment="1">
      <alignment horizontal="right"/>
    </xf>
    <xf numFmtId="175" fontId="23" fillId="0" borderId="0" xfId="1" applyNumberFormat="1" applyFont="1" applyFill="1" applyAlignment="1">
      <alignment horizontal="right"/>
    </xf>
    <xf numFmtId="175" fontId="23" fillId="0" borderId="0" xfId="1" applyNumberFormat="1" applyFont="1" applyFill="1" applyAlignment="1">
      <alignment horizontal="center"/>
    </xf>
    <xf numFmtId="170" fontId="23" fillId="3" borderId="0" xfId="2" applyNumberFormat="1" applyFont="1" applyFill="1" applyAlignment="1">
      <alignment horizontal="right"/>
    </xf>
    <xf numFmtId="167" fontId="23" fillId="3" borderId="0" xfId="2" applyNumberFormat="1" applyFont="1" applyFill="1"/>
    <xf numFmtId="167" fontId="23" fillId="0" borderId="0" xfId="2" applyNumberFormat="1" applyFont="1" applyFill="1"/>
    <xf numFmtId="165" fontId="23" fillId="0" borderId="0" xfId="1" applyNumberFormat="1" applyFont="1" applyFill="1"/>
    <xf numFmtId="9" fontId="23" fillId="2" borderId="0" xfId="3" applyNumberFormat="1" applyFont="1" applyFill="1"/>
    <xf numFmtId="168" fontId="23" fillId="0" borderId="0" xfId="3" applyNumberFormat="1" applyFont="1"/>
    <xf numFmtId="167" fontId="23" fillId="2" borderId="0" xfId="2" applyNumberFormat="1" applyFont="1" applyFill="1"/>
    <xf numFmtId="167" fontId="23" fillId="0" borderId="2" xfId="2" applyNumberFormat="1" applyFont="1" applyFill="1" applyBorder="1"/>
    <xf numFmtId="3" fontId="24" fillId="3" borderId="0" xfId="3" applyNumberFormat="1" applyFont="1" applyFill="1"/>
    <xf numFmtId="3" fontId="24" fillId="10" borderId="0" xfId="3" applyNumberFormat="1" applyFont="1" applyFill="1"/>
    <xf numFmtId="166" fontId="23" fillId="0" borderId="0" xfId="1" applyNumberFormat="1" applyFont="1" applyFill="1" applyAlignment="1">
      <alignment horizontal="right"/>
    </xf>
    <xf numFmtId="165" fontId="23" fillId="0" borderId="0" xfId="1" applyNumberFormat="1" applyFont="1" applyFill="1" applyAlignment="1">
      <alignment horizontal="right"/>
    </xf>
    <xf numFmtId="166" fontId="24" fillId="0" borderId="0" xfId="1" applyNumberFormat="1" applyFont="1" applyFill="1" applyAlignment="1">
      <alignment horizontal="right"/>
    </xf>
    <xf numFmtId="1" fontId="23" fillId="0" borderId="0" xfId="2" applyNumberFormat="1" applyFont="1" applyFill="1" applyBorder="1"/>
    <xf numFmtId="1" fontId="23" fillId="10" borderId="0" xfId="1" applyNumberFormat="1" applyFont="1" applyFill="1" applyBorder="1"/>
    <xf numFmtId="1" fontId="23" fillId="3" borderId="0" xfId="1" applyNumberFormat="1" applyFont="1" applyFill="1" applyBorder="1"/>
    <xf numFmtId="1" fontId="23" fillId="10" borderId="0" xfId="1" applyNumberFormat="1" applyFont="1" applyFill="1" applyAlignment="1">
      <alignment horizontal="center"/>
    </xf>
    <xf numFmtId="165" fontId="23" fillId="0" borderId="0" xfId="1" applyNumberFormat="1" applyFont="1" applyFill="1" applyBorder="1"/>
    <xf numFmtId="165" fontId="23" fillId="0" borderId="0" xfId="1" applyNumberFormat="1" applyFont="1" applyFill="1" applyAlignment="1">
      <alignment horizontal="center"/>
    </xf>
    <xf numFmtId="167" fontId="24" fillId="0" borderId="0" xfId="2" applyNumberFormat="1" applyFont="1" applyFill="1" applyBorder="1"/>
    <xf numFmtId="166" fontId="23" fillId="3" borderId="0" xfId="1" applyNumberFormat="1" applyFont="1" applyFill="1" applyBorder="1"/>
    <xf numFmtId="167" fontId="23" fillId="3" borderId="0" xfId="2" applyNumberFormat="1" applyFont="1" applyFill="1" applyBorder="1"/>
    <xf numFmtId="167" fontId="23" fillId="10" borderId="0" xfId="2" applyNumberFormat="1" applyFont="1" applyFill="1" applyBorder="1"/>
    <xf numFmtId="0" fontId="23" fillId="0" borderId="0" xfId="2" applyNumberFormat="1" applyFont="1" applyFill="1" applyBorder="1"/>
    <xf numFmtId="167" fontId="25" fillId="0" borderId="0" xfId="2" applyNumberFormat="1" applyFont="1" applyFill="1" applyBorder="1"/>
    <xf numFmtId="0" fontId="24" fillId="13" borderId="1" xfId="4" applyFont="1" applyFill="1" applyBorder="1"/>
    <xf numFmtId="174" fontId="23" fillId="0" borderId="0" xfId="2" applyNumberFormat="1" applyFont="1" applyFill="1" applyBorder="1"/>
    <xf numFmtId="174" fontId="25" fillId="0" borderId="0" xfId="2" applyNumberFormat="1" applyFont="1" applyFill="1" applyBorder="1"/>
    <xf numFmtId="3" fontId="24" fillId="0" borderId="4" xfId="6" applyNumberFormat="1" applyFont="1" applyBorder="1"/>
    <xf numFmtId="0" fontId="23" fillId="0" borderId="0" xfId="6" applyFont="1" applyAlignment="1">
      <alignment horizontal="left" indent="1"/>
    </xf>
    <xf numFmtId="0" fontId="23" fillId="0" borderId="4" xfId="6" applyFont="1" applyBorder="1"/>
    <xf numFmtId="168" fontId="23" fillId="0" borderId="0" xfId="6" applyNumberFormat="1" applyFont="1"/>
    <xf numFmtId="0" fontId="34" fillId="0" borderId="0" xfId="6" applyFont="1"/>
    <xf numFmtId="0" fontId="23" fillId="0" borderId="2" xfId="6" applyFont="1" applyBorder="1"/>
    <xf numFmtId="167" fontId="25" fillId="0" borderId="2" xfId="2" applyNumberFormat="1" applyFont="1" applyFill="1" applyBorder="1"/>
    <xf numFmtId="43" fontId="24" fillId="0" borderId="0" xfId="4" applyNumberFormat="1" applyFont="1"/>
    <xf numFmtId="166" fontId="25" fillId="0" borderId="0" xfId="1" applyNumberFormat="1" applyFont="1" applyFill="1"/>
    <xf numFmtId="167" fontId="25" fillId="0" borderId="0" xfId="2" applyNumberFormat="1" applyFont="1" applyFill="1"/>
    <xf numFmtId="0" fontId="24" fillId="0" borderId="4" xfId="6" applyFont="1" applyBorder="1"/>
    <xf numFmtId="167" fontId="48" fillId="0" borderId="0" xfId="2" applyNumberFormat="1" applyFont="1" applyFill="1"/>
    <xf numFmtId="2" fontId="24" fillId="0" borderId="0" xfId="6" applyNumberFormat="1" applyFont="1"/>
    <xf numFmtId="2" fontId="24" fillId="0" borderId="0" xfId="1" applyNumberFormat="1" applyFont="1" applyFill="1"/>
    <xf numFmtId="2" fontId="24" fillId="0" borderId="0" xfId="2" applyNumberFormat="1" applyFont="1" applyFill="1"/>
    <xf numFmtId="43" fontId="23" fillId="0" borderId="0" xfId="1" applyFont="1"/>
    <xf numFmtId="17" fontId="23" fillId="0" borderId="0" xfId="3" applyNumberFormat="1" applyFont="1"/>
    <xf numFmtId="1" fontId="23" fillId="0" borderId="0" xfId="6" applyNumberFormat="1" applyFont="1"/>
    <xf numFmtId="169" fontId="23" fillId="0" borderId="0" xfId="3" applyNumberFormat="1" applyFont="1"/>
    <xf numFmtId="169" fontId="23" fillId="0" borderId="0" xfId="2" applyNumberFormat="1" applyFont="1" applyFill="1" applyBorder="1"/>
    <xf numFmtId="43" fontId="23" fillId="0" borderId="0" xfId="1" applyFont="1" applyBorder="1" applyAlignment="1"/>
    <xf numFmtId="1" fontId="23" fillId="0" borderId="0" xfId="2" applyNumberFormat="1" applyFont="1" applyFill="1"/>
    <xf numFmtId="168" fontId="23" fillId="0" borderId="0" xfId="2" applyNumberFormat="1" applyFont="1" applyFill="1" applyBorder="1"/>
    <xf numFmtId="1" fontId="23" fillId="2" borderId="0" xfId="2" applyNumberFormat="1" applyFont="1" applyFill="1"/>
    <xf numFmtId="3" fontId="23" fillId="2" borderId="0" xfId="2" applyNumberFormat="1" applyFont="1" applyFill="1"/>
    <xf numFmtId="3" fontId="23" fillId="3" borderId="0" xfId="2" applyNumberFormat="1" applyFont="1" applyFill="1"/>
    <xf numFmtId="3" fontId="23" fillId="0" borderId="0" xfId="2" applyNumberFormat="1" applyFont="1" applyFill="1"/>
    <xf numFmtId="168" fontId="23" fillId="0" borderId="0" xfId="2" applyNumberFormat="1" applyFont="1" applyFill="1"/>
    <xf numFmtId="169" fontId="24" fillId="2" borderId="0" xfId="2" applyNumberFormat="1" applyFont="1" applyFill="1"/>
    <xf numFmtId="169" fontId="24" fillId="3" borderId="0" xfId="2" applyNumberFormat="1" applyFont="1" applyFill="1"/>
    <xf numFmtId="169" fontId="24" fillId="0" borderId="0" xfId="2" applyNumberFormat="1" applyFont="1" applyFill="1"/>
    <xf numFmtId="0" fontId="24" fillId="0" borderId="1" xfId="6" applyFont="1" applyBorder="1"/>
    <xf numFmtId="0" fontId="24" fillId="0" borderId="1" xfId="2" applyNumberFormat="1" applyFont="1" applyFill="1" applyBorder="1"/>
    <xf numFmtId="0" fontId="24" fillId="0" borderId="1" xfId="3" applyFont="1" applyBorder="1"/>
    <xf numFmtId="14" fontId="23" fillId="0" borderId="0" xfId="3" applyNumberFormat="1" applyFont="1"/>
    <xf numFmtId="172" fontId="23" fillId="0" borderId="0" xfId="3" applyNumberFormat="1" applyFont="1"/>
    <xf numFmtId="14" fontId="24" fillId="0" borderId="0" xfId="3" applyNumberFormat="1" applyFont="1"/>
    <xf numFmtId="172" fontId="24" fillId="0" borderId="0" xfId="3" applyNumberFormat="1" applyFont="1"/>
    <xf numFmtId="166" fontId="23" fillId="0" borderId="0" xfId="2" applyNumberFormat="1" applyFont="1"/>
    <xf numFmtId="10" fontId="23" fillId="0" borderId="0" xfId="2" applyNumberFormat="1" applyFont="1"/>
    <xf numFmtId="0" fontId="24" fillId="13" borderId="1" xfId="6" applyFont="1" applyFill="1" applyBorder="1"/>
    <xf numFmtId="165" fontId="23" fillId="0" borderId="0" xfId="2" applyNumberFormat="1" applyFont="1" applyFill="1"/>
    <xf numFmtId="165" fontId="24" fillId="2" borderId="0" xfId="2" applyNumberFormat="1" applyFont="1" applyFill="1"/>
    <xf numFmtId="165" fontId="24" fillId="3" borderId="0" xfId="2" applyNumberFormat="1" applyFont="1" applyFill="1"/>
    <xf numFmtId="165" fontId="24" fillId="0" borderId="0" xfId="2" applyNumberFormat="1" applyFont="1" applyFill="1"/>
    <xf numFmtId="167" fontId="23" fillId="2" borderId="0" xfId="3" applyNumberFormat="1" applyFont="1" applyFill="1"/>
    <xf numFmtId="165" fontId="24" fillId="0" borderId="0" xfId="1" applyNumberFormat="1" applyFont="1" applyFill="1"/>
    <xf numFmtId="166" fontId="24" fillId="0" borderId="0" xfId="2" applyNumberFormat="1" applyFont="1" applyFill="1"/>
    <xf numFmtId="1" fontId="24" fillId="0" borderId="0" xfId="2" applyNumberFormat="1" applyFont="1" applyFill="1"/>
    <xf numFmtId="0" fontId="23" fillId="0" borderId="0" xfId="2" applyNumberFormat="1" applyFont="1" applyFill="1"/>
    <xf numFmtId="0" fontId="24" fillId="0" borderId="1" xfId="2" applyNumberFormat="1" applyFont="1" applyFill="1" applyBorder="1" applyAlignment="1">
      <alignment horizontal="center"/>
    </xf>
    <xf numFmtId="0" fontId="24" fillId="0" borderId="0" xfId="2" applyNumberFormat="1" applyFont="1" applyFill="1" applyBorder="1" applyAlignment="1">
      <alignment horizontal="center"/>
    </xf>
    <xf numFmtId="3" fontId="23" fillId="3" borderId="0" xfId="3" applyNumberFormat="1" applyFont="1" applyFill="1"/>
    <xf numFmtId="3" fontId="23" fillId="16" borderId="0" xfId="3" applyNumberFormat="1" applyFont="1" applyFill="1"/>
    <xf numFmtId="3" fontId="23" fillId="0" borderId="0" xfId="2" applyNumberFormat="1" applyFont="1" applyFill="1" applyAlignment="1">
      <alignment horizontal="right"/>
    </xf>
    <xf numFmtId="3" fontId="23" fillId="3" borderId="0" xfId="2" applyNumberFormat="1" applyFont="1" applyFill="1" applyAlignment="1">
      <alignment horizontal="right"/>
    </xf>
    <xf numFmtId="3" fontId="24" fillId="10" borderId="0" xfId="2" applyNumberFormat="1" applyFont="1" applyFill="1"/>
    <xf numFmtId="3" fontId="24" fillId="3" borderId="0" xfId="2" applyNumberFormat="1" applyFont="1" applyFill="1"/>
    <xf numFmtId="3" fontId="24" fillId="0" borderId="0" xfId="2" applyNumberFormat="1" applyFont="1" applyFill="1"/>
    <xf numFmtId="169" fontId="24" fillId="0" borderId="0" xfId="3" applyNumberFormat="1" applyFont="1"/>
    <xf numFmtId="3" fontId="23" fillId="2" borderId="0" xfId="3" applyNumberFormat="1" applyFont="1" applyFill="1"/>
    <xf numFmtId="3" fontId="23" fillId="10" borderId="0" xfId="3" applyNumberFormat="1" applyFont="1" applyFill="1"/>
    <xf numFmtId="3" fontId="23" fillId="0" borderId="0" xfId="1" applyNumberFormat="1" applyFont="1" applyFill="1"/>
    <xf numFmtId="43" fontId="24" fillId="0" borderId="0" xfId="1" applyFont="1" applyFill="1" applyAlignment="1"/>
    <xf numFmtId="168" fontId="20" fillId="0" borderId="0" xfId="3" applyNumberFormat="1" applyFont="1"/>
    <xf numFmtId="1" fontId="20" fillId="0" borderId="0" xfId="3" applyNumberFormat="1" applyFont="1"/>
    <xf numFmtId="170" fontId="29" fillId="0" borderId="0" xfId="2" applyNumberFormat="1" applyFont="1" applyFill="1" applyAlignment="1">
      <alignment horizontal="right"/>
    </xf>
    <xf numFmtId="170" fontId="34" fillId="0" borderId="0" xfId="2" applyNumberFormat="1" applyFont="1" applyFill="1" applyAlignment="1">
      <alignment horizontal="right"/>
    </xf>
    <xf numFmtId="168" fontId="23" fillId="0" borderId="4" xfId="3" applyNumberFormat="1" applyFont="1" applyBorder="1"/>
    <xf numFmtId="3" fontId="23" fillId="0" borderId="4" xfId="3" applyNumberFormat="1" applyFont="1" applyBorder="1"/>
    <xf numFmtId="166" fontId="23" fillId="3" borderId="0" xfId="3" applyNumberFormat="1" applyFont="1" applyFill="1"/>
    <xf numFmtId="169" fontId="23" fillId="0" borderId="0" xfId="2" applyNumberFormat="1" applyFont="1" applyFill="1" applyAlignment="1">
      <alignment horizontal="right"/>
    </xf>
    <xf numFmtId="43" fontId="24" fillId="0" borderId="0" xfId="1" applyFont="1" applyFill="1" applyAlignment="1">
      <alignment horizontal="left"/>
    </xf>
    <xf numFmtId="173" fontId="24" fillId="0" borderId="0" xfId="3" applyNumberFormat="1" applyFont="1"/>
    <xf numFmtId="3" fontId="24" fillId="0" borderId="4" xfId="3" applyNumberFormat="1" applyFont="1" applyBorder="1"/>
    <xf numFmtId="169" fontId="24" fillId="0" borderId="0" xfId="6" applyNumberFormat="1" applyFont="1"/>
    <xf numFmtId="167" fontId="34" fillId="0" borderId="0" xfId="2" applyNumberFormat="1" applyFont="1"/>
    <xf numFmtId="167" fontId="34" fillId="0" borderId="0" xfId="2" applyNumberFormat="1" applyFont="1" applyFill="1"/>
    <xf numFmtId="168" fontId="23" fillId="0" borderId="0" xfId="2" applyNumberFormat="1" applyFont="1"/>
    <xf numFmtId="9" fontId="34" fillId="0" borderId="0" xfId="3" applyNumberFormat="1" applyFont="1"/>
    <xf numFmtId="9" fontId="23" fillId="0" borderId="0" xfId="2" applyFont="1"/>
    <xf numFmtId="2" fontId="23" fillId="0" borderId="0" xfId="6" applyNumberFormat="1" applyFont="1"/>
    <xf numFmtId="166" fontId="49" fillId="0" borderId="0" xfId="1" applyNumberFormat="1" applyFont="1" applyBorder="1"/>
    <xf numFmtId="166" fontId="49" fillId="0" borderId="0" xfId="1" applyNumberFormat="1" applyFont="1" applyFill="1" applyBorder="1"/>
    <xf numFmtId="166" fontId="50" fillId="0" borderId="0" xfId="1" applyNumberFormat="1" applyFont="1" applyBorder="1"/>
    <xf numFmtId="0" fontId="49" fillId="0" borderId="0" xfId="4" applyFont="1"/>
    <xf numFmtId="167" fontId="49" fillId="0" borderId="0" xfId="2" applyNumberFormat="1" applyFont="1" applyBorder="1"/>
    <xf numFmtId="167" fontId="49" fillId="0" borderId="0" xfId="2" applyNumberFormat="1" applyFont="1" applyFill="1" applyBorder="1"/>
    <xf numFmtId="174" fontId="23" fillId="0" borderId="0" xfId="3" applyNumberFormat="1" applyFont="1"/>
    <xf numFmtId="174" fontId="34" fillId="0" borderId="0" xfId="2" applyNumberFormat="1" applyFont="1" applyFill="1" applyBorder="1" applyAlignment="1"/>
    <xf numFmtId="174" fontId="34" fillId="0" borderId="0" xfId="2" applyNumberFormat="1" applyFont="1" applyFill="1" applyBorder="1"/>
    <xf numFmtId="174" fontId="24" fillId="0" borderId="0" xfId="1" applyNumberFormat="1" applyFont="1" applyFill="1" applyBorder="1" applyAlignment="1"/>
    <xf numFmtId="174" fontId="24" fillId="0" borderId="0" xfId="3" applyNumberFormat="1" applyFont="1"/>
    <xf numFmtId="174" fontId="23" fillId="0" borderId="0" xfId="1" applyNumberFormat="1" applyFont="1"/>
    <xf numFmtId="174" fontId="24" fillId="10" borderId="0" xfId="1" applyNumberFormat="1" applyFont="1" applyFill="1"/>
    <xf numFmtId="174" fontId="23" fillId="10" borderId="0" xfId="1" applyNumberFormat="1" applyFont="1" applyFill="1"/>
    <xf numFmtId="174" fontId="23" fillId="0" borderId="0" xfId="1" applyNumberFormat="1" applyFont="1" applyFill="1"/>
    <xf numFmtId="174" fontId="23" fillId="3" borderId="0" xfId="1" applyNumberFormat="1" applyFont="1" applyFill="1"/>
    <xf numFmtId="174" fontId="24" fillId="0" borderId="0" xfId="1" applyNumberFormat="1" applyFont="1" applyFill="1"/>
    <xf numFmtId="174" fontId="24" fillId="0" borderId="0" xfId="1" applyNumberFormat="1" applyFont="1"/>
    <xf numFmtId="0" fontId="22" fillId="23" borderId="0" xfId="4" applyFont="1" applyFill="1" applyAlignment="1">
      <alignment horizontal="right"/>
    </xf>
    <xf numFmtId="0" fontId="22" fillId="23" borderId="1" xfId="4" applyFont="1" applyFill="1" applyBorder="1" applyAlignment="1">
      <alignment horizontal="right"/>
    </xf>
    <xf numFmtId="167" fontId="23" fillId="0" borderId="0" xfId="6" applyNumberFormat="1" applyFont="1"/>
    <xf numFmtId="167" fontId="34" fillId="0" borderId="0" xfId="2" applyNumberFormat="1" applyFont="1" applyFill="1" applyBorder="1" applyAlignment="1"/>
    <xf numFmtId="0" fontId="24" fillId="0" borderId="1" xfId="4" applyFont="1" applyBorder="1" applyAlignment="1">
      <alignment horizontal="right"/>
    </xf>
    <xf numFmtId="0" fontId="24" fillId="13" borderId="1" xfId="4" applyFont="1" applyFill="1" applyBorder="1" applyAlignment="1">
      <alignment horizontal="right"/>
    </xf>
    <xf numFmtId="0" fontId="23" fillId="0" borderId="0" xfId="4" applyFont="1" applyAlignment="1">
      <alignment horizontal="right"/>
    </xf>
    <xf numFmtId="0" fontId="47" fillId="0" borderId="0" xfId="6" applyFont="1"/>
    <xf numFmtId="3" fontId="24" fillId="0" borderId="0" xfId="4" applyNumberFormat="1" applyFont="1"/>
    <xf numFmtId="166" fontId="24" fillId="0" borderId="0" xfId="1" applyNumberFormat="1" applyFont="1" applyFill="1" applyBorder="1"/>
    <xf numFmtId="0" fontId="25" fillId="0" borderId="0" xfId="6" applyFont="1"/>
    <xf numFmtId="174" fontId="24" fillId="10" borderId="4" xfId="1" applyNumberFormat="1" applyFont="1" applyFill="1" applyBorder="1"/>
    <xf numFmtId="174" fontId="24" fillId="0" borderId="4" xfId="1" applyNumberFormat="1" applyFont="1" applyFill="1" applyBorder="1"/>
    <xf numFmtId="174" fontId="24" fillId="0" borderId="0" xfId="1" applyNumberFormat="1" applyFont="1" applyFill="1" applyBorder="1"/>
    <xf numFmtId="174" fontId="23" fillId="0" borderId="0" xfId="2" applyNumberFormat="1" applyFont="1" applyFill="1"/>
    <xf numFmtId="174" fontId="23" fillId="12" borderId="0" xfId="1" applyNumberFormat="1" applyFont="1" applyFill="1"/>
    <xf numFmtId="174" fontId="24" fillId="3" borderId="4" xfId="1" applyNumberFormat="1" applyFont="1" applyFill="1" applyBorder="1"/>
    <xf numFmtId="174" fontId="23" fillId="16" borderId="0" xfId="1" applyNumberFormat="1" applyFont="1" applyFill="1"/>
    <xf numFmtId="174" fontId="23" fillId="0" borderId="0" xfId="1" applyNumberFormat="1" applyFont="1" applyFill="1" applyBorder="1"/>
    <xf numFmtId="0" fontId="24" fillId="0" borderId="18" xfId="6" applyFont="1" applyBorder="1"/>
    <xf numFmtId="168" fontId="24" fillId="0" borderId="4" xfId="6" applyNumberFormat="1" applyFont="1" applyBorder="1"/>
    <xf numFmtId="0" fontId="25" fillId="0" borderId="0" xfId="4" applyFont="1"/>
    <xf numFmtId="0" fontId="24" fillId="13" borderId="0" xfId="3" applyFont="1" applyFill="1"/>
    <xf numFmtId="0" fontId="23" fillId="23" borderId="0" xfId="3" applyFont="1" applyFill="1"/>
    <xf numFmtId="166" fontId="51" fillId="15" borderId="0" xfId="1" applyNumberFormat="1" applyFont="1" applyFill="1" applyAlignment="1"/>
    <xf numFmtId="167" fontId="24" fillId="0" borderId="0" xfId="2" applyNumberFormat="1" applyFont="1"/>
    <xf numFmtId="0" fontId="24" fillId="0" borderId="4" xfId="3" applyFont="1" applyBorder="1"/>
    <xf numFmtId="0" fontId="47" fillId="0" borderId="0" xfId="4" applyFont="1"/>
    <xf numFmtId="0" fontId="47" fillId="0" borderId="4" xfId="6" applyFont="1" applyBorder="1"/>
    <xf numFmtId="0" fontId="23" fillId="0" borderId="0" xfId="3" applyFont="1" applyAlignment="1">
      <alignment horizontal="left" indent="1"/>
    </xf>
    <xf numFmtId="0" fontId="47" fillId="0" borderId="1" xfId="6" applyFont="1" applyBorder="1"/>
    <xf numFmtId="0" fontId="23" fillId="23" borderId="0" xfId="2" applyNumberFormat="1" applyFont="1" applyFill="1"/>
    <xf numFmtId="174" fontId="23" fillId="23" borderId="0" xfId="3" applyNumberFormat="1" applyFont="1" applyFill="1"/>
    <xf numFmtId="3" fontId="23" fillId="23" borderId="0" xfId="3" applyNumberFormat="1" applyFont="1" applyFill="1"/>
    <xf numFmtId="0" fontId="24" fillId="23" borderId="0" xfId="3" applyFont="1" applyFill="1"/>
    <xf numFmtId="0" fontId="26" fillId="23" borderId="0" xfId="6" applyFont="1" applyFill="1"/>
    <xf numFmtId="3" fontId="15" fillId="16" borderId="0" xfId="0" applyNumberFormat="1" applyFont="1" applyFill="1" applyAlignment="1">
      <alignment horizontal="center"/>
    </xf>
    <xf numFmtId="9" fontId="20" fillId="0" borderId="0" xfId="2" applyFont="1" applyBorder="1" applyAlignment="1">
      <alignment horizontal="right"/>
    </xf>
    <xf numFmtId="9" fontId="23" fillId="0" borderId="0" xfId="2" applyFont="1" applyBorder="1" applyAlignment="1">
      <alignment horizontal="right"/>
    </xf>
    <xf numFmtId="165" fontId="0" fillId="4" borderId="0" xfId="1" applyNumberFormat="1" applyFont="1" applyFill="1" applyAlignment="1">
      <alignment horizontal="right"/>
    </xf>
    <xf numFmtId="0" fontId="2" fillId="0" borderId="0" xfId="29" applyFont="1"/>
    <xf numFmtId="174" fontId="24" fillId="0" borderId="0" xfId="2" applyNumberFormat="1" applyFont="1" applyFill="1"/>
    <xf numFmtId="167" fontId="23" fillId="9" borderId="0" xfId="4" applyNumberFormat="1" applyFont="1" applyFill="1"/>
    <xf numFmtId="167" fontId="23" fillId="9" borderId="0" xfId="2" applyNumberFormat="1" applyFont="1" applyFill="1"/>
    <xf numFmtId="260" fontId="23" fillId="0" borderId="0" xfId="120" applyNumberFormat="1" applyFont="1" applyFill="1" applyBorder="1" applyAlignment="1">
      <alignment horizontal="left"/>
    </xf>
    <xf numFmtId="261" fontId="24" fillId="0" borderId="4" xfId="120" applyNumberFormat="1" applyFont="1" applyFill="1" applyBorder="1" applyAlignment="1">
      <alignment horizontal="left"/>
    </xf>
    <xf numFmtId="261" fontId="24" fillId="13" borderId="0" xfId="120" applyNumberFormat="1" applyFont="1" applyFill="1" applyBorder="1" applyAlignment="1">
      <alignment horizontal="left"/>
    </xf>
    <xf numFmtId="0" fontId="24" fillId="0" borderId="4" xfId="4" applyFont="1" applyBorder="1" applyAlignment="1">
      <alignment horizontal="center"/>
    </xf>
    <xf numFmtId="261" fontId="23" fillId="0" borderId="2" xfId="120" applyNumberFormat="1" applyFont="1" applyFill="1" applyBorder="1" applyAlignment="1">
      <alignment horizontal="left"/>
    </xf>
    <xf numFmtId="0" fontId="24" fillId="0" borderId="2" xfId="4" applyFont="1" applyBorder="1" applyAlignment="1">
      <alignment horizontal="center"/>
    </xf>
    <xf numFmtId="174" fontId="25" fillId="0" borderId="0" xfId="3" applyNumberFormat="1" applyFont="1"/>
    <xf numFmtId="174" fontId="24" fillId="0" borderId="0" xfId="4" applyNumberFormat="1" applyFont="1" applyAlignment="1">
      <alignment horizontal="center"/>
    </xf>
    <xf numFmtId="182" fontId="23" fillId="0" borderId="0" xfId="3" applyNumberFormat="1" applyFont="1"/>
    <xf numFmtId="167" fontId="23" fillId="0" borderId="4" xfId="2" applyNumberFormat="1" applyFont="1" applyBorder="1"/>
    <xf numFmtId="167" fontId="23" fillId="0" borderId="2" xfId="2" applyNumberFormat="1" applyFont="1" applyBorder="1"/>
    <xf numFmtId="167" fontId="0" fillId="4" borderId="0" xfId="2" applyNumberFormat="1" applyFont="1" applyFill="1" applyAlignment="1">
      <alignment horizontal="right"/>
    </xf>
    <xf numFmtId="0" fontId="4" fillId="0" borderId="1" xfId="29" applyFont="1" applyBorder="1"/>
    <xf numFmtId="0" fontId="4" fillId="0" borderId="0" xfId="29" applyFont="1"/>
    <xf numFmtId="0" fontId="2" fillId="4" borderId="0" xfId="29" applyFont="1" applyFill="1"/>
    <xf numFmtId="166" fontId="0" fillId="4" borderId="0" xfId="116" applyNumberFormat="1" applyFont="1" applyFill="1" applyAlignment="1"/>
    <xf numFmtId="0" fontId="0" fillId="4" borderId="0" xfId="29" applyFont="1" applyFill="1"/>
    <xf numFmtId="176" fontId="0" fillId="4" borderId="0" xfId="116" applyFont="1" applyFill="1" applyAlignment="1"/>
    <xf numFmtId="166" fontId="3" fillId="4" borderId="0" xfId="116" applyNumberFormat="1" applyFont="1" applyFill="1" applyAlignment="1"/>
    <xf numFmtId="0" fontId="3" fillId="4" borderId="0" xfId="29" applyFont="1" applyFill="1"/>
    <xf numFmtId="0" fontId="3" fillId="0" borderId="0" xfId="29" applyFont="1" applyAlignment="1">
      <alignment vertical="center"/>
    </xf>
    <xf numFmtId="1" fontId="20" fillId="9" borderId="0" xfId="3" applyNumberFormat="1" applyFont="1" applyFill="1"/>
    <xf numFmtId="0" fontId="153" fillId="0" borderId="0" xfId="6" applyFont="1"/>
    <xf numFmtId="0" fontId="25" fillId="0" borderId="4" xfId="6" applyFont="1" applyBorder="1"/>
    <xf numFmtId="0" fontId="47" fillId="0" borderId="1" xfId="4" applyFont="1" applyBorder="1"/>
    <xf numFmtId="43" fontId="25" fillId="0" borderId="0" xfId="1" applyFont="1" applyFill="1" applyAlignment="1">
      <alignment horizontal="left"/>
    </xf>
    <xf numFmtId="3" fontId="47" fillId="0" borderId="0" xfId="3" applyNumberFormat="1" applyFont="1"/>
    <xf numFmtId="3" fontId="25" fillId="0" borderId="0" xfId="3" applyNumberFormat="1" applyFont="1"/>
    <xf numFmtId="3" fontId="22" fillId="23" borderId="0" xfId="6" applyNumberFormat="1" applyFont="1" applyFill="1"/>
    <xf numFmtId="0" fontId="22" fillId="23" borderId="0" xfId="3" applyFont="1" applyFill="1"/>
    <xf numFmtId="0" fontId="22" fillId="63" borderId="0" xfId="3" applyFont="1" applyFill="1" applyAlignment="1">
      <alignment horizontal="right"/>
    </xf>
    <xf numFmtId="0" fontId="24" fillId="13" borderId="1" xfId="3" applyFont="1" applyFill="1" applyBorder="1"/>
    <xf numFmtId="174" fontId="23" fillId="10" borderId="0" xfId="3" applyNumberFormat="1" applyFont="1" applyFill="1"/>
    <xf numFmtId="0" fontId="23" fillId="20" borderId="0" xfId="6" applyFont="1" applyFill="1"/>
    <xf numFmtId="166" fontId="24" fillId="0" borderId="4" xfId="3" applyNumberFormat="1" applyFont="1" applyBorder="1"/>
    <xf numFmtId="4" fontId="23" fillId="0" borderId="0" xfId="3" applyNumberFormat="1" applyFont="1"/>
    <xf numFmtId="0" fontId="24" fillId="20" borderId="0" xfId="6" applyFont="1" applyFill="1"/>
    <xf numFmtId="167" fontId="23" fillId="0" borderId="0" xfId="2" applyNumberFormat="1" applyFont="1" applyBorder="1"/>
    <xf numFmtId="3" fontId="23" fillId="0" borderId="0" xfId="6" applyNumberFormat="1" applyFont="1"/>
    <xf numFmtId="165" fontId="23" fillId="10" borderId="0" xfId="3" applyNumberFormat="1" applyFont="1" applyFill="1"/>
    <xf numFmtId="166" fontId="23" fillId="10" borderId="0" xfId="3" applyNumberFormat="1" applyFont="1" applyFill="1"/>
    <xf numFmtId="0" fontId="23" fillId="0" borderId="0" xfId="6" quotePrefix="1" applyFont="1"/>
    <xf numFmtId="9" fontId="23" fillId="3" borderId="0" xfId="3" applyNumberFormat="1" applyFont="1" applyFill="1"/>
    <xf numFmtId="165" fontId="23" fillId="10" borderId="0" xfId="1" applyNumberFormat="1" applyFont="1" applyFill="1"/>
    <xf numFmtId="165" fontId="23" fillId="10" borderId="0" xfId="1" applyNumberFormat="1" applyFont="1" applyFill="1" applyBorder="1"/>
    <xf numFmtId="166" fontId="20" fillId="0" borderId="0" xfId="3" applyNumberFormat="1" applyFont="1"/>
    <xf numFmtId="166" fontId="27" fillId="3" borderId="0" xfId="3" applyNumberFormat="1" applyFont="1" applyFill="1"/>
    <xf numFmtId="166" fontId="24" fillId="10" borderId="4" xfId="3" applyNumberFormat="1" applyFont="1" applyFill="1" applyBorder="1"/>
    <xf numFmtId="166" fontId="24" fillId="0" borderId="4" xfId="1" applyNumberFormat="1" applyFont="1" applyFill="1" applyBorder="1"/>
    <xf numFmtId="166" fontId="23" fillId="2" borderId="0" xfId="3" applyNumberFormat="1" applyFont="1" applyFill="1"/>
    <xf numFmtId="0" fontId="24" fillId="0" borderId="1" xfId="8" applyFont="1" applyBorder="1"/>
    <xf numFmtId="0" fontId="23" fillId="0" borderId="0" xfId="8" applyFont="1"/>
    <xf numFmtId="0" fontId="24" fillId="0" borderId="0" xfId="8" applyFont="1"/>
    <xf numFmtId="0" fontId="23" fillId="0" borderId="0" xfId="8" applyFont="1" applyBorder="1"/>
    <xf numFmtId="169" fontId="24" fillId="0" borderId="0" xfId="4" applyNumberFormat="1" applyFont="1"/>
    <xf numFmtId="169" fontId="23" fillId="0" borderId="0" xfId="4" applyNumberFormat="1" applyFont="1"/>
    <xf numFmtId="4" fontId="23" fillId="0" borderId="0" xfId="2" applyNumberFormat="1" applyFont="1"/>
    <xf numFmtId="4" fontId="23" fillId="0" borderId="0" xfId="2" applyNumberFormat="1" applyFont="1" applyBorder="1"/>
    <xf numFmtId="9" fontId="23" fillId="0" borderId="0" xfId="2" applyFont="1" applyBorder="1"/>
    <xf numFmtId="9" fontId="23" fillId="0" borderId="2" xfId="2" applyFont="1" applyBorder="1"/>
    <xf numFmtId="0" fontId="23" fillId="0" borderId="1" xfId="6" applyFont="1" applyBorder="1"/>
    <xf numFmtId="0" fontId="23" fillId="0" borderId="2" xfId="3" applyFont="1" applyBorder="1"/>
    <xf numFmtId="165" fontId="23" fillId="0" borderId="0" xfId="7" applyNumberFormat="1" applyFont="1"/>
    <xf numFmtId="165" fontId="23" fillId="0" borderId="0" xfId="1" applyNumberFormat="1" applyFont="1"/>
    <xf numFmtId="165" fontId="23" fillId="0" borderId="0" xfId="1" applyNumberFormat="1" applyFont="1" applyBorder="1"/>
    <xf numFmtId="175" fontId="34" fillId="0" borderId="0" xfId="3" applyNumberFormat="1" applyFont="1"/>
    <xf numFmtId="0" fontId="44" fillId="0" borderId="0" xfId="0" applyFont="1"/>
    <xf numFmtId="166" fontId="27" fillId="2" borderId="4" xfId="3" applyNumberFormat="1" applyFont="1" applyFill="1" applyBorder="1"/>
    <xf numFmtId="166" fontId="27" fillId="0" borderId="4" xfId="3" applyNumberFormat="1" applyFont="1" applyBorder="1"/>
    <xf numFmtId="0" fontId="22" fillId="63" borderId="0" xfId="4" applyFont="1" applyFill="1" applyAlignment="1">
      <alignment horizontal="right"/>
    </xf>
    <xf numFmtId="167" fontId="24" fillId="0" borderId="0" xfId="4" applyNumberFormat="1" applyFont="1"/>
    <xf numFmtId="166" fontId="20" fillId="15" borderId="0" xfId="1" applyNumberFormat="1" applyFont="1" applyFill="1" applyAlignment="1"/>
    <xf numFmtId="168" fontId="24" fillId="20" borderId="0" xfId="3" applyNumberFormat="1" applyFont="1" applyFill="1"/>
    <xf numFmtId="262" fontId="24" fillId="20" borderId="0" xfId="3" applyNumberFormat="1" applyFont="1" applyFill="1"/>
    <xf numFmtId="166" fontId="23" fillId="0" borderId="0" xfId="6" applyNumberFormat="1" applyFont="1"/>
    <xf numFmtId="0" fontId="47" fillId="0" borderId="1" xfId="8" applyFont="1" applyBorder="1"/>
    <xf numFmtId="0" fontId="25" fillId="0" borderId="0" xfId="8" applyFont="1"/>
    <xf numFmtId="0" fontId="25" fillId="0" borderId="2" xfId="8" applyFont="1" applyBorder="1"/>
    <xf numFmtId="0" fontId="47" fillId="0" borderId="0" xfId="8" applyFont="1"/>
    <xf numFmtId="9" fontId="20" fillId="10" borderId="0" xfId="2" applyFont="1" applyFill="1" applyBorder="1" applyAlignment="1">
      <alignment horizontal="right"/>
    </xf>
    <xf numFmtId="166" fontId="20" fillId="10" borderId="0" xfId="2" applyNumberFormat="1" applyFont="1" applyFill="1" applyBorder="1" applyAlignment="1">
      <alignment horizontal="right"/>
    </xf>
    <xf numFmtId="166" fontId="23" fillId="9" borderId="0" xfId="3" applyNumberFormat="1" applyFont="1" applyFill="1"/>
    <xf numFmtId="43" fontId="24" fillId="0" borderId="0" xfId="1" applyFont="1" applyFill="1" applyBorder="1"/>
    <xf numFmtId="43" fontId="24" fillId="0" borderId="0" xfId="1" applyFont="1" applyFill="1" applyAlignment="1">
      <alignment horizontal="center"/>
    </xf>
    <xf numFmtId="0" fontId="154" fillId="23" borderId="0" xfId="3" applyFont="1" applyFill="1" applyAlignment="1">
      <alignment horizontal="right"/>
    </xf>
    <xf numFmtId="1" fontId="24" fillId="0" borderId="0" xfId="3" applyNumberFormat="1" applyFont="1"/>
    <xf numFmtId="164" fontId="24" fillId="0" borderId="0" xfId="1" applyNumberFormat="1" applyFont="1"/>
    <xf numFmtId="0" fontId="14" fillId="11" borderId="0" xfId="0" applyFont="1" applyFill="1"/>
    <xf numFmtId="0" fontId="0" fillId="11" borderId="4" xfId="0" applyFill="1" applyBorder="1"/>
    <xf numFmtId="3" fontId="0" fillId="11" borderId="4" xfId="0" applyNumberFormat="1" applyFill="1" applyBorder="1"/>
    <xf numFmtId="168" fontId="0" fillId="11" borderId="0" xfId="0" applyNumberFormat="1" applyFill="1"/>
    <xf numFmtId="2" fontId="0" fillId="11" borderId="0" xfId="0" applyNumberFormat="1" applyFill="1"/>
    <xf numFmtId="2" fontId="0" fillId="11" borderId="4" xfId="0" applyNumberFormat="1" applyFill="1" applyBorder="1"/>
    <xf numFmtId="167" fontId="0" fillId="11" borderId="0" xfId="2" applyNumberFormat="1" applyFont="1" applyFill="1"/>
    <xf numFmtId="178" fontId="0" fillId="11" borderId="0" xfId="0" applyNumberFormat="1" applyFill="1"/>
    <xf numFmtId="0" fontId="44" fillId="0" borderId="0" xfId="0" applyFont="1" applyAlignment="1">
      <alignment horizontal="left" vertical="center" indent="1"/>
    </xf>
    <xf numFmtId="0" fontId="0" fillId="11" borderId="0" xfId="0" applyFill="1" applyAlignment="1">
      <alignment horizontal="left" indent="1"/>
    </xf>
    <xf numFmtId="9" fontId="0" fillId="11" borderId="0" xfId="0" applyNumberFormat="1" applyFill="1"/>
    <xf numFmtId="9" fontId="0" fillId="9" borderId="0" xfId="0" applyNumberFormat="1" applyFill="1"/>
    <xf numFmtId="167" fontId="155" fillId="11" borderId="0" xfId="2" applyNumberFormat="1" applyFont="1" applyFill="1"/>
    <xf numFmtId="0" fontId="14" fillId="11" borderId="18" xfId="0" applyFont="1" applyFill="1" applyBorder="1"/>
    <xf numFmtId="167" fontId="14" fillId="11" borderId="18" xfId="2" applyNumberFormat="1" applyFont="1" applyFill="1" applyBorder="1"/>
    <xf numFmtId="0" fontId="14" fillId="11" borderId="4" xfId="0" applyFont="1" applyFill="1" applyBorder="1"/>
    <xf numFmtId="4" fontId="0" fillId="11" borderId="0" xfId="0" applyNumberFormat="1" applyFill="1"/>
    <xf numFmtId="167" fontId="0" fillId="9" borderId="0" xfId="2" applyNumberFormat="1" applyFont="1" applyFill="1"/>
    <xf numFmtId="167" fontId="0" fillId="11" borderId="0" xfId="0" applyNumberFormat="1" applyFill="1"/>
    <xf numFmtId="17" fontId="35" fillId="23" borderId="0" xfId="0" applyNumberFormat="1" applyFont="1" applyFill="1" applyAlignment="1">
      <alignment horizontal="center"/>
    </xf>
    <xf numFmtId="3" fontId="2" fillId="10" borderId="0" xfId="17" applyNumberFormat="1" applyFont="1" applyFill="1" applyBorder="1"/>
    <xf numFmtId="3" fontId="15" fillId="10" borderId="0" xfId="0" applyNumberFormat="1" applyFont="1" applyFill="1"/>
    <xf numFmtId="3" fontId="2" fillId="10" borderId="0" xfId="0" applyNumberFormat="1" applyFont="1" applyFill="1" applyAlignment="1">
      <alignment horizontal="center"/>
    </xf>
    <xf numFmtId="3" fontId="2" fillId="10" borderId="0" xfId="18" applyNumberFormat="1" applyFill="1"/>
    <xf numFmtId="3" fontId="2" fillId="10" borderId="0" xfId="17" applyNumberFormat="1" applyFont="1" applyFill="1" applyAlignment="1">
      <alignment horizontal="center"/>
    </xf>
    <xf numFmtId="3" fontId="2" fillId="10" borderId="0" xfId="1" applyNumberFormat="1" applyFont="1" applyFill="1" applyAlignment="1">
      <alignment horizontal="center"/>
    </xf>
    <xf numFmtId="168" fontId="14" fillId="11" borderId="0" xfId="0" applyNumberFormat="1" applyFont="1" applyFill="1"/>
    <xf numFmtId="0" fontId="0" fillId="13" borderId="0" xfId="0" applyFill="1"/>
    <xf numFmtId="0" fontId="14" fillId="13" borderId="0" xfId="0" applyFont="1" applyFill="1"/>
    <xf numFmtId="17" fontId="0" fillId="11" borderId="0" xfId="0" applyNumberFormat="1" applyFill="1"/>
    <xf numFmtId="167" fontId="14" fillId="11" borderId="0" xfId="2" applyNumberFormat="1" applyFont="1" applyFill="1"/>
    <xf numFmtId="167" fontId="0" fillId="11" borderId="4" xfId="2" applyNumberFormat="1" applyFont="1" applyFill="1" applyBorder="1"/>
    <xf numFmtId="168" fontId="14" fillId="11" borderId="4" xfId="0" applyNumberFormat="1" applyFont="1" applyFill="1" applyBorder="1"/>
    <xf numFmtId="0" fontId="155" fillId="11" borderId="0" xfId="0" applyFont="1" applyFill="1"/>
    <xf numFmtId="10" fontId="0" fillId="11" borderId="0" xfId="0" applyNumberFormat="1" applyFill="1"/>
    <xf numFmtId="9" fontId="155" fillId="11" borderId="0" xfId="0" applyNumberFormat="1" applyFont="1" applyFill="1"/>
    <xf numFmtId="168" fontId="0" fillId="11" borderId="4" xfId="0" applyNumberFormat="1" applyFill="1" applyBorder="1"/>
    <xf numFmtId="0" fontId="2" fillId="11" borderId="0" xfId="23" applyFont="1" applyFill="1" applyAlignment="1">
      <alignment vertical="center"/>
    </xf>
    <xf numFmtId="0" fontId="2" fillId="11" borderId="0" xfId="23" applyFont="1" applyFill="1" applyAlignment="1">
      <alignment horizontal="center" vertical="center"/>
    </xf>
    <xf numFmtId="0" fontId="11" fillId="11" borderId="0" xfId="23" applyFont="1" applyFill="1" applyAlignment="1">
      <alignment vertical="center"/>
    </xf>
    <xf numFmtId="0" fontId="156" fillId="23" borderId="0" xfId="23" applyFont="1" applyFill="1" applyAlignment="1">
      <alignment horizontal="center"/>
    </xf>
    <xf numFmtId="0" fontId="156" fillId="63" borderId="0" xfId="23" applyFont="1" applyFill="1" applyAlignment="1">
      <alignment horizontal="center"/>
    </xf>
    <xf numFmtId="0" fontId="35" fillId="11" borderId="0" xfId="23" applyFont="1" applyFill="1" applyAlignment="1">
      <alignment horizontal="center" vertical="center"/>
    </xf>
    <xf numFmtId="17" fontId="156" fillId="23" borderId="0" xfId="23" applyNumberFormat="1" applyFont="1" applyFill="1" applyAlignment="1">
      <alignment horizontal="center"/>
    </xf>
    <xf numFmtId="17" fontId="156" fillId="63" borderId="0" xfId="23" applyNumberFormat="1" applyFont="1" applyFill="1" applyAlignment="1">
      <alignment horizontal="center"/>
    </xf>
    <xf numFmtId="17" fontId="22" fillId="11" borderId="0" xfId="23" applyNumberFormat="1" applyFont="1" applyFill="1" applyAlignment="1">
      <alignment horizontal="center"/>
    </xf>
    <xf numFmtId="3" fontId="24" fillId="11" borderId="0" xfId="23" applyNumberFormat="1" applyFont="1" applyFill="1" applyAlignment="1">
      <alignment horizontal="center"/>
    </xf>
    <xf numFmtId="17" fontId="156" fillId="11" borderId="0" xfId="23" applyNumberFormat="1" applyFont="1" applyFill="1" applyAlignment="1">
      <alignment horizontal="center"/>
    </xf>
    <xf numFmtId="3" fontId="23" fillId="11" borderId="0" xfId="23" applyNumberFormat="1" applyFont="1" applyFill="1" applyAlignment="1">
      <alignment horizontal="center"/>
    </xf>
    <xf numFmtId="3" fontId="2" fillId="11" borderId="0" xfId="23" applyNumberFormat="1" applyFont="1" applyFill="1" applyAlignment="1">
      <alignment horizontal="center"/>
    </xf>
    <xf numFmtId="3" fontId="41" fillId="11" borderId="0" xfId="23" applyNumberFormat="1" applyFill="1" applyAlignment="1">
      <alignment horizontal="center"/>
    </xf>
    <xf numFmtId="0" fontId="11" fillId="11" borderId="0" xfId="23" applyFont="1" applyFill="1" applyAlignment="1">
      <alignment horizontal="center" vertical="center"/>
    </xf>
    <xf numFmtId="3" fontId="11" fillId="11" borderId="0" xfId="23" applyNumberFormat="1" applyFont="1" applyFill="1" applyAlignment="1">
      <alignment horizontal="center"/>
    </xf>
    <xf numFmtId="3" fontId="2" fillId="11" borderId="0" xfId="23" applyNumberFormat="1" applyFont="1" applyFill="1" applyAlignment="1">
      <alignment vertical="center"/>
    </xf>
    <xf numFmtId="0" fontId="2" fillId="11" borderId="0" xfId="23" applyFont="1" applyFill="1"/>
    <xf numFmtId="0" fontId="2" fillId="11" borderId="0" xfId="23" quotePrefix="1" applyFont="1" applyFill="1" applyAlignment="1">
      <alignment horizontal="center" vertical="center"/>
    </xf>
    <xf numFmtId="3" fontId="23" fillId="11" borderId="0" xfId="116" applyNumberFormat="1" applyFont="1" applyFill="1" applyAlignment="1">
      <alignment horizontal="center"/>
    </xf>
    <xf numFmtId="176" fontId="25" fillId="11" borderId="0" xfId="116" applyFont="1" applyFill="1" applyAlignment="1">
      <alignment horizontal="center"/>
    </xf>
    <xf numFmtId="176" fontId="23" fillId="11" borderId="0" xfId="116" applyFont="1" applyFill="1" applyAlignment="1">
      <alignment horizontal="center"/>
    </xf>
    <xf numFmtId="0" fontId="157" fillId="11" borderId="0" xfId="23" applyFont="1" applyFill="1" applyAlignment="1">
      <alignment vertical="center"/>
    </xf>
    <xf numFmtId="3" fontId="45" fillId="11" borderId="0" xfId="23" applyNumberFormat="1" applyFont="1" applyFill="1" applyAlignment="1">
      <alignment horizontal="center"/>
    </xf>
    <xf numFmtId="0" fontId="2" fillId="11" borderId="0" xfId="23" applyFont="1" applyFill="1" applyAlignment="1">
      <alignment horizontal="left" vertical="center" indent="1"/>
    </xf>
    <xf numFmtId="167" fontId="23" fillId="9" borderId="0" xfId="3" applyNumberFormat="1" applyFont="1" applyFill="1"/>
    <xf numFmtId="0" fontId="23" fillId="0" borderId="0" xfId="0" applyFont="1" applyAlignment="1">
      <alignment vertical="center"/>
    </xf>
    <xf numFmtId="0" fontId="23" fillId="0" borderId="4" xfId="6" applyFont="1" applyBorder="1" applyAlignment="1">
      <alignment horizontal="left" indent="1"/>
    </xf>
    <xf numFmtId="0" fontId="23" fillId="0" borderId="0" xfId="15" quotePrefix="1" applyFont="1"/>
    <xf numFmtId="0" fontId="23" fillId="0" borderId="0" xfId="15" applyFont="1"/>
    <xf numFmtId="0" fontId="23" fillId="0" borderId="4" xfId="15" applyFont="1" applyBorder="1"/>
    <xf numFmtId="263" fontId="23" fillId="0" borderId="0" xfId="0" applyNumberFormat="1" applyFont="1" applyAlignment="1">
      <alignment vertical="center"/>
    </xf>
    <xf numFmtId="263" fontId="23" fillId="0" borderId="0" xfId="3" applyNumberFormat="1" applyFont="1"/>
    <xf numFmtId="263" fontId="23" fillId="0" borderId="4" xfId="3" applyNumberFormat="1" applyFont="1" applyBorder="1"/>
    <xf numFmtId="263" fontId="27" fillId="0" borderId="4" xfId="3" applyNumberFormat="1" applyFont="1" applyBorder="1"/>
    <xf numFmtId="263" fontId="24" fillId="0" borderId="4" xfId="3" applyNumberFormat="1" applyFont="1" applyBorder="1"/>
    <xf numFmtId="263" fontId="24" fillId="0" borderId="0" xfId="3" applyNumberFormat="1" applyFont="1"/>
    <xf numFmtId="165" fontId="24" fillId="0" borderId="0" xfId="3" applyNumberFormat="1" applyFont="1"/>
    <xf numFmtId="3" fontId="23" fillId="11" borderId="0" xfId="3" applyNumberFormat="1" applyFont="1" applyFill="1"/>
    <xf numFmtId="0" fontId="23" fillId="11" borderId="0" xfId="3" applyFont="1" applyFill="1"/>
    <xf numFmtId="169" fontId="23" fillId="11" borderId="0" xfId="3" applyNumberFormat="1" applyFont="1" applyFill="1"/>
    <xf numFmtId="168" fontId="23" fillId="11" borderId="0" xfId="3" applyNumberFormat="1" applyFont="1" applyFill="1"/>
    <xf numFmtId="168" fontId="23" fillId="11" borderId="0" xfId="6" applyNumberFormat="1" applyFont="1" applyFill="1"/>
    <xf numFmtId="168" fontId="23" fillId="11" borderId="0" xfId="2" applyNumberFormat="1" applyFont="1" applyFill="1"/>
    <xf numFmtId="0" fontId="34" fillId="11" borderId="0" xfId="6" applyFont="1" applyFill="1"/>
    <xf numFmtId="9" fontId="34" fillId="11" borderId="0" xfId="3" applyNumberFormat="1" applyFont="1" applyFill="1"/>
    <xf numFmtId="9" fontId="34" fillId="11" borderId="0" xfId="2" applyFont="1" applyFill="1"/>
    <xf numFmtId="0" fontId="23" fillId="11" borderId="0" xfId="6" applyFont="1" applyFill="1"/>
    <xf numFmtId="3" fontId="24" fillId="11" borderId="0" xfId="3" applyNumberFormat="1" applyFont="1" applyFill="1"/>
    <xf numFmtId="0" fontId="24" fillId="11" borderId="0" xfId="3" applyFont="1" applyFill="1"/>
    <xf numFmtId="2" fontId="23" fillId="11" borderId="0" xfId="2" applyNumberFormat="1" applyFont="1" applyFill="1"/>
    <xf numFmtId="0" fontId="0" fillId="11" borderId="0" xfId="0" applyFill="1" applyAlignment="1">
      <alignment wrapText="1"/>
    </xf>
    <xf numFmtId="17" fontId="39" fillId="3" borderId="0" xfId="0" applyNumberFormat="1" applyFont="1" applyFill="1" applyAlignment="1">
      <alignment horizontal="right"/>
    </xf>
    <xf numFmtId="17" fontId="14" fillId="11" borderId="0" xfId="0" applyNumberFormat="1" applyFont="1" applyFill="1" applyAlignment="1">
      <alignment horizontal="right"/>
    </xf>
    <xf numFmtId="0" fontId="14" fillId="64" borderId="0" xfId="0" applyFont="1" applyFill="1"/>
    <xf numFmtId="17" fontId="14" fillId="64" borderId="0" xfId="0" applyNumberFormat="1" applyFont="1" applyFill="1" applyAlignment="1">
      <alignment horizontal="right"/>
    </xf>
    <xf numFmtId="0" fontId="14" fillId="11" borderId="0" xfId="0" applyFont="1" applyFill="1" applyAlignment="1">
      <alignment wrapText="1"/>
    </xf>
    <xf numFmtId="174" fontId="14" fillId="11" borderId="0" xfId="0" applyNumberFormat="1" applyFont="1" applyFill="1" applyAlignment="1">
      <alignment horizontal="right"/>
    </xf>
    <xf numFmtId="174" fontId="14" fillId="11" borderId="0" xfId="0" applyNumberFormat="1" applyFont="1" applyFill="1"/>
    <xf numFmtId="174" fontId="0" fillId="11" borderId="0" xfId="0" applyNumberFormat="1" applyFill="1" applyAlignment="1">
      <alignment horizontal="right"/>
    </xf>
    <xf numFmtId="174" fontId="0" fillId="11" borderId="0" xfId="0" applyNumberFormat="1" applyFill="1"/>
    <xf numFmtId="0" fontId="159" fillId="23" borderId="0" xfId="0" applyFont="1" applyFill="1"/>
    <xf numFmtId="0" fontId="158" fillId="23" borderId="0" xfId="0" applyFont="1" applyFill="1" applyAlignment="1">
      <alignment horizontal="right"/>
    </xf>
    <xf numFmtId="0" fontId="158" fillId="23" borderId="0" xfId="0" applyFont="1" applyFill="1"/>
    <xf numFmtId="17" fontId="158" fillId="23" borderId="0" xfId="0" applyNumberFormat="1" applyFont="1" applyFill="1" applyAlignment="1">
      <alignment horizontal="right"/>
    </xf>
    <xf numFmtId="174" fontId="155" fillId="11" borderId="0" xfId="0" applyNumberFormat="1" applyFont="1" applyFill="1" applyAlignment="1">
      <alignment horizontal="right"/>
    </xf>
    <xf numFmtId="174" fontId="160" fillId="11" borderId="0" xfId="0" applyNumberFormat="1" applyFont="1" applyFill="1" applyAlignment="1">
      <alignment horizontal="right"/>
    </xf>
    <xf numFmtId="167" fontId="155" fillId="11" borderId="0" xfId="2" applyNumberFormat="1" applyFont="1" applyFill="1" applyAlignment="1">
      <alignment horizontal="right"/>
    </xf>
    <xf numFmtId="0" fontId="2" fillId="0" borderId="0" xfId="0" applyFont="1"/>
    <xf numFmtId="0" fontId="18" fillId="0" borderId="0" xfId="0" applyFont="1"/>
    <xf numFmtId="166" fontId="25" fillId="0" borderId="0" xfId="6" applyNumberFormat="1" applyFont="1"/>
    <xf numFmtId="167" fontId="25" fillId="0" borderId="0" xfId="6" applyNumberFormat="1" applyFont="1"/>
    <xf numFmtId="166" fontId="47" fillId="0" borderId="4" xfId="6" applyNumberFormat="1" applyFont="1" applyBorder="1"/>
    <xf numFmtId="263" fontId="23" fillId="11" borderId="0" xfId="0" applyNumberFormat="1" applyFont="1" applyFill="1" applyAlignment="1">
      <alignment vertical="center"/>
    </xf>
    <xf numFmtId="167" fontId="23" fillId="11" borderId="0" xfId="3" applyNumberFormat="1" applyFont="1" applyFill="1"/>
    <xf numFmtId="14" fontId="23" fillId="11" borderId="0" xfId="3" applyNumberFormat="1" applyFont="1" applyFill="1"/>
    <xf numFmtId="172" fontId="23" fillId="11" borderId="0" xfId="3" applyNumberFormat="1" applyFont="1" applyFill="1"/>
    <xf numFmtId="0" fontId="24" fillId="13" borderId="0" xfId="6" applyFont="1" applyFill="1"/>
    <xf numFmtId="0" fontId="24" fillId="0" borderId="4" xfId="15" applyFont="1" applyBorder="1"/>
    <xf numFmtId="0" fontId="23" fillId="0" borderId="0" xfId="29" applyFont="1"/>
    <xf numFmtId="263" fontId="24" fillId="0" borderId="0" xfId="0" applyNumberFormat="1" applyFont="1" applyAlignment="1">
      <alignment vertical="center"/>
    </xf>
    <xf numFmtId="263" fontId="20" fillId="0" borderId="0" xfId="3" applyNumberFormat="1" applyFont="1"/>
    <xf numFmtId="263" fontId="24" fillId="10" borderId="4" xfId="3" applyNumberFormat="1" applyFont="1" applyFill="1" applyBorder="1"/>
    <xf numFmtId="263" fontId="24" fillId="10" borderId="0" xfId="3" applyNumberFormat="1" applyFont="1" applyFill="1"/>
    <xf numFmtId="263" fontId="23" fillId="20" borderId="0" xfId="3" applyNumberFormat="1" applyFont="1" applyFill="1"/>
    <xf numFmtId="263" fontId="23" fillId="0" borderId="0" xfId="1" applyNumberFormat="1" applyFont="1"/>
    <xf numFmtId="0" fontId="24" fillId="0" borderId="0" xfId="6" applyFont="1" applyAlignment="1">
      <alignment horizontal="left" indent="1"/>
    </xf>
    <xf numFmtId="0" fontId="23" fillId="0" borderId="0" xfId="15" applyFont="1" applyAlignment="1">
      <alignment horizontal="left" indent="1"/>
    </xf>
    <xf numFmtId="0" fontId="23" fillId="0" borderId="0" xfId="15" quotePrefix="1" applyFont="1" applyAlignment="1">
      <alignment horizontal="left" indent="1"/>
    </xf>
    <xf numFmtId="0" fontId="24" fillId="0" borderId="4" xfId="15" applyFont="1" applyBorder="1" applyAlignment="1">
      <alignment horizontal="left" indent="1"/>
    </xf>
    <xf numFmtId="263" fontId="26" fillId="23" borderId="0" xfId="3" applyNumberFormat="1" applyFont="1" applyFill="1"/>
    <xf numFmtId="263" fontId="26" fillId="63" borderId="0" xfId="3" applyNumberFormat="1" applyFont="1" applyFill="1"/>
    <xf numFmtId="263" fontId="23" fillId="11" borderId="0" xfId="3" applyNumberFormat="1" applyFont="1" applyFill="1"/>
    <xf numFmtId="263" fontId="49" fillId="0" borderId="0" xfId="3" applyNumberFormat="1" applyFont="1"/>
    <xf numFmtId="263" fontId="23" fillId="9" borderId="0" xfId="3" applyNumberFormat="1" applyFont="1" applyFill="1"/>
    <xf numFmtId="263" fontId="20" fillId="9" borderId="0" xfId="29" applyNumberFormat="1" applyFont="1" applyFill="1" applyAlignment="1">
      <alignment vertical="center"/>
    </xf>
    <xf numFmtId="263" fontId="20" fillId="0" borderId="4" xfId="3" applyNumberFormat="1" applyFont="1" applyBorder="1"/>
    <xf numFmtId="263" fontId="23" fillId="11" borderId="4" xfId="3" applyNumberFormat="1" applyFont="1" applyFill="1" applyBorder="1"/>
    <xf numFmtId="263" fontId="23" fillId="10" borderId="0" xfId="3" applyNumberFormat="1" applyFont="1" applyFill="1"/>
    <xf numFmtId="263" fontId="23" fillId="2" borderId="0" xfId="3" applyNumberFormat="1" applyFont="1" applyFill="1"/>
    <xf numFmtId="263" fontId="23" fillId="0" borderId="0" xfId="2" applyNumberFormat="1" applyFont="1"/>
    <xf numFmtId="263" fontId="23" fillId="0" borderId="0" xfId="2" applyNumberFormat="1" applyFont="1" applyBorder="1"/>
    <xf numFmtId="263" fontId="24" fillId="20" borderId="0" xfId="3" applyNumberFormat="1" applyFont="1" applyFill="1"/>
    <xf numFmtId="263" fontId="24" fillId="0" borderId="18" xfId="3" applyNumberFormat="1" applyFont="1" applyBorder="1"/>
    <xf numFmtId="263" fontId="23" fillId="0" borderId="0" xfId="2" applyNumberFormat="1" applyFont="1" applyFill="1" applyBorder="1"/>
    <xf numFmtId="263" fontId="24" fillId="0" borderId="0" xfId="2" applyNumberFormat="1" applyFont="1" applyFill="1" applyBorder="1"/>
    <xf numFmtId="263" fontId="24" fillId="0" borderId="4" xfId="2" applyNumberFormat="1" applyFont="1" applyFill="1" applyBorder="1"/>
    <xf numFmtId="263" fontId="23" fillId="0" borderId="4" xfId="2" applyNumberFormat="1" applyFont="1" applyFill="1" applyBorder="1"/>
    <xf numFmtId="263" fontId="23" fillId="9" borderId="0" xfId="2" applyNumberFormat="1" applyFont="1" applyFill="1" applyBorder="1"/>
    <xf numFmtId="263" fontId="24" fillId="10" borderId="4" xfId="2" applyNumberFormat="1" applyFont="1" applyFill="1" applyBorder="1"/>
    <xf numFmtId="263" fontId="24" fillId="3" borderId="4" xfId="2" applyNumberFormat="1" applyFont="1" applyFill="1" applyBorder="1"/>
    <xf numFmtId="263" fontId="49" fillId="0" borderId="0" xfId="2" applyNumberFormat="1" applyFont="1" applyFill="1" applyBorder="1"/>
    <xf numFmtId="263" fontId="23" fillId="2" borderId="0" xfId="2" applyNumberFormat="1" applyFont="1" applyFill="1"/>
    <xf numFmtId="263" fontId="23" fillId="3" borderId="0" xfId="2" applyNumberFormat="1" applyFont="1" applyFill="1"/>
    <xf numFmtId="263" fontId="23" fillId="10" borderId="0" xfId="2" applyNumberFormat="1" applyFont="1" applyFill="1"/>
    <xf numFmtId="263" fontId="23" fillId="0" borderId="0" xfId="1" applyNumberFormat="1" applyFont="1" applyFill="1"/>
    <xf numFmtId="263" fontId="23" fillId="2" borderId="0" xfId="1" applyNumberFormat="1" applyFont="1" applyFill="1"/>
    <xf numFmtId="263" fontId="23" fillId="3" borderId="0" xfId="1" applyNumberFormat="1" applyFont="1" applyFill="1"/>
    <xf numFmtId="263" fontId="23" fillId="10" borderId="0" xfId="1" applyNumberFormat="1" applyFont="1" applyFill="1"/>
    <xf numFmtId="263" fontId="24" fillId="0" borderId="0" xfId="1" applyNumberFormat="1" applyFont="1"/>
    <xf numFmtId="263" fontId="24" fillId="0" borderId="0" xfId="1" applyNumberFormat="1" applyFont="1" applyFill="1"/>
    <xf numFmtId="263" fontId="23" fillId="0" borderId="0" xfId="2" applyNumberFormat="1" applyFont="1" applyFill="1"/>
    <xf numFmtId="263" fontId="24" fillId="3" borderId="18" xfId="1" applyNumberFormat="1" applyFont="1" applyFill="1" applyBorder="1"/>
    <xf numFmtId="263" fontId="24" fillId="10" borderId="18" xfId="1" applyNumberFormat="1" applyFont="1" applyFill="1" applyBorder="1"/>
    <xf numFmtId="263" fontId="24" fillId="0" borderId="18" xfId="1" applyNumberFormat="1" applyFont="1" applyFill="1" applyBorder="1"/>
    <xf numFmtId="263" fontId="24" fillId="0" borderId="18" xfId="1" applyNumberFormat="1" applyFont="1" applyBorder="1"/>
    <xf numFmtId="263" fontId="24" fillId="16" borderId="18" xfId="1" applyNumberFormat="1" applyFont="1" applyFill="1" applyBorder="1"/>
    <xf numFmtId="263" fontId="24" fillId="10" borderId="0" xfId="1" applyNumberFormat="1" applyFont="1" applyFill="1"/>
    <xf numFmtId="263" fontId="20" fillId="0" borderId="0" xfId="2" applyNumberFormat="1" applyFont="1" applyFill="1"/>
    <xf numFmtId="263" fontId="20" fillId="0" borderId="0" xfId="1" applyNumberFormat="1" applyFont="1"/>
    <xf numFmtId="263" fontId="24" fillId="0" borderId="0" xfId="4" applyNumberFormat="1" applyFont="1" applyAlignment="1">
      <alignment horizontal="right"/>
    </xf>
    <xf numFmtId="263" fontId="23" fillId="0" borderId="0" xfId="4" applyNumberFormat="1" applyFont="1" applyAlignment="1">
      <alignment horizontal="right"/>
    </xf>
    <xf numFmtId="263" fontId="23" fillId="10" borderId="0" xfId="2" applyNumberFormat="1" applyFont="1" applyFill="1" applyAlignment="1">
      <alignment horizontal="right"/>
    </xf>
    <xf numFmtId="263" fontId="23" fillId="0" borderId="0" xfId="3" applyNumberFormat="1" applyFont="1" applyAlignment="1">
      <alignment horizontal="right"/>
    </xf>
    <xf numFmtId="263" fontId="23" fillId="0" borderId="0" xfId="1" applyNumberFormat="1" applyFont="1" applyFill="1" applyAlignment="1">
      <alignment horizontal="right"/>
    </xf>
    <xf numFmtId="263" fontId="24" fillId="0" borderId="4" xfId="4" applyNumberFormat="1" applyFont="1" applyBorder="1" applyAlignment="1">
      <alignment horizontal="right"/>
    </xf>
    <xf numFmtId="263" fontId="24" fillId="0" borderId="2" xfId="4" applyNumberFormat="1" applyFont="1" applyBorder="1" applyAlignment="1">
      <alignment horizontal="right"/>
    </xf>
    <xf numFmtId="263" fontId="23" fillId="0" borderId="2" xfId="4" applyNumberFormat="1" applyFont="1" applyBorder="1" applyAlignment="1">
      <alignment horizontal="right"/>
    </xf>
    <xf numFmtId="263" fontId="24" fillId="13" borderId="0" xfId="4" applyNumberFormat="1" applyFont="1" applyFill="1" applyAlignment="1">
      <alignment horizontal="right"/>
    </xf>
    <xf numFmtId="263" fontId="24" fillId="10" borderId="0" xfId="2" applyNumberFormat="1" applyFont="1" applyFill="1"/>
    <xf numFmtId="263" fontId="24" fillId="0" borderId="0" xfId="2" applyNumberFormat="1" applyFont="1" applyFill="1"/>
    <xf numFmtId="263" fontId="24" fillId="0" borderId="0" xfId="4" applyNumberFormat="1" applyFont="1"/>
    <xf numFmtId="263" fontId="23" fillId="0" borderId="0" xfId="4" applyNumberFormat="1" applyFont="1"/>
    <xf numFmtId="263" fontId="24" fillId="2" borderId="0" xfId="2" applyNumberFormat="1" applyFont="1" applyFill="1"/>
    <xf numFmtId="263" fontId="24" fillId="3" borderId="0" xfId="2" applyNumberFormat="1" applyFont="1" applyFill="1"/>
    <xf numFmtId="0" fontId="14" fillId="0" borderId="4" xfId="0" applyFont="1" applyBorder="1"/>
    <xf numFmtId="263" fontId="20" fillId="10" borderId="0" xfId="3" applyNumberFormat="1" applyFont="1" applyFill="1"/>
    <xf numFmtId="263" fontId="20" fillId="11" borderId="0" xfId="3" applyNumberFormat="1" applyFont="1" applyFill="1"/>
    <xf numFmtId="0" fontId="23" fillId="0" borderId="4" xfId="3" applyFont="1" applyBorder="1"/>
    <xf numFmtId="167" fontId="5" fillId="4" borderId="0" xfId="2" applyNumberFormat="1" applyFont="1" applyFill="1" applyAlignment="1">
      <alignment horizontal="right"/>
    </xf>
    <xf numFmtId="0" fontId="23" fillId="0" borderId="0" xfId="3" applyFont="1" applyAlignment="1">
      <alignment wrapText="1"/>
    </xf>
    <xf numFmtId="0" fontId="23" fillId="11" borderId="0" xfId="3" applyFont="1" applyFill="1" applyAlignment="1">
      <alignment wrapText="1"/>
    </xf>
    <xf numFmtId="0" fontId="24" fillId="0" borderId="0" xfId="3" applyFont="1" applyAlignment="1">
      <alignment wrapText="1"/>
    </xf>
    <xf numFmtId="263" fontId="23" fillId="0" borderId="0" xfId="3" applyNumberFormat="1" applyFont="1" applyAlignment="1">
      <alignment wrapText="1"/>
    </xf>
    <xf numFmtId="166" fontId="23" fillId="0" borderId="0" xfId="3" applyNumberFormat="1" applyFont="1" applyAlignment="1">
      <alignment wrapText="1"/>
    </xf>
    <xf numFmtId="166" fontId="24" fillId="0" borderId="0" xfId="3" applyNumberFormat="1" applyFont="1" applyAlignment="1">
      <alignment wrapText="1"/>
    </xf>
    <xf numFmtId="167" fontId="23" fillId="0" borderId="0" xfId="3" applyNumberFormat="1" applyFont="1" applyAlignment="1">
      <alignment wrapText="1"/>
    </xf>
    <xf numFmtId="263" fontId="24" fillId="0" borderId="0" xfId="3" applyNumberFormat="1" applyFont="1" applyAlignment="1">
      <alignment wrapText="1"/>
    </xf>
    <xf numFmtId="0" fontId="18" fillId="0" borderId="0" xfId="0" applyFont="1" applyAlignment="1">
      <alignment wrapText="1"/>
    </xf>
    <xf numFmtId="174" fontId="24" fillId="0" borderId="4" xfId="1" applyNumberFormat="1" applyFont="1" applyBorder="1"/>
    <xf numFmtId="174" fontId="23" fillId="11" borderId="0" xfId="3" applyNumberFormat="1" applyFont="1" applyFill="1"/>
    <xf numFmtId="166" fontId="23" fillId="11" borderId="0" xfId="1" applyNumberFormat="1" applyFont="1" applyFill="1" applyBorder="1"/>
    <xf numFmtId="166" fontId="23" fillId="11" borderId="0" xfId="3" applyNumberFormat="1" applyFont="1" applyFill="1"/>
    <xf numFmtId="167" fontId="23" fillId="11" borderId="0" xfId="2" applyNumberFormat="1" applyFont="1" applyFill="1"/>
    <xf numFmtId="174" fontId="23" fillId="11" borderId="0" xfId="1" applyNumberFormat="1" applyFont="1" applyFill="1"/>
    <xf numFmtId="174" fontId="24" fillId="11" borderId="0" xfId="1" applyNumberFormat="1" applyFont="1" applyFill="1"/>
    <xf numFmtId="2" fontId="23" fillId="11" borderId="0" xfId="3" applyNumberFormat="1" applyFont="1" applyFill="1"/>
    <xf numFmtId="174" fontId="24" fillId="11" borderId="0" xfId="3" applyNumberFormat="1" applyFont="1" applyFill="1"/>
    <xf numFmtId="1" fontId="23" fillId="11" borderId="0" xfId="3" applyNumberFormat="1" applyFont="1" applyFill="1"/>
    <xf numFmtId="0" fontId="24" fillId="11" borderId="0" xfId="6" applyFont="1" applyFill="1"/>
    <xf numFmtId="168" fontId="24" fillId="11" borderId="0" xfId="6" applyNumberFormat="1" applyFont="1" applyFill="1"/>
    <xf numFmtId="263" fontId="18" fillId="11" borderId="0" xfId="0" applyNumberFormat="1" applyFont="1" applyFill="1"/>
    <xf numFmtId="263" fontId="19" fillId="11" borderId="0" xfId="0" applyNumberFormat="1" applyFont="1" applyFill="1"/>
    <xf numFmtId="3" fontId="23" fillId="11" borderId="0" xfId="6" applyNumberFormat="1" applyFont="1" applyFill="1"/>
    <xf numFmtId="0" fontId="22" fillId="63" borderId="0" xfId="0" applyFont="1" applyFill="1"/>
    <xf numFmtId="0" fontId="26" fillId="63" borderId="0" xfId="0" applyFont="1" applyFill="1"/>
    <xf numFmtId="0" fontId="19" fillId="11" borderId="0" xfId="0" applyFont="1" applyFill="1" applyAlignment="1">
      <alignment horizontal="center"/>
    </xf>
    <xf numFmtId="0" fontId="26" fillId="23" borderId="4" xfId="0" applyFont="1" applyFill="1" applyBorder="1" applyAlignment="1">
      <alignment horizontal="center"/>
    </xf>
    <xf numFmtId="0" fontId="26" fillId="63" borderId="4" xfId="0" applyFont="1" applyFill="1" applyBorder="1" applyAlignment="1">
      <alignment horizontal="center"/>
    </xf>
    <xf numFmtId="0" fontId="26" fillId="11" borderId="0" xfId="0" applyFont="1" applyFill="1" applyAlignment="1">
      <alignment horizontal="center"/>
    </xf>
    <xf numFmtId="0" fontId="22" fillId="23" borderId="2" xfId="0" applyFont="1" applyFill="1" applyBorder="1" applyAlignment="1">
      <alignment horizontal="center"/>
    </xf>
    <xf numFmtId="0" fontId="22" fillId="63" borderId="2" xfId="0" applyFont="1" applyFill="1" applyBorder="1" applyAlignment="1">
      <alignment horizontal="center"/>
    </xf>
    <xf numFmtId="0" fontId="161" fillId="63" borderId="4" xfId="0" applyFont="1" applyFill="1" applyBorder="1" applyAlignment="1">
      <alignment horizontal="centerContinuous"/>
    </xf>
    <xf numFmtId="0" fontId="154" fillId="63" borderId="4" xfId="0" applyFont="1" applyFill="1" applyBorder="1" applyAlignment="1">
      <alignment horizontal="centerContinuous"/>
    </xf>
    <xf numFmtId="0" fontId="22" fillId="63" borderId="4" xfId="0" applyFont="1" applyFill="1" applyBorder="1"/>
    <xf numFmtId="0" fontId="26" fillId="63" borderId="4" xfId="0" applyFont="1" applyFill="1" applyBorder="1"/>
    <xf numFmtId="0" fontId="22" fillId="63" borderId="2" xfId="0" applyFont="1" applyFill="1" applyBorder="1"/>
    <xf numFmtId="0" fontId="26" fillId="63" borderId="2" xfId="0" applyFont="1" applyFill="1" applyBorder="1"/>
    <xf numFmtId="0" fontId="20" fillId="9" borderId="0" xfId="0" applyFont="1" applyFill="1"/>
    <xf numFmtId="9" fontId="18" fillId="11" borderId="0" xfId="0" applyNumberFormat="1" applyFont="1" applyFill="1" applyAlignment="1">
      <alignment horizontal="center"/>
    </xf>
    <xf numFmtId="263" fontId="20" fillId="11" borderId="0" xfId="0" applyNumberFormat="1" applyFont="1" applyFill="1" applyAlignment="1">
      <alignment horizontal="center"/>
    </xf>
    <xf numFmtId="263" fontId="18" fillId="11" borderId="0" xfId="0" applyNumberFormat="1" applyFont="1" applyFill="1" applyAlignment="1">
      <alignment horizontal="center"/>
    </xf>
    <xf numFmtId="263" fontId="19" fillId="11" borderId="0" xfId="0" applyNumberFormat="1" applyFont="1" applyFill="1" applyAlignment="1">
      <alignment horizontal="center"/>
    </xf>
    <xf numFmtId="263" fontId="50" fillId="11" borderId="0" xfId="0" applyNumberFormat="1" applyFont="1" applyFill="1"/>
    <xf numFmtId="263" fontId="49" fillId="11" borderId="0" xfId="0" applyNumberFormat="1" applyFont="1" applyFill="1"/>
    <xf numFmtId="263" fontId="27" fillId="11" borderId="0" xfId="0" applyNumberFormat="1" applyFont="1" applyFill="1"/>
    <xf numFmtId="263" fontId="20" fillId="11" borderId="0" xfId="0" applyNumberFormat="1" applyFont="1" applyFill="1"/>
    <xf numFmtId="9" fontId="20" fillId="9" borderId="0" xfId="0" applyNumberFormat="1" applyFont="1" applyFill="1" applyAlignment="1">
      <alignment horizontal="center"/>
    </xf>
    <xf numFmtId="264" fontId="18" fillId="11" borderId="0" xfId="0" applyNumberFormat="1" applyFont="1" applyFill="1"/>
    <xf numFmtId="0" fontId="18" fillId="11" borderId="0" xfId="0" quotePrefix="1" applyFont="1" applyFill="1"/>
    <xf numFmtId="181" fontId="22" fillId="63" borderId="2" xfId="0" applyNumberFormat="1" applyFont="1" applyFill="1" applyBorder="1" applyAlignment="1">
      <alignment horizontal="center"/>
    </xf>
    <xf numFmtId="265" fontId="0" fillId="11" borderId="0" xfId="0" applyNumberFormat="1" applyFill="1"/>
    <xf numFmtId="263" fontId="18" fillId="11" borderId="4" xfId="0" applyNumberFormat="1" applyFont="1" applyFill="1" applyBorder="1"/>
    <xf numFmtId="263" fontId="20" fillId="9" borderId="0" xfId="0" applyNumberFormat="1" applyFont="1" applyFill="1"/>
    <xf numFmtId="0" fontId="23" fillId="11" borderId="0" xfId="489" applyFont="1" applyFill="1"/>
    <xf numFmtId="0" fontId="24" fillId="11" borderId="4" xfId="489" applyFont="1" applyFill="1" applyBorder="1"/>
    <xf numFmtId="9" fontId="20" fillId="11" borderId="0" xfId="0" applyNumberFormat="1" applyFont="1" applyFill="1"/>
    <xf numFmtId="0" fontId="158" fillId="63" borderId="0" xfId="0" applyFont="1" applyFill="1"/>
    <xf numFmtId="0" fontId="159" fillId="63" borderId="0" xfId="0" applyFont="1" applyFill="1"/>
    <xf numFmtId="265" fontId="159" fillId="63" borderId="0" xfId="0" applyNumberFormat="1" applyFont="1" applyFill="1"/>
    <xf numFmtId="0" fontId="159" fillId="63" borderId="4" xfId="0" applyFont="1" applyFill="1" applyBorder="1"/>
    <xf numFmtId="0" fontId="158" fillId="63" borderId="47" xfId="0" applyFont="1" applyFill="1" applyBorder="1"/>
    <xf numFmtId="0" fontId="159" fillId="63" borderId="47" xfId="0" applyFont="1" applyFill="1" applyBorder="1"/>
    <xf numFmtId="0" fontId="158" fillId="63" borderId="4" xfId="0" applyFont="1" applyFill="1" applyBorder="1"/>
    <xf numFmtId="3" fontId="155" fillId="11" borderId="0" xfId="0" applyNumberFormat="1" applyFont="1" applyFill="1"/>
    <xf numFmtId="266" fontId="158" fillId="63" borderId="47" xfId="0" applyNumberFormat="1" applyFont="1" applyFill="1" applyBorder="1"/>
    <xf numFmtId="0" fontId="162" fillId="11" borderId="0" xfId="0" quotePrefix="1" applyFont="1" applyFill="1"/>
    <xf numFmtId="0" fontId="44" fillId="11" borderId="0" xfId="0" applyFont="1" applyFill="1"/>
    <xf numFmtId="0" fontId="20" fillId="11" borderId="0" xfId="0" applyFont="1" applyFill="1"/>
    <xf numFmtId="0" fontId="23" fillId="11" borderId="0" xfId="0" applyFont="1" applyFill="1" applyAlignment="1">
      <alignment horizontal="left" indent="1"/>
    </xf>
    <xf numFmtId="168" fontId="44" fillId="11" borderId="0" xfId="0" applyNumberFormat="1" applyFont="1" applyFill="1"/>
    <xf numFmtId="9" fontId="23" fillId="9" borderId="0" xfId="0" applyNumberFormat="1" applyFont="1" applyFill="1"/>
    <xf numFmtId="9" fontId="44" fillId="0" borderId="0" xfId="0" applyNumberFormat="1" applyFont="1"/>
    <xf numFmtId="168" fontId="24" fillId="11" borderId="0" xfId="0" applyNumberFormat="1" applyFont="1" applyFill="1"/>
    <xf numFmtId="263" fontId="18" fillId="9" borderId="0" xfId="0" applyNumberFormat="1" applyFont="1" applyFill="1"/>
    <xf numFmtId="0" fontId="19" fillId="11" borderId="18" xfId="0" applyFont="1" applyFill="1" applyBorder="1"/>
    <xf numFmtId="263" fontId="19" fillId="11" borderId="18" xfId="0" applyNumberFormat="1" applyFont="1" applyFill="1" applyBorder="1"/>
    <xf numFmtId="263" fontId="19" fillId="11" borderId="4" xfId="0" applyNumberFormat="1" applyFont="1" applyFill="1" applyBorder="1"/>
    <xf numFmtId="267" fontId="18" fillId="11" borderId="0" xfId="0" applyNumberFormat="1" applyFont="1" applyFill="1"/>
    <xf numFmtId="167" fontId="18" fillId="13" borderId="0" xfId="2" applyNumberFormat="1" applyFont="1" applyFill="1"/>
    <xf numFmtId="9" fontId="18" fillId="11" borderId="0" xfId="0" applyNumberFormat="1" applyFont="1" applyFill="1" applyAlignment="1">
      <alignment horizontal="right"/>
    </xf>
    <xf numFmtId="9" fontId="20" fillId="9" borderId="0" xfId="0" applyNumberFormat="1" applyFont="1" applyFill="1" applyAlignment="1">
      <alignment horizontal="right"/>
    </xf>
    <xf numFmtId="9" fontId="20" fillId="11" borderId="0" xfId="0" applyNumberFormat="1" applyFont="1" applyFill="1" applyAlignment="1">
      <alignment horizontal="right"/>
    </xf>
    <xf numFmtId="263" fontId="18" fillId="13" borderId="0" xfId="0" applyNumberFormat="1" applyFont="1" applyFill="1"/>
    <xf numFmtId="263" fontId="20" fillId="9" borderId="0" xfId="0" applyNumberFormat="1" applyFont="1" applyFill="1" applyAlignment="1">
      <alignment horizontal="center"/>
    </xf>
    <xf numFmtId="268" fontId="18" fillId="11" borderId="0" xfId="0" applyNumberFormat="1" applyFont="1" applyFill="1"/>
    <xf numFmtId="267" fontId="20" fillId="11" borderId="0" xfId="0" applyNumberFormat="1" applyFont="1" applyFill="1"/>
    <xf numFmtId="2" fontId="18" fillId="11" borderId="0" xfId="0" applyNumberFormat="1" applyFont="1" applyFill="1"/>
    <xf numFmtId="0" fontId="19" fillId="11" borderId="1" xfId="0" quotePrefix="1" applyFont="1" applyFill="1" applyBorder="1" applyAlignment="1">
      <alignment horizontal="right"/>
    </xf>
    <xf numFmtId="264" fontId="18" fillId="11" borderId="4" xfId="0" applyNumberFormat="1" applyFont="1" applyFill="1" applyBorder="1"/>
    <xf numFmtId="181" fontId="19" fillId="11" borderId="0" xfId="0" applyNumberFormat="1" applyFont="1" applyFill="1"/>
    <xf numFmtId="168" fontId="0" fillId="9" borderId="4" xfId="0" applyNumberFormat="1" applyFill="1" applyBorder="1"/>
    <xf numFmtId="0" fontId="23" fillId="11" borderId="0" xfId="6" applyFont="1" applyFill="1" applyAlignment="1">
      <alignment horizontal="left" indent="1"/>
    </xf>
    <xf numFmtId="263" fontId="23" fillId="11" borderId="0" xfId="0" applyNumberFormat="1" applyFont="1" applyFill="1"/>
    <xf numFmtId="167" fontId="23" fillId="11" borderId="0" xfId="0" applyNumberFormat="1" applyFont="1" applyFill="1"/>
    <xf numFmtId="168" fontId="18" fillId="11" borderId="0" xfId="0" applyNumberFormat="1" applyFont="1" applyFill="1"/>
    <xf numFmtId="264" fontId="20" fillId="11" borderId="0" xfId="0" applyNumberFormat="1" applyFont="1" applyFill="1"/>
    <xf numFmtId="263" fontId="163" fillId="11" borderId="0" xfId="0" applyNumberFormat="1" applyFont="1" applyFill="1"/>
    <xf numFmtId="0" fontId="22" fillId="63" borderId="1" xfId="0" applyFont="1" applyFill="1" applyBorder="1"/>
    <xf numFmtId="181" fontId="22" fillId="63" borderId="1" xfId="0" applyNumberFormat="1" applyFont="1" applyFill="1" applyBorder="1"/>
    <xf numFmtId="263" fontId="19" fillId="13" borderId="18" xfId="0" applyNumberFormat="1" applyFont="1" applyFill="1" applyBorder="1"/>
    <xf numFmtId="0" fontId="19" fillId="11" borderId="47" xfId="0" applyFont="1" applyFill="1" applyBorder="1" applyAlignment="1">
      <alignment horizontal="right"/>
    </xf>
    <xf numFmtId="0" fontId="18" fillId="11" borderId="0" xfId="0" applyFont="1" applyFill="1" applyAlignment="1">
      <alignment horizontal="left" indent="1"/>
    </xf>
    <xf numFmtId="0" fontId="22" fillId="65" borderId="4" xfId="0" applyFont="1" applyFill="1" applyBorder="1"/>
    <xf numFmtId="0" fontId="14" fillId="66" borderId="0" xfId="0" applyFont="1" applyFill="1"/>
    <xf numFmtId="0" fontId="0" fillId="66" borderId="0" xfId="0" applyFill="1"/>
    <xf numFmtId="264" fontId="19" fillId="66" borderId="0" xfId="0" applyNumberFormat="1" applyFont="1" applyFill="1"/>
    <xf numFmtId="264" fontId="19" fillId="0" borderId="0" xfId="0" applyNumberFormat="1" applyFont="1"/>
    <xf numFmtId="0" fontId="164" fillId="66" borderId="0" xfId="0" applyFont="1" applyFill="1" applyAlignment="1">
      <alignment horizontal="left" indent="1"/>
    </xf>
    <xf numFmtId="167" fontId="164" fillId="66" borderId="0" xfId="2" applyNumberFormat="1" applyFont="1" applyFill="1"/>
    <xf numFmtId="264" fontId="18" fillId="0" borderId="0" xfId="0" applyNumberFormat="1" applyFont="1"/>
    <xf numFmtId="0" fontId="164" fillId="0" borderId="0" xfId="0" applyFont="1" applyAlignment="1">
      <alignment horizontal="left" indent="1"/>
    </xf>
    <xf numFmtId="167" fontId="164" fillId="0" borderId="0" xfId="2" applyNumberFormat="1" applyFont="1"/>
    <xf numFmtId="264" fontId="18" fillId="66" borderId="0" xfId="0" applyNumberFormat="1" applyFont="1" applyFill="1"/>
    <xf numFmtId="0" fontId="18" fillId="66" borderId="0" xfId="0" applyFont="1" applyFill="1"/>
    <xf numFmtId="0" fontId="19" fillId="66" borderId="0" xfId="0" applyFont="1" applyFill="1"/>
    <xf numFmtId="0" fontId="18" fillId="0" borderId="48" xfId="0" applyFont="1" applyBorder="1"/>
    <xf numFmtId="267" fontId="18" fillId="0" borderId="48" xfId="0" applyNumberFormat="1" applyFont="1" applyBorder="1"/>
    <xf numFmtId="0" fontId="22" fillId="65" borderId="2" xfId="0" applyFont="1" applyFill="1" applyBorder="1"/>
    <xf numFmtId="0" fontId="22" fillId="65" borderId="49" xfId="0" applyFont="1" applyFill="1" applyBorder="1"/>
    <xf numFmtId="0" fontId="22" fillId="65" borderId="50" xfId="0" applyFont="1" applyFill="1" applyBorder="1"/>
    <xf numFmtId="0" fontId="0" fillId="11" borderId="51" xfId="0" applyFill="1" applyBorder="1"/>
    <xf numFmtId="264" fontId="19" fillId="66" borderId="51" xfId="0" applyNumberFormat="1" applyFont="1" applyFill="1" applyBorder="1"/>
    <xf numFmtId="264" fontId="19" fillId="0" borderId="51" xfId="0" applyNumberFormat="1" applyFont="1" applyBorder="1"/>
    <xf numFmtId="167" fontId="164" fillId="66" borderId="51" xfId="2" applyNumberFormat="1" applyFont="1" applyFill="1" applyBorder="1"/>
    <xf numFmtId="264" fontId="18" fillId="0" borderId="51" xfId="0" applyNumberFormat="1" applyFont="1" applyBorder="1"/>
    <xf numFmtId="167" fontId="164" fillId="0" borderId="51" xfId="2" applyNumberFormat="1" applyFont="1" applyBorder="1"/>
    <xf numFmtId="264" fontId="18" fillId="66" borderId="51" xfId="0" applyNumberFormat="1" applyFont="1" applyFill="1" applyBorder="1"/>
    <xf numFmtId="0" fontId="0" fillId="0" borderId="51" xfId="0" applyBorder="1"/>
    <xf numFmtId="267" fontId="18" fillId="0" borderId="52" xfId="0" applyNumberFormat="1" applyFont="1" applyBorder="1"/>
    <xf numFmtId="264" fontId="0" fillId="11" borderId="0" xfId="0" applyNumberFormat="1" applyFill="1"/>
    <xf numFmtId="264" fontId="14" fillId="11" borderId="4" xfId="0" applyNumberFormat="1" applyFont="1" applyFill="1" applyBorder="1"/>
    <xf numFmtId="3" fontId="155" fillId="9" borderId="0" xfId="0" applyNumberFormat="1" applyFont="1" applyFill="1"/>
    <xf numFmtId="0" fontId="2" fillId="11" borderId="0" xfId="516" applyFont="1" applyFill="1" applyAlignment="1">
      <alignment vertical="center"/>
    </xf>
    <xf numFmtId="0" fontId="51" fillId="11" borderId="0" xfId="3" applyFont="1" applyFill="1"/>
    <xf numFmtId="3" fontId="51" fillId="0" borderId="0" xfId="3" applyNumberFormat="1" applyFont="1"/>
    <xf numFmtId="1" fontId="163" fillId="0" borderId="0" xfId="2" applyNumberFormat="1" applyFont="1" applyFill="1" applyAlignment="1">
      <alignment horizontal="right"/>
    </xf>
    <xf numFmtId="1" fontId="163" fillId="0" borderId="0" xfId="2" applyNumberFormat="1" applyFont="1" applyFill="1" applyAlignment="1">
      <alignment horizontal="left"/>
    </xf>
    <xf numFmtId="0" fontId="51" fillId="0" borderId="0" xfId="3" applyFont="1"/>
    <xf numFmtId="1" fontId="51" fillId="0" borderId="0" xfId="2" applyNumberFormat="1" applyFont="1" applyFill="1" applyAlignment="1">
      <alignment horizontal="right"/>
    </xf>
    <xf numFmtId="1" fontId="51" fillId="0" borderId="0" xfId="3" applyNumberFormat="1" applyFont="1"/>
    <xf numFmtId="164" fontId="51" fillId="0" borderId="0" xfId="1" applyNumberFormat="1" applyFont="1"/>
    <xf numFmtId="1" fontId="20" fillId="10" borderId="0" xfId="2" applyNumberFormat="1" applyFont="1" applyFill="1"/>
    <xf numFmtId="263" fontId="20" fillId="10" borderId="0" xfId="2" applyNumberFormat="1" applyFont="1" applyFill="1"/>
    <xf numFmtId="0" fontId="14" fillId="11" borderId="4" xfId="0" applyFont="1" applyFill="1" applyBorder="1" applyAlignment="1">
      <alignment wrapText="1"/>
    </xf>
    <xf numFmtId="3" fontId="14" fillId="11" borderId="4" xfId="0" applyNumberFormat="1" applyFont="1" applyFill="1" applyBorder="1"/>
    <xf numFmtId="3" fontId="14" fillId="11" borderId="0" xfId="0" applyNumberFormat="1" applyFont="1" applyFill="1"/>
    <xf numFmtId="3" fontId="14" fillId="11" borderId="18" xfId="0" applyNumberFormat="1" applyFont="1" applyFill="1" applyBorder="1"/>
    <xf numFmtId="0" fontId="0" fillId="11" borderId="18" xfId="0" applyFill="1" applyBorder="1"/>
    <xf numFmtId="165" fontId="20" fillId="0" borderId="0" xfId="1" applyNumberFormat="1" applyFont="1"/>
    <xf numFmtId="167" fontId="20" fillId="11" borderId="0" xfId="0" applyNumberFormat="1" applyFont="1" applyFill="1"/>
    <xf numFmtId="0" fontId="24" fillId="11" borderId="18" xfId="6" applyFont="1" applyFill="1" applyBorder="1"/>
    <xf numFmtId="168" fontId="24" fillId="11" borderId="4" xfId="6" applyNumberFormat="1" applyFont="1" applyFill="1" applyBorder="1"/>
    <xf numFmtId="181" fontId="19" fillId="13" borderId="0" xfId="0" applyNumberFormat="1" applyFont="1" applyFill="1"/>
    <xf numFmtId="263" fontId="14" fillId="11" borderId="0" xfId="0" applyNumberFormat="1" applyFont="1" applyFill="1"/>
    <xf numFmtId="0" fontId="14" fillId="13" borderId="0" xfId="0" applyFont="1" applyFill="1" applyAlignment="1">
      <alignment horizontal="centerContinuous"/>
    </xf>
    <xf numFmtId="263" fontId="0" fillId="11" borderId="0" xfId="0" applyNumberFormat="1" applyFill="1"/>
    <xf numFmtId="0" fontId="19" fillId="11" borderId="47" xfId="0" applyFont="1" applyFill="1" applyBorder="1"/>
    <xf numFmtId="263" fontId="23" fillId="3" borderId="0" xfId="3" applyNumberFormat="1" applyFont="1" applyFill="1"/>
    <xf numFmtId="263" fontId="23" fillId="0" borderId="2" xfId="3" applyNumberFormat="1" applyFont="1" applyBorder="1"/>
    <xf numFmtId="263" fontId="24" fillId="0" borderId="4" xfId="2" applyNumberFormat="1" applyFont="1" applyBorder="1"/>
    <xf numFmtId="17" fontId="24" fillId="0" borderId="0" xfId="3" applyNumberFormat="1" applyFont="1"/>
    <xf numFmtId="263" fontId="24" fillId="0" borderId="1" xfId="2" applyNumberFormat="1" applyFont="1" applyBorder="1"/>
    <xf numFmtId="0" fontId="20" fillId="11" borderId="0" xfId="0" applyFont="1" applyFill="1" applyAlignment="1">
      <alignment horizontal="center"/>
    </xf>
    <xf numFmtId="17" fontId="24" fillId="11" borderId="0" xfId="0" applyNumberFormat="1" applyFont="1" applyFill="1"/>
    <xf numFmtId="168" fontId="23" fillId="11" borderId="0" xfId="0" applyNumberFormat="1" applyFont="1" applyFill="1" applyAlignment="1">
      <alignment horizontal="center"/>
    </xf>
    <xf numFmtId="0" fontId="24" fillId="11" borderId="4" xfId="0" applyFont="1" applyFill="1" applyBorder="1"/>
    <xf numFmtId="0" fontId="4" fillId="0" borderId="1" xfId="517" applyFont="1" applyBorder="1"/>
    <xf numFmtId="0" fontId="4" fillId="0" borderId="1" xfId="29" applyFont="1" applyBorder="1" applyAlignment="1">
      <alignment vertical="center"/>
    </xf>
    <xf numFmtId="0" fontId="3" fillId="0" borderId="0" xfId="517" applyFont="1"/>
    <xf numFmtId="166" fontId="3" fillId="67" borderId="0" xfId="116" applyNumberFormat="1" applyFont="1" applyFill="1" applyAlignment="1"/>
    <xf numFmtId="0" fontId="4" fillId="0" borderId="4" xfId="517" applyFont="1" applyBorder="1"/>
    <xf numFmtId="166" fontId="3" fillId="67" borderId="4" xfId="116" applyNumberFormat="1" applyFont="1" applyFill="1" applyBorder="1" applyAlignment="1"/>
    <xf numFmtId="166" fontId="3" fillId="67" borderId="0" xfId="116" applyNumberFormat="1" applyFont="1" applyFill="1" applyBorder="1" applyAlignment="1"/>
    <xf numFmtId="0" fontId="3" fillId="0" borderId="2" xfId="517" applyFont="1" applyBorder="1"/>
    <xf numFmtId="166" fontId="3" fillId="67" borderId="2" xfId="116" applyNumberFormat="1" applyFont="1" applyFill="1" applyBorder="1" applyAlignment="1"/>
    <xf numFmtId="0" fontId="4" fillId="0" borderId="0" xfId="517" applyFont="1"/>
    <xf numFmtId="166" fontId="3" fillId="67" borderId="1" xfId="116" applyNumberFormat="1" applyFont="1" applyFill="1" applyBorder="1" applyAlignment="1"/>
    <xf numFmtId="0" fontId="0" fillId="0" borderId="0" xfId="494" applyFont="1"/>
    <xf numFmtId="0" fontId="3" fillId="11" borderId="0" xfId="9" applyFont="1" applyFill="1"/>
    <xf numFmtId="0" fontId="3" fillId="11" borderId="0" xfId="9" applyFont="1" applyFill="1" applyAlignment="1">
      <alignment horizontal="right"/>
    </xf>
    <xf numFmtId="166" fontId="3" fillId="11" borderId="0" xfId="10" applyNumberFormat="1" applyFont="1" applyFill="1" applyAlignment="1">
      <alignment horizontal="right"/>
    </xf>
    <xf numFmtId="1" fontId="3" fillId="67" borderId="0" xfId="116" applyNumberFormat="1" applyFont="1" applyFill="1" applyAlignment="1"/>
    <xf numFmtId="1" fontId="3" fillId="67" borderId="4" xfId="116" applyNumberFormat="1" applyFont="1" applyFill="1" applyBorder="1" applyAlignment="1"/>
    <xf numFmtId="1" fontId="3" fillId="67" borderId="0" xfId="116" applyNumberFormat="1" applyFont="1" applyFill="1" applyBorder="1" applyAlignment="1"/>
    <xf numFmtId="1" fontId="3" fillId="67" borderId="2" xfId="116" applyNumberFormat="1" applyFont="1" applyFill="1" applyBorder="1" applyAlignment="1"/>
    <xf numFmtId="1" fontId="3" fillId="67" borderId="1" xfId="116" applyNumberFormat="1" applyFont="1" applyFill="1" applyBorder="1" applyAlignment="1"/>
    <xf numFmtId="167" fontId="14" fillId="11" borderId="0" xfId="0" applyNumberFormat="1" applyFont="1" applyFill="1"/>
    <xf numFmtId="168" fontId="155" fillId="11" borderId="0" xfId="0" applyNumberFormat="1" applyFont="1" applyFill="1"/>
    <xf numFmtId="3" fontId="37" fillId="16" borderId="0" xfId="0" applyNumberFormat="1" applyFont="1" applyFill="1" applyAlignment="1">
      <alignment horizontal="center"/>
    </xf>
    <xf numFmtId="3" fontId="38" fillId="16" borderId="0" xfId="0" applyNumberFormat="1" applyFont="1" applyFill="1" applyAlignment="1">
      <alignment horizontal="center"/>
    </xf>
    <xf numFmtId="9" fontId="0" fillId="11" borderId="0" xfId="2" applyFont="1" applyFill="1"/>
    <xf numFmtId="0" fontId="0" fillId="11" borderId="1" xfId="0" applyFill="1" applyBorder="1" applyAlignment="1">
      <alignment horizontal="center"/>
    </xf>
    <xf numFmtId="167" fontId="14" fillId="11" borderId="0" xfId="2" applyNumberFormat="1" applyFont="1" applyFill="1" applyAlignment="1">
      <alignment horizontal="center"/>
    </xf>
    <xf numFmtId="0" fontId="0" fillId="11" borderId="0" xfId="0" applyFill="1" applyAlignment="1">
      <alignment horizontal="center"/>
    </xf>
    <xf numFmtId="0" fontId="26" fillId="63" borderId="1" xfId="0" applyFont="1" applyFill="1" applyBorder="1"/>
    <xf numFmtId="263" fontId="26" fillId="63" borderId="1" xfId="0" applyNumberFormat="1" applyFont="1" applyFill="1" applyBorder="1"/>
    <xf numFmtId="181" fontId="22" fillId="63" borderId="1" xfId="0" applyNumberFormat="1" applyFont="1" applyFill="1" applyBorder="1" applyAlignment="1">
      <alignment horizontal="center"/>
    </xf>
    <xf numFmtId="0" fontId="14" fillId="0" borderId="18" xfId="0" applyFont="1" applyBorder="1"/>
    <xf numFmtId="264" fontId="19" fillId="0" borderId="18" xfId="0" applyNumberFormat="1" applyFont="1" applyBorder="1"/>
    <xf numFmtId="264" fontId="19" fillId="0" borderId="53" xfId="0" applyNumberFormat="1" applyFont="1" applyBorder="1"/>
    <xf numFmtId="0" fontId="14" fillId="66" borderId="4" xfId="0" applyFont="1" applyFill="1" applyBorder="1"/>
    <xf numFmtId="264" fontId="19" fillId="66" borderId="4" xfId="0" applyNumberFormat="1" applyFont="1" applyFill="1" applyBorder="1"/>
    <xf numFmtId="264" fontId="19" fillId="66" borderId="54" xfId="0" applyNumberFormat="1" applyFont="1" applyFill="1" applyBorder="1"/>
    <xf numFmtId="264" fontId="19" fillId="0" borderId="4" xfId="0" applyNumberFormat="1" applyFont="1" applyBorder="1"/>
    <xf numFmtId="264" fontId="19" fillId="0" borderId="54" xfId="0" applyNumberFormat="1" applyFont="1" applyBorder="1"/>
    <xf numFmtId="182" fontId="23" fillId="0" borderId="0" xfId="2" applyNumberFormat="1" applyFont="1" applyFill="1" applyBorder="1"/>
    <xf numFmtId="0" fontId="24" fillId="11" borderId="0" xfId="489" applyFont="1" applyFill="1"/>
    <xf numFmtId="0" fontId="23" fillId="11" borderId="2" xfId="489" applyFont="1" applyFill="1" applyBorder="1"/>
    <xf numFmtId="0" fontId="18" fillId="13" borderId="4" xfId="0" applyFont="1" applyFill="1" applyBorder="1"/>
    <xf numFmtId="263" fontId="19" fillId="13" borderId="4" xfId="0" applyNumberFormat="1" applyFont="1" applyFill="1" applyBorder="1"/>
    <xf numFmtId="0" fontId="19" fillId="9" borderId="0" xfId="0" applyFont="1" applyFill="1"/>
    <xf numFmtId="0" fontId="18" fillId="9" borderId="0" xfId="0" applyFont="1" applyFill="1"/>
    <xf numFmtId="0" fontId="19" fillId="11" borderId="14" xfId="0" applyFont="1" applyFill="1" applyBorder="1"/>
    <xf numFmtId="263" fontId="18" fillId="12" borderId="0" xfId="0" applyNumberFormat="1" applyFont="1" applyFill="1"/>
    <xf numFmtId="263" fontId="18" fillId="12" borderId="10" xfId="0" applyNumberFormat="1" applyFont="1" applyFill="1" applyBorder="1"/>
    <xf numFmtId="263" fontId="18" fillId="12" borderId="2" xfId="0" applyNumberFormat="1" applyFont="1" applyFill="1" applyBorder="1"/>
    <xf numFmtId="263" fontId="18" fillId="12" borderId="13" xfId="0" applyNumberFormat="1" applyFont="1" applyFill="1" applyBorder="1"/>
    <xf numFmtId="263" fontId="51" fillId="11" borderId="0" xfId="0" applyNumberFormat="1" applyFont="1" applyFill="1"/>
    <xf numFmtId="267" fontId="23" fillId="11" borderId="0" xfId="0" applyNumberFormat="1" applyFont="1" applyFill="1"/>
    <xf numFmtId="263" fontId="49" fillId="9" borderId="0" xfId="0" applyNumberFormat="1" applyFont="1" applyFill="1"/>
    <xf numFmtId="178" fontId="23" fillId="11" borderId="0" xfId="3" applyNumberFormat="1" applyFont="1" applyFill="1"/>
    <xf numFmtId="0" fontId="22" fillId="63" borderId="1" xfId="0" applyFont="1" applyFill="1" applyBorder="1" applyAlignment="1">
      <alignment horizontal="center"/>
    </xf>
    <xf numFmtId="0" fontId="22" fillId="23" borderId="1" xfId="0" applyFont="1" applyFill="1" applyBorder="1" applyAlignment="1">
      <alignment horizontal="center"/>
    </xf>
    <xf numFmtId="263" fontId="19" fillId="9" borderId="0" xfId="0" applyNumberFormat="1" applyFont="1" applyFill="1"/>
    <xf numFmtId="263" fontId="21" fillId="11" borderId="0" xfId="0" applyNumberFormat="1" applyFont="1" applyFill="1"/>
    <xf numFmtId="167" fontId="21" fillId="11" borderId="0" xfId="2" applyNumberFormat="1" applyFont="1" applyFill="1"/>
    <xf numFmtId="0" fontId="28" fillId="11" borderId="0" xfId="0" applyFont="1" applyFill="1"/>
    <xf numFmtId="167" fontId="0" fillId="11" borderId="4" xfId="0" applyNumberFormat="1" applyFill="1" applyBorder="1"/>
    <xf numFmtId="0" fontId="14" fillId="11" borderId="0" xfId="0" applyFont="1" applyFill="1" applyAlignment="1">
      <alignment horizontal="center"/>
    </xf>
    <xf numFmtId="3" fontId="0" fillId="11" borderId="0" xfId="0" applyNumberFormat="1" applyFill="1" applyAlignment="1">
      <alignment horizontal="center"/>
    </xf>
    <xf numFmtId="3" fontId="0" fillId="3" borderId="0" xfId="0" applyNumberFormat="1" applyFill="1" applyAlignment="1">
      <alignment horizontal="center"/>
    </xf>
    <xf numFmtId="3" fontId="14" fillId="11" borderId="4" xfId="0" applyNumberFormat="1" applyFont="1" applyFill="1" applyBorder="1" applyAlignment="1">
      <alignment horizontal="center"/>
    </xf>
    <xf numFmtId="0" fontId="14" fillId="11" borderId="1" xfId="0" applyFont="1" applyFill="1" applyBorder="1" applyAlignment="1">
      <alignment horizontal="center"/>
    </xf>
    <xf numFmtId="3" fontId="14" fillId="11" borderId="18" xfId="0" applyNumberFormat="1" applyFont="1" applyFill="1" applyBorder="1" applyAlignment="1">
      <alignment horizontal="center"/>
    </xf>
    <xf numFmtId="3" fontId="0" fillId="9" borderId="0" xfId="0" applyNumberFormat="1" applyFill="1"/>
    <xf numFmtId="3" fontId="155" fillId="11" borderId="0" xfId="0" applyNumberFormat="1" applyFont="1" applyFill="1" applyAlignment="1">
      <alignment horizontal="center"/>
    </xf>
    <xf numFmtId="3" fontId="165" fillId="11" borderId="0" xfId="0" applyNumberFormat="1" applyFont="1" applyFill="1" applyAlignment="1">
      <alignment horizontal="center"/>
    </xf>
    <xf numFmtId="0" fontId="19" fillId="11" borderId="2" xfId="0" applyFont="1" applyFill="1" applyBorder="1"/>
    <xf numFmtId="263" fontId="19" fillId="11" borderId="2" xfId="0" applyNumberFormat="1" applyFont="1" applyFill="1" applyBorder="1"/>
    <xf numFmtId="3" fontId="0" fillId="11" borderId="0" xfId="2" applyNumberFormat="1" applyFont="1" applyFill="1"/>
    <xf numFmtId="0" fontId="14" fillId="11" borderId="2" xfId="0" applyFont="1" applyFill="1" applyBorder="1"/>
    <xf numFmtId="0" fontId="0" fillId="11" borderId="1" xfId="0" applyFill="1" applyBorder="1" applyAlignment="1">
      <alignment horizontal="right"/>
    </xf>
    <xf numFmtId="0" fontId="0" fillId="11" borderId="2" xfId="0" applyFill="1" applyBorder="1" applyAlignment="1">
      <alignment horizontal="center"/>
    </xf>
    <xf numFmtId="167" fontId="0" fillId="11" borderId="0" xfId="2" applyNumberFormat="1" applyFont="1" applyFill="1" applyAlignment="1">
      <alignment horizontal="center"/>
    </xf>
    <xf numFmtId="3" fontId="40" fillId="11" borderId="0" xfId="0" applyNumberFormat="1" applyFont="1" applyFill="1" applyAlignment="1">
      <alignment horizontal="center"/>
    </xf>
    <xf numFmtId="0" fontId="14" fillId="11" borderId="4" xfId="0" applyFont="1" applyFill="1" applyBorder="1" applyAlignment="1">
      <alignment horizontal="center"/>
    </xf>
    <xf numFmtId="3" fontId="14" fillId="13" borderId="0" xfId="0" applyNumberFormat="1" applyFont="1" applyFill="1" applyAlignment="1">
      <alignment horizontal="center"/>
    </xf>
    <xf numFmtId="3" fontId="155" fillId="13" borderId="0" xfId="0" applyNumberFormat="1" applyFont="1" applyFill="1" applyAlignment="1">
      <alignment horizontal="center"/>
    </xf>
    <xf numFmtId="3" fontId="40" fillId="13" borderId="0" xfId="0" applyNumberFormat="1" applyFont="1" applyFill="1" applyAlignment="1">
      <alignment horizontal="center"/>
    </xf>
    <xf numFmtId="167" fontId="40" fillId="11" borderId="0" xfId="2" applyNumberFormat="1" applyFont="1" applyFill="1" applyAlignment="1">
      <alignment horizontal="center"/>
    </xf>
    <xf numFmtId="4" fontId="0" fillId="9" borderId="0" xfId="0" applyNumberFormat="1" applyFill="1"/>
    <xf numFmtId="3" fontId="40" fillId="11" borderId="0" xfId="0" applyNumberFormat="1" applyFont="1" applyFill="1"/>
    <xf numFmtId="3" fontId="40" fillId="11" borderId="4" xfId="0" applyNumberFormat="1" applyFont="1" applyFill="1" applyBorder="1"/>
    <xf numFmtId="0" fontId="14" fillId="11" borderId="2" xfId="0" applyFont="1" applyFill="1" applyBorder="1" applyAlignment="1">
      <alignment horizontal="right"/>
    </xf>
    <xf numFmtId="0" fontId="38" fillId="13" borderId="0" xfId="0" applyFont="1" applyFill="1"/>
    <xf numFmtId="167" fontId="38" fillId="13" borderId="0" xfId="17" applyNumberFormat="1" applyFont="1" applyFill="1"/>
    <xf numFmtId="167" fontId="38" fillId="13" borderId="0" xfId="0" applyNumberFormat="1" applyFont="1" applyFill="1"/>
    <xf numFmtId="0" fontId="0" fillId="13" borderId="0" xfId="0" applyFill="1" applyAlignment="1">
      <alignment wrapText="1"/>
    </xf>
    <xf numFmtId="167" fontId="0" fillId="13" borderId="0" xfId="0" applyNumberFormat="1" applyFill="1"/>
    <xf numFmtId="3" fontId="14" fillId="11" borderId="0" xfId="0" applyNumberFormat="1" applyFont="1" applyFill="1" applyAlignment="1">
      <alignment horizontal="center"/>
    </xf>
    <xf numFmtId="167" fontId="14" fillId="11" borderId="0" xfId="2" applyNumberFormat="1" applyFont="1" applyFill="1" applyBorder="1" applyAlignment="1">
      <alignment horizontal="center"/>
    </xf>
    <xf numFmtId="0" fontId="19" fillId="13" borderId="4" xfId="0" applyFont="1" applyFill="1" applyBorder="1"/>
    <xf numFmtId="0" fontId="158" fillId="63" borderId="4" xfId="0" applyFont="1" applyFill="1" applyBorder="1" applyAlignment="1">
      <alignment horizontal="center"/>
    </xf>
    <xf numFmtId="0" fontId="159" fillId="63" borderId="4" xfId="0" applyFont="1" applyFill="1" applyBorder="1" applyAlignment="1">
      <alignment horizontal="center"/>
    </xf>
    <xf numFmtId="0" fontId="158" fillId="63" borderId="0" xfId="0" applyFont="1" applyFill="1" applyAlignment="1">
      <alignment horizontal="center"/>
    </xf>
    <xf numFmtId="0" fontId="158" fillId="63" borderId="2" xfId="0" applyFont="1" applyFill="1" applyBorder="1" applyAlignment="1">
      <alignment horizontal="center"/>
    </xf>
    <xf numFmtId="0" fontId="155" fillId="11" borderId="0" xfId="0" applyFont="1" applyFill="1" applyAlignment="1">
      <alignment horizontal="center"/>
    </xf>
    <xf numFmtId="0" fontId="18" fillId="9" borderId="0" xfId="0" applyFont="1" applyFill="1" applyAlignment="1">
      <alignment horizontal="center"/>
    </xf>
    <xf numFmtId="0" fontId="162" fillId="11" borderId="0" xfId="0" applyFont="1" applyFill="1" applyAlignment="1">
      <alignment horizontal="right"/>
    </xf>
    <xf numFmtId="0" fontId="19" fillId="11" borderId="0" xfId="0" applyFont="1" applyFill="1" applyAlignment="1">
      <alignment horizontal="right"/>
    </xf>
    <xf numFmtId="263" fontId="49" fillId="11" borderId="4" xfId="0" applyNumberFormat="1" applyFont="1" applyFill="1" applyBorder="1"/>
    <xf numFmtId="0" fontId="19" fillId="13" borderId="0" xfId="0" quotePrefix="1" applyFont="1" applyFill="1"/>
    <xf numFmtId="263" fontId="19" fillId="13" borderId="16" xfId="0" applyNumberFormat="1" applyFont="1" applyFill="1" applyBorder="1"/>
    <xf numFmtId="263" fontId="24" fillId="0" borderId="4" xfId="1" applyNumberFormat="1" applyFont="1" applyFill="1" applyBorder="1"/>
    <xf numFmtId="263" fontId="24" fillId="10" borderId="18" xfId="2" applyNumberFormat="1" applyFont="1" applyFill="1" applyBorder="1"/>
    <xf numFmtId="0" fontId="28" fillId="11" borderId="0" xfId="0" applyFont="1" applyFill="1" applyAlignment="1">
      <alignment horizontal="left" indent="1"/>
    </xf>
    <xf numFmtId="0" fontId="21" fillId="11" borderId="0" xfId="0" applyFont="1" applyFill="1" applyAlignment="1">
      <alignment horizontal="left" indent="1"/>
    </xf>
    <xf numFmtId="0" fontId="28" fillId="11" borderId="4" xfId="0" applyFont="1" applyFill="1" applyBorder="1" applyAlignment="1">
      <alignment horizontal="left" indent="1"/>
    </xf>
    <xf numFmtId="0" fontId="21" fillId="11" borderId="4" xfId="0" applyFont="1" applyFill="1" applyBorder="1"/>
    <xf numFmtId="0" fontId="28" fillId="11" borderId="4" xfId="0" applyFont="1" applyFill="1" applyBorder="1"/>
    <xf numFmtId="263" fontId="28" fillId="11" borderId="0" xfId="0" applyNumberFormat="1" applyFont="1" applyFill="1"/>
    <xf numFmtId="267" fontId="20" fillId="9" borderId="0" xfId="0" applyNumberFormat="1" applyFont="1" applyFill="1"/>
    <xf numFmtId="167" fontId="19" fillId="11" borderId="0" xfId="2" applyNumberFormat="1" applyFont="1" applyFill="1"/>
    <xf numFmtId="10" fontId="27" fillId="11" borderId="0" xfId="0" applyNumberFormat="1" applyFont="1" applyFill="1"/>
    <xf numFmtId="10" fontId="29" fillId="9" borderId="0" xfId="0" applyNumberFormat="1" applyFont="1" applyFill="1"/>
    <xf numFmtId="264" fontId="49" fillId="11" borderId="0" xfId="0" applyNumberFormat="1" applyFont="1" applyFill="1"/>
    <xf numFmtId="264" fontId="19" fillId="11" borderId="4" xfId="0" applyNumberFormat="1" applyFont="1" applyFill="1" applyBorder="1"/>
    <xf numFmtId="263" fontId="24" fillId="11" borderId="4" xfId="0" applyNumberFormat="1" applyFont="1" applyFill="1" applyBorder="1"/>
    <xf numFmtId="167" fontId="21" fillId="11" borderId="4" xfId="0" applyNumberFormat="1" applyFont="1" applyFill="1" applyBorder="1"/>
    <xf numFmtId="0" fontId="22" fillId="23" borderId="0" xfId="23" applyFont="1" applyFill="1"/>
    <xf numFmtId="0" fontId="26" fillId="23" borderId="0" xfId="23" applyFont="1" applyFill="1" applyAlignment="1">
      <alignment vertical="center"/>
    </xf>
    <xf numFmtId="0" fontId="22" fillId="11" borderId="0" xfId="23" applyFont="1" applyFill="1" applyAlignment="1">
      <alignment vertical="center"/>
    </xf>
    <xf numFmtId="0" fontId="24" fillId="22" borderId="0" xfId="23" applyFont="1" applyFill="1" applyAlignment="1">
      <alignment vertical="center"/>
    </xf>
    <xf numFmtId="0" fontId="23" fillId="11" borderId="0" xfId="23" applyFont="1" applyFill="1" applyAlignment="1">
      <alignment vertical="center"/>
    </xf>
    <xf numFmtId="0" fontId="23" fillId="11" borderId="0" xfId="3" applyFont="1" applyFill="1" applyAlignment="1">
      <alignment horizontal="left" indent="1"/>
    </xf>
    <xf numFmtId="0" fontId="24" fillId="11" borderId="4" xfId="3" applyFont="1" applyFill="1" applyBorder="1"/>
    <xf numFmtId="0" fontId="24" fillId="11" borderId="4" xfId="23" applyFont="1" applyFill="1" applyBorder="1" applyAlignment="1">
      <alignment vertical="center"/>
    </xf>
    <xf numFmtId="0" fontId="24" fillId="13" borderId="0" xfId="23" applyFont="1" applyFill="1"/>
    <xf numFmtId="0" fontId="24" fillId="11" borderId="0" xfId="23" applyFont="1" applyFill="1"/>
    <xf numFmtId="167" fontId="34" fillId="11" borderId="0" xfId="24" applyNumberFormat="1" applyFont="1" applyFill="1" applyAlignment="1"/>
    <xf numFmtId="0" fontId="22" fillId="11" borderId="0" xfId="23" applyFont="1" applyFill="1"/>
    <xf numFmtId="0" fontId="26" fillId="11" borderId="0" xfId="23" applyFont="1" applyFill="1"/>
    <xf numFmtId="0" fontId="26" fillId="11" borderId="0" xfId="23" applyFont="1" applyFill="1" applyAlignment="1">
      <alignment horizontal="center"/>
    </xf>
    <xf numFmtId="0" fontId="20" fillId="23" borderId="0" xfId="23" applyFont="1" applyFill="1"/>
    <xf numFmtId="0" fontId="154" fillId="63" borderId="0" xfId="23" applyFont="1" applyFill="1" applyAlignment="1">
      <alignment horizontal="centerContinuous" vertical="center"/>
    </xf>
    <xf numFmtId="0" fontId="166" fillId="63" borderId="0" xfId="23" applyFont="1" applyFill="1" applyAlignment="1">
      <alignment horizontal="centerContinuous" vertical="center"/>
    </xf>
    <xf numFmtId="0" fontId="166" fillId="11" borderId="0" xfId="23" applyFont="1" applyFill="1" applyAlignment="1">
      <alignment horizontal="centerContinuous" vertical="center"/>
    </xf>
    <xf numFmtId="0" fontId="24" fillId="11" borderId="0" xfId="23" applyFont="1" applyFill="1" applyAlignment="1">
      <alignment horizontal="center" vertical="center"/>
    </xf>
    <xf numFmtId="0" fontId="26" fillId="11" borderId="0" xfId="23" applyFont="1" applyFill="1" applyAlignment="1">
      <alignment horizontal="centerContinuous" vertical="center"/>
    </xf>
    <xf numFmtId="0" fontId="26" fillId="11" borderId="0" xfId="23" applyFont="1" applyFill="1" applyAlignment="1">
      <alignment vertical="center"/>
    </xf>
    <xf numFmtId="0" fontId="22" fillId="63" borderId="0" xfId="23" applyFont="1" applyFill="1" applyAlignment="1">
      <alignment vertical="center"/>
    </xf>
    <xf numFmtId="0" fontId="24" fillId="11" borderId="0" xfId="23" quotePrefix="1" applyFont="1" applyFill="1" applyAlignment="1">
      <alignment horizontal="center" vertical="center"/>
    </xf>
    <xf numFmtId="0" fontId="22" fillId="11" borderId="0" xfId="23" applyFont="1" applyFill="1" applyAlignment="1">
      <alignment horizontal="center" vertical="center"/>
    </xf>
    <xf numFmtId="0" fontId="23" fillId="22" borderId="0" xfId="23" applyFont="1" applyFill="1" applyAlignment="1">
      <alignment vertical="center"/>
    </xf>
    <xf numFmtId="0" fontId="23" fillId="11" borderId="0" xfId="23" applyFont="1" applyFill="1" applyAlignment="1">
      <alignment horizontal="center" vertical="center"/>
    </xf>
    <xf numFmtId="0" fontId="20" fillId="22" borderId="0" xfId="23" applyFont="1" applyFill="1" applyAlignment="1">
      <alignment vertical="center"/>
    </xf>
    <xf numFmtId="0" fontId="20" fillId="11" borderId="0" xfId="23" applyFont="1" applyFill="1" applyAlignment="1">
      <alignment vertical="center"/>
    </xf>
    <xf numFmtId="174" fontId="23" fillId="11" borderId="0" xfId="23" applyNumberFormat="1" applyFont="1" applyFill="1" applyAlignment="1">
      <alignment vertical="center"/>
    </xf>
    <xf numFmtId="167" fontId="23" fillId="11" borderId="0" xfId="2" applyNumberFormat="1" applyFont="1" applyFill="1" applyAlignment="1">
      <alignment horizontal="center" vertical="center"/>
    </xf>
    <xf numFmtId="174" fontId="20" fillId="11" borderId="0" xfId="23" applyNumberFormat="1" applyFont="1" applyFill="1" applyAlignment="1">
      <alignment vertical="center"/>
    </xf>
    <xf numFmtId="170" fontId="23" fillId="11" borderId="0" xfId="23" applyNumberFormat="1" applyFont="1" applyFill="1" applyAlignment="1">
      <alignment vertical="center"/>
    </xf>
    <xf numFmtId="170" fontId="23" fillId="11" borderId="0" xfId="23" applyNumberFormat="1" applyFont="1" applyFill="1" applyAlignment="1">
      <alignment horizontal="center" vertical="center"/>
    </xf>
    <xf numFmtId="170" fontId="20" fillId="11" borderId="0" xfId="23" applyNumberFormat="1" applyFont="1" applyFill="1" applyAlignment="1">
      <alignment vertical="center"/>
    </xf>
    <xf numFmtId="174" fontId="23" fillId="11" borderId="0" xfId="23" applyNumberFormat="1" applyFont="1" applyFill="1" applyAlignment="1">
      <alignment horizontal="center" vertical="center"/>
    </xf>
    <xf numFmtId="174" fontId="24" fillId="11" borderId="4" xfId="23" applyNumberFormat="1" applyFont="1" applyFill="1" applyBorder="1" applyAlignment="1">
      <alignment vertical="center"/>
    </xf>
    <xf numFmtId="174" fontId="24" fillId="11" borderId="4" xfId="23" applyNumberFormat="1" applyFont="1" applyFill="1" applyBorder="1" applyAlignment="1">
      <alignment horizontal="center" vertical="center"/>
    </xf>
    <xf numFmtId="174" fontId="27" fillId="11" borderId="4" xfId="23" applyNumberFormat="1" applyFont="1" applyFill="1" applyBorder="1" applyAlignment="1">
      <alignment vertical="center"/>
    </xf>
    <xf numFmtId="0" fontId="23" fillId="11" borderId="4" xfId="23" applyFont="1" applyFill="1" applyBorder="1" applyAlignment="1">
      <alignment vertical="center"/>
    </xf>
    <xf numFmtId="167" fontId="24" fillId="11" borderId="4" xfId="2" applyNumberFormat="1" applyFont="1" applyFill="1" applyBorder="1" applyAlignment="1">
      <alignment horizontal="center" vertical="center"/>
    </xf>
    <xf numFmtId="167" fontId="24" fillId="11" borderId="4" xfId="2" applyNumberFormat="1" applyFont="1" applyFill="1" applyBorder="1" applyAlignment="1">
      <alignment vertical="center"/>
    </xf>
    <xf numFmtId="170" fontId="23" fillId="11" borderId="0" xfId="24" applyNumberFormat="1" applyFont="1" applyFill="1" applyBorder="1" applyAlignment="1">
      <alignment vertical="center"/>
    </xf>
    <xf numFmtId="170" fontId="23" fillId="11" borderId="0" xfId="24" applyNumberFormat="1" applyFont="1" applyFill="1" applyBorder="1" applyAlignment="1">
      <alignment horizontal="center" vertical="center"/>
    </xf>
    <xf numFmtId="170" fontId="20" fillId="11" borderId="0" xfId="24" applyNumberFormat="1" applyFont="1" applyFill="1" applyBorder="1" applyAlignment="1">
      <alignment vertical="center"/>
    </xf>
    <xf numFmtId="174" fontId="24" fillId="11" borderId="0" xfId="23" applyNumberFormat="1" applyFont="1" applyFill="1" applyAlignment="1">
      <alignment vertical="center"/>
    </xf>
    <xf numFmtId="167" fontId="24" fillId="11" borderId="0" xfId="23" applyNumberFormat="1" applyFont="1" applyFill="1" applyAlignment="1">
      <alignment horizontal="center" vertical="center"/>
    </xf>
    <xf numFmtId="174" fontId="27" fillId="11" borderId="0" xfId="23" applyNumberFormat="1" applyFont="1" applyFill="1" applyAlignment="1">
      <alignment vertical="center"/>
    </xf>
    <xf numFmtId="167" fontId="24" fillId="11" borderId="0" xfId="2" applyNumberFormat="1" applyFont="1" applyFill="1" applyBorder="1" applyAlignment="1">
      <alignment vertical="center"/>
    </xf>
    <xf numFmtId="170" fontId="34" fillId="11" borderId="0" xfId="24" applyNumberFormat="1" applyFont="1" applyFill="1" applyBorder="1" applyAlignment="1">
      <alignment vertical="center"/>
    </xf>
    <xf numFmtId="170" fontId="34" fillId="11" borderId="0" xfId="24" applyNumberFormat="1" applyFont="1" applyFill="1" applyBorder="1" applyAlignment="1">
      <alignment horizontal="center" vertical="center"/>
    </xf>
    <xf numFmtId="170" fontId="29" fillId="11" borderId="0" xfId="24" applyNumberFormat="1" applyFont="1" applyFill="1" applyBorder="1" applyAlignment="1">
      <alignment vertical="center"/>
    </xf>
    <xf numFmtId="167" fontId="24" fillId="11" borderId="4" xfId="23" applyNumberFormat="1" applyFont="1" applyFill="1" applyBorder="1" applyAlignment="1">
      <alignment horizontal="center" vertical="center"/>
    </xf>
    <xf numFmtId="167" fontId="24" fillId="11" borderId="4" xfId="23" applyNumberFormat="1" applyFont="1" applyFill="1" applyBorder="1" applyAlignment="1">
      <alignment vertical="center"/>
    </xf>
    <xf numFmtId="167" fontId="24" fillId="11" borderId="0" xfId="23" applyNumberFormat="1" applyFont="1" applyFill="1" applyAlignment="1">
      <alignment vertical="center"/>
    </xf>
    <xf numFmtId="170" fontId="23" fillId="11" borderId="0" xfId="24" applyNumberFormat="1" applyFont="1" applyFill="1" applyAlignment="1">
      <alignment vertical="center"/>
    </xf>
    <xf numFmtId="170" fontId="23" fillId="11" borderId="0" xfId="24" applyNumberFormat="1" applyFont="1" applyFill="1" applyAlignment="1">
      <alignment horizontal="center" vertical="center"/>
    </xf>
    <xf numFmtId="170" fontId="20" fillId="11" borderId="0" xfId="24" applyNumberFormat="1" applyFont="1" applyFill="1" applyAlignment="1">
      <alignment vertical="center"/>
    </xf>
    <xf numFmtId="174" fontId="23" fillId="22" borderId="0" xfId="23" applyNumberFormat="1" applyFont="1" applyFill="1" applyAlignment="1">
      <alignment vertical="center"/>
    </xf>
    <xf numFmtId="174" fontId="20" fillId="22" borderId="0" xfId="23" applyNumberFormat="1" applyFont="1" applyFill="1" applyAlignment="1">
      <alignment vertical="center"/>
    </xf>
    <xf numFmtId="174" fontId="24" fillId="22" borderId="0" xfId="23" applyNumberFormat="1" applyFont="1" applyFill="1"/>
    <xf numFmtId="167" fontId="24" fillId="22" borderId="0" xfId="23" applyNumberFormat="1" applyFont="1" applyFill="1"/>
    <xf numFmtId="174" fontId="27" fillId="22" borderId="0" xfId="23" applyNumberFormat="1" applyFont="1" applyFill="1"/>
    <xf numFmtId="167" fontId="27" fillId="22" borderId="0" xfId="23" applyNumberFormat="1" applyFont="1" applyFill="1"/>
    <xf numFmtId="0" fontId="19" fillId="3" borderId="4" xfId="0" applyFont="1" applyFill="1" applyBorder="1"/>
    <xf numFmtId="263" fontId="18" fillId="3" borderId="4" xfId="0" applyNumberFormat="1" applyFont="1" applyFill="1" applyBorder="1"/>
    <xf numFmtId="263" fontId="27" fillId="3" borderId="4" xfId="0" applyNumberFormat="1" applyFont="1" applyFill="1" applyBorder="1"/>
    <xf numFmtId="263" fontId="19" fillId="3" borderId="4" xfId="0" applyNumberFormat="1" applyFont="1" applyFill="1" applyBorder="1"/>
    <xf numFmtId="0" fontId="18" fillId="3" borderId="4" xfId="0" applyFont="1" applyFill="1" applyBorder="1"/>
    <xf numFmtId="263" fontId="25" fillId="11" borderId="0" xfId="0" applyNumberFormat="1" applyFont="1" applyFill="1"/>
    <xf numFmtId="0" fontId="47" fillId="11" borderId="4" xfId="0" applyFont="1" applyFill="1" applyBorder="1"/>
    <xf numFmtId="263" fontId="47" fillId="11" borderId="4" xfId="0" applyNumberFormat="1" applyFont="1" applyFill="1" applyBorder="1"/>
    <xf numFmtId="167" fontId="29" fillId="9" borderId="0" xfId="0" applyNumberFormat="1" applyFont="1" applyFill="1"/>
    <xf numFmtId="167" fontId="19" fillId="11" borderId="4" xfId="0" applyNumberFormat="1" applyFont="1" applyFill="1" applyBorder="1"/>
    <xf numFmtId="0" fontId="18" fillId="3" borderId="0" xfId="0" applyFont="1" applyFill="1"/>
    <xf numFmtId="167" fontId="18" fillId="3" borderId="0" xfId="2" applyNumberFormat="1" applyFont="1" applyFill="1"/>
    <xf numFmtId="0" fontId="24" fillId="3" borderId="4" xfId="489" applyFont="1" applyFill="1" applyBorder="1"/>
    <xf numFmtId="0" fontId="47" fillId="16" borderId="0" xfId="0" applyFont="1" applyFill="1"/>
    <xf numFmtId="0" fontId="25" fillId="16" borderId="0" xfId="0" applyFont="1" applyFill="1"/>
    <xf numFmtId="267" fontId="25" fillId="16" borderId="0" xfId="0" applyNumberFormat="1" applyFont="1" applyFill="1"/>
    <xf numFmtId="263" fontId="25" fillId="16" borderId="0" xfId="0" applyNumberFormat="1" applyFont="1" applyFill="1"/>
    <xf numFmtId="0" fontId="25" fillId="16" borderId="18" xfId="0" applyFont="1" applyFill="1" applyBorder="1"/>
    <xf numFmtId="267" fontId="25" fillId="16" borderId="18" xfId="0" applyNumberFormat="1" applyFont="1" applyFill="1" applyBorder="1"/>
    <xf numFmtId="263" fontId="25" fillId="16" borderId="18" xfId="0" applyNumberFormat="1" applyFont="1" applyFill="1" applyBorder="1"/>
    <xf numFmtId="181" fontId="18" fillId="11" borderId="0" xfId="0" applyNumberFormat="1" applyFont="1" applyFill="1"/>
    <xf numFmtId="0" fontId="47" fillId="11" borderId="0" xfId="0" applyFont="1" applyFill="1"/>
    <xf numFmtId="263" fontId="47" fillId="11" borderId="0" xfId="0" applyNumberFormat="1" applyFont="1" applyFill="1"/>
    <xf numFmtId="0" fontId="25" fillId="11" borderId="4" xfId="0" applyFont="1" applyFill="1" applyBorder="1"/>
    <xf numFmtId="267" fontId="25" fillId="11" borderId="0" xfId="0" applyNumberFormat="1" applyFont="1" applyFill="1"/>
    <xf numFmtId="0" fontId="25" fillId="13" borderId="0" xfId="0" applyFont="1" applyFill="1"/>
    <xf numFmtId="267" fontId="25" fillId="13" borderId="0" xfId="0" applyNumberFormat="1" applyFont="1" applyFill="1"/>
    <xf numFmtId="263" fontId="18" fillId="9" borderId="5" xfId="0" applyNumberFormat="1" applyFont="1" applyFill="1" applyBorder="1"/>
    <xf numFmtId="0" fontId="0" fillId="3" borderId="0" xfId="0" applyFill="1"/>
    <xf numFmtId="167" fontId="0" fillId="3" borderId="0" xfId="2" applyNumberFormat="1" applyFont="1" applyFill="1" applyAlignment="1">
      <alignment horizontal="center"/>
    </xf>
    <xf numFmtId="3" fontId="40" fillId="9" borderId="0" xfId="0" applyNumberFormat="1" applyFont="1" applyFill="1"/>
    <xf numFmtId="167" fontId="0" fillId="3" borderId="0" xfId="2" applyNumberFormat="1" applyFont="1" applyFill="1"/>
    <xf numFmtId="263" fontId="163" fillId="11" borderId="0" xfId="0" applyNumberFormat="1" applyFont="1" applyFill="1" applyAlignment="1">
      <alignment horizontal="right"/>
    </xf>
    <xf numFmtId="263" fontId="24" fillId="13" borderId="4" xfId="0" applyNumberFormat="1" applyFont="1" applyFill="1" applyBorder="1" applyAlignment="1">
      <alignment horizontal="center"/>
    </xf>
    <xf numFmtId="0" fontId="24" fillId="11" borderId="0" xfId="506" applyFont="1" applyFill="1"/>
    <xf numFmtId="0" fontId="23" fillId="11" borderId="0" xfId="506" applyFont="1" applyFill="1"/>
    <xf numFmtId="9" fontId="18" fillId="9" borderId="0" xfId="0" applyNumberFormat="1" applyFont="1" applyFill="1"/>
    <xf numFmtId="181" fontId="19" fillId="11" borderId="1" xfId="0" applyNumberFormat="1" applyFont="1" applyFill="1" applyBorder="1"/>
    <xf numFmtId="0" fontId="24" fillId="11" borderId="1" xfId="506" applyFont="1" applyFill="1" applyBorder="1"/>
    <xf numFmtId="169" fontId="23" fillId="11" borderId="0" xfId="1" applyNumberFormat="1" applyFont="1" applyFill="1"/>
    <xf numFmtId="167" fontId="23" fillId="11" borderId="0" xfId="506" applyNumberFormat="1" applyFont="1" applyFill="1"/>
    <xf numFmtId="0" fontId="3" fillId="2" borderId="4" xfId="9" applyFont="1" applyFill="1" applyBorder="1"/>
    <xf numFmtId="0" fontId="3" fillId="4" borderId="4" xfId="9" applyFont="1" applyFill="1" applyBorder="1" applyAlignment="1">
      <alignment horizontal="right"/>
    </xf>
    <xf numFmtId="166" fontId="3" fillId="4" borderId="4" xfId="10" applyNumberFormat="1" applyFont="1" applyFill="1" applyBorder="1" applyAlignment="1">
      <alignment horizontal="right"/>
    </xf>
    <xf numFmtId="1" fontId="3" fillId="4" borderId="4" xfId="9" applyNumberFormat="1" applyFont="1" applyFill="1" applyBorder="1" applyAlignment="1">
      <alignment horizontal="right"/>
    </xf>
    <xf numFmtId="0" fontId="23" fillId="11" borderId="4" xfId="0" applyFont="1" applyFill="1" applyBorder="1"/>
    <xf numFmtId="263" fontId="24" fillId="11" borderId="0" xfId="0" applyNumberFormat="1" applyFont="1" applyFill="1"/>
    <xf numFmtId="0" fontId="23" fillId="13" borderId="0" xfId="0" applyFont="1" applyFill="1"/>
    <xf numFmtId="267" fontId="23" fillId="13" borderId="0" xfId="0" applyNumberFormat="1" applyFont="1" applyFill="1"/>
    <xf numFmtId="267" fontId="47" fillId="11" borderId="4" xfId="0" applyNumberFormat="1" applyFont="1" applyFill="1" applyBorder="1"/>
    <xf numFmtId="263" fontId="23" fillId="11" borderId="4" xfId="0" applyNumberFormat="1" applyFont="1" applyFill="1" applyBorder="1"/>
    <xf numFmtId="263" fontId="18" fillId="11" borderId="0" xfId="2" applyNumberFormat="1" applyFont="1" applyFill="1"/>
    <xf numFmtId="263" fontId="19" fillId="11" borderId="18" xfId="2" applyNumberFormat="1" applyFont="1" applyFill="1" applyBorder="1"/>
    <xf numFmtId="263" fontId="19" fillId="11" borderId="4" xfId="2" applyNumberFormat="1" applyFont="1" applyFill="1" applyBorder="1"/>
    <xf numFmtId="263" fontId="18" fillId="9" borderId="0" xfId="2" applyNumberFormat="1" applyFont="1" applyFill="1"/>
    <xf numFmtId="263" fontId="19" fillId="11" borderId="16" xfId="2" applyNumberFormat="1" applyFont="1" applyFill="1" applyBorder="1"/>
    <xf numFmtId="167" fontId="19" fillId="11" borderId="4" xfId="2" applyNumberFormat="1" applyFont="1" applyFill="1" applyBorder="1"/>
    <xf numFmtId="181" fontId="19" fillId="11" borderId="2" xfId="0" applyNumberFormat="1" applyFont="1" applyFill="1" applyBorder="1"/>
    <xf numFmtId="263" fontId="27" fillId="13" borderId="16" xfId="0" applyNumberFormat="1" applyFont="1" applyFill="1" applyBorder="1"/>
    <xf numFmtId="0" fontId="0" fillId="8" borderId="0" xfId="0" applyFill="1"/>
    <xf numFmtId="184" fontId="41" fillId="8" borderId="0" xfId="24" applyFont="1" applyFill="1" applyAlignment="1">
      <alignment horizontal="center"/>
    </xf>
    <xf numFmtId="0" fontId="23" fillId="0" borderId="0" xfId="0" applyFont="1"/>
    <xf numFmtId="174" fontId="23" fillId="0" borderId="0" xfId="0" applyNumberFormat="1" applyFont="1"/>
    <xf numFmtId="176" fontId="41" fillId="8" borderId="0" xfId="24" applyNumberFormat="1" applyFont="1" applyFill="1" applyAlignment="1">
      <alignment horizontal="center"/>
    </xf>
    <xf numFmtId="177" fontId="41" fillId="8" borderId="0" xfId="24" applyNumberFormat="1" applyFont="1" applyFill="1" applyAlignment="1">
      <alignment horizontal="center"/>
    </xf>
    <xf numFmtId="0" fontId="45" fillId="8" borderId="0" xfId="0" applyFont="1" applyFill="1"/>
    <xf numFmtId="3" fontId="0" fillId="8" borderId="0" xfId="0" applyNumberFormat="1" applyFill="1" applyAlignment="1">
      <alignment horizontal="center"/>
    </xf>
    <xf numFmtId="176" fontId="45" fillId="8" borderId="0" xfId="24" applyNumberFormat="1" applyFont="1" applyFill="1" applyAlignment="1">
      <alignment horizontal="center"/>
    </xf>
    <xf numFmtId="176" fontId="167" fillId="8" borderId="0" xfId="116" applyFont="1" applyFill="1" applyAlignment="1">
      <alignment horizontal="center"/>
    </xf>
    <xf numFmtId="0" fontId="26" fillId="23" borderId="10" xfId="23" applyFont="1" applyFill="1" applyBorder="1"/>
    <xf numFmtId="167" fontId="23" fillId="11" borderId="0" xfId="2" applyNumberFormat="1" applyFont="1" applyFill="1" applyAlignment="1">
      <alignment vertical="center"/>
    </xf>
    <xf numFmtId="167" fontId="23" fillId="11" borderId="4" xfId="23" applyNumberFormat="1" applyFont="1" applyFill="1" applyBorder="1" applyAlignment="1">
      <alignment vertical="center"/>
    </xf>
    <xf numFmtId="174" fontId="163" fillId="11" borderId="4" xfId="23" applyNumberFormat="1" applyFont="1" applyFill="1" applyBorder="1" applyAlignment="1">
      <alignment vertical="center"/>
    </xf>
    <xf numFmtId="174" fontId="163" fillId="11" borderId="0" xfId="23" applyNumberFormat="1" applyFont="1" applyFill="1" applyAlignment="1">
      <alignment vertical="center"/>
    </xf>
    <xf numFmtId="174" fontId="51" fillId="11" borderId="0" xfId="23" applyNumberFormat="1" applyFont="1" applyFill="1" applyAlignment="1">
      <alignment vertical="center"/>
    </xf>
    <xf numFmtId="174" fontId="23" fillId="16" borderId="0" xfId="23" applyNumberFormat="1" applyFont="1" applyFill="1" applyAlignment="1">
      <alignment vertical="center"/>
    </xf>
    <xf numFmtId="0" fontId="22" fillId="22" borderId="0" xfId="23" applyFont="1" applyFill="1" applyAlignment="1">
      <alignment vertical="center"/>
    </xf>
    <xf numFmtId="0" fontId="168" fillId="11" borderId="0" xfId="0" applyFont="1" applyFill="1"/>
    <xf numFmtId="0" fontId="154" fillId="63" borderId="0" xfId="3" applyFont="1" applyFill="1" applyAlignment="1">
      <alignment horizontal="centerContinuous"/>
    </xf>
    <xf numFmtId="0" fontId="24" fillId="11" borderId="4" xfId="6" applyFont="1" applyFill="1" applyBorder="1"/>
    <xf numFmtId="167" fontId="23" fillId="11" borderId="0" xfId="23" applyNumberFormat="1" applyFont="1" applyFill="1" applyAlignment="1">
      <alignment vertical="center"/>
    </xf>
    <xf numFmtId="166" fontId="24" fillId="11" borderId="0" xfId="3" applyNumberFormat="1" applyFont="1" applyFill="1"/>
    <xf numFmtId="43" fontId="24" fillId="11" borderId="0" xfId="1" applyFont="1" applyFill="1" applyAlignment="1"/>
    <xf numFmtId="169" fontId="24" fillId="11" borderId="0" xfId="2" applyNumberFormat="1" applyFont="1" applyFill="1"/>
    <xf numFmtId="170" fontId="24" fillId="11" borderId="0" xfId="2" applyNumberFormat="1" applyFont="1" applyFill="1" applyAlignment="1">
      <alignment horizontal="right"/>
    </xf>
    <xf numFmtId="43" fontId="23" fillId="11" borderId="0" xfId="1" applyFont="1" applyFill="1" applyAlignment="1"/>
    <xf numFmtId="170" fontId="23" fillId="11" borderId="0" xfId="2" applyNumberFormat="1" applyFont="1" applyFill="1" applyAlignment="1">
      <alignment horizontal="right"/>
    </xf>
    <xf numFmtId="43" fontId="23" fillId="11" borderId="0" xfId="1" applyFont="1" applyFill="1" applyBorder="1" applyAlignment="1"/>
    <xf numFmtId="43" fontId="24" fillId="11" borderId="0" xfId="1" applyFont="1" applyFill="1" applyBorder="1" applyAlignment="1"/>
    <xf numFmtId="168" fontId="24" fillId="11" borderId="0" xfId="3" applyNumberFormat="1" applyFont="1" applyFill="1"/>
    <xf numFmtId="169" fontId="24" fillId="11" borderId="0" xfId="3" applyNumberFormat="1" applyFont="1" applyFill="1"/>
    <xf numFmtId="2" fontId="34" fillId="11" borderId="0" xfId="6" applyNumberFormat="1" applyFont="1" applyFill="1"/>
    <xf numFmtId="2" fontId="29" fillId="11" borderId="0" xfId="2" applyNumberFormat="1" applyFont="1" applyFill="1"/>
    <xf numFmtId="2" fontId="34" fillId="11" borderId="0" xfId="2" applyNumberFormat="1" applyFont="1" applyFill="1"/>
    <xf numFmtId="167" fontId="23" fillId="11" borderId="0" xfId="6" applyNumberFormat="1" applyFont="1" applyFill="1"/>
    <xf numFmtId="0" fontId="24" fillId="13" borderId="0" xfId="23" applyFont="1" applyFill="1" applyAlignment="1">
      <alignment vertical="center"/>
    </xf>
    <xf numFmtId="263" fontId="50" fillId="11" borderId="0" xfId="23" applyNumberFormat="1" applyFont="1" applyFill="1" applyAlignment="1">
      <alignment vertical="center"/>
    </xf>
    <xf numFmtId="263" fontId="24" fillId="11" borderId="0" xfId="23" applyNumberFormat="1" applyFont="1" applyFill="1" applyAlignment="1">
      <alignment vertical="center"/>
    </xf>
    <xf numFmtId="263" fontId="23" fillId="11" borderId="0" xfId="23" applyNumberFormat="1" applyFont="1" applyFill="1" applyAlignment="1">
      <alignment vertical="center"/>
    </xf>
    <xf numFmtId="263" fontId="23" fillId="11" borderId="4" xfId="23" applyNumberFormat="1" applyFont="1" applyFill="1" applyBorder="1" applyAlignment="1">
      <alignment vertical="center"/>
    </xf>
    <xf numFmtId="263" fontId="24" fillId="11" borderId="4" xfId="23" applyNumberFormat="1" applyFont="1" applyFill="1" applyBorder="1" applyAlignment="1">
      <alignment vertical="center"/>
    </xf>
    <xf numFmtId="167" fontId="1" fillId="11" borderId="0" xfId="2" applyNumberFormat="1" applyFont="1" applyFill="1"/>
    <xf numFmtId="0" fontId="22" fillId="23" borderId="1" xfId="4" applyFont="1" applyFill="1" applyBorder="1" applyAlignment="1">
      <alignment horizontal="center"/>
    </xf>
    <xf numFmtId="0" fontId="22" fillId="23" borderId="1" xfId="6" applyFont="1" applyFill="1" applyBorder="1"/>
    <xf numFmtId="0" fontId="22" fillId="23" borderId="1" xfId="2" applyNumberFormat="1" applyFont="1" applyFill="1" applyBorder="1" applyAlignment="1">
      <alignment horizontal="center"/>
    </xf>
    <xf numFmtId="166" fontId="24" fillId="0" borderId="4" xfId="1" applyNumberFormat="1" applyFont="1" applyBorder="1"/>
    <xf numFmtId="1" fontId="24" fillId="0" borderId="4" xfId="3" applyNumberFormat="1" applyFont="1" applyBorder="1"/>
    <xf numFmtId="174" fontId="24" fillId="0" borderId="4" xfId="3" applyNumberFormat="1" applyFont="1" applyBorder="1"/>
    <xf numFmtId="166" fontId="24" fillId="0" borderId="0" xfId="1" applyNumberFormat="1" applyFont="1" applyBorder="1"/>
    <xf numFmtId="166" fontId="50" fillId="0" borderId="4" xfId="1" applyNumberFormat="1" applyFont="1" applyBorder="1"/>
    <xf numFmtId="167" fontId="23" fillId="0" borderId="4" xfId="3" applyNumberFormat="1" applyFont="1" applyBorder="1"/>
    <xf numFmtId="167" fontId="20" fillId="9" borderId="0" xfId="2" applyNumberFormat="1" applyFont="1" applyFill="1" applyBorder="1" applyAlignment="1">
      <alignment horizontal="right"/>
    </xf>
    <xf numFmtId="167" fontId="20" fillId="9" borderId="0" xfId="2" applyNumberFormat="1" applyFont="1" applyFill="1" applyBorder="1"/>
    <xf numFmtId="167" fontId="23" fillId="9" borderId="0" xfId="2" applyNumberFormat="1" applyFont="1" applyFill="1" applyBorder="1"/>
    <xf numFmtId="167" fontId="23" fillId="11" borderId="0" xfId="1" applyNumberFormat="1" applyFont="1" applyFill="1" applyBorder="1" applyAlignment="1"/>
    <xf numFmtId="174" fontId="23" fillId="9" borderId="0" xfId="3" applyNumberFormat="1" applyFont="1" applyFill="1"/>
    <xf numFmtId="167" fontId="23" fillId="15" borderId="0" xfId="3" applyNumberFormat="1" applyFont="1" applyFill="1"/>
    <xf numFmtId="167" fontId="24" fillId="15" borderId="0" xfId="1" applyNumberFormat="1" applyFont="1" applyFill="1" applyAlignment="1"/>
    <xf numFmtId="167" fontId="20" fillId="9" borderId="0" xfId="4" applyNumberFormat="1" applyFont="1" applyFill="1"/>
    <xf numFmtId="167" fontId="20" fillId="9" borderId="0" xfId="3" applyNumberFormat="1" applyFont="1" applyFill="1"/>
    <xf numFmtId="263" fontId="20" fillId="9" borderId="0" xfId="3" applyNumberFormat="1" applyFont="1" applyFill="1"/>
    <xf numFmtId="0" fontId="24" fillId="11" borderId="0" xfId="23" quotePrefix="1" applyFont="1" applyFill="1" applyAlignment="1">
      <alignment vertical="center"/>
    </xf>
    <xf numFmtId="166" fontId="27" fillId="0" borderId="0" xfId="3" applyNumberFormat="1" applyFont="1"/>
    <xf numFmtId="263" fontId="22" fillId="63" borderId="0" xfId="3" applyNumberFormat="1" applyFont="1" applyFill="1"/>
    <xf numFmtId="17" fontId="22" fillId="63" borderId="0" xfId="3" applyNumberFormat="1" applyFont="1" applyFill="1"/>
    <xf numFmtId="2" fontId="24" fillId="0" borderId="0" xfId="3" applyNumberFormat="1" applyFont="1"/>
    <xf numFmtId="0" fontId="24" fillId="63" borderId="0" xfId="3" applyFont="1" applyFill="1"/>
    <xf numFmtId="263" fontId="20" fillId="9" borderId="0" xfId="2" applyNumberFormat="1" applyFont="1" applyFill="1" applyBorder="1"/>
    <xf numFmtId="174" fontId="47" fillId="0" borderId="0" xfId="1" applyNumberFormat="1" applyFont="1"/>
    <xf numFmtId="263" fontId="47" fillId="0" borderId="4" xfId="2" applyNumberFormat="1" applyFont="1" applyFill="1" applyBorder="1"/>
    <xf numFmtId="260" fontId="23" fillId="0" borderId="0" xfId="120" applyNumberFormat="1" applyFont="1" applyFill="1" applyBorder="1" applyAlignment="1">
      <alignment horizontal="left" indent="1"/>
    </xf>
    <xf numFmtId="261" fontId="24" fillId="0" borderId="4" xfId="120" applyNumberFormat="1" applyFont="1" applyFill="1" applyBorder="1" applyAlignment="1">
      <alignment horizontal="left" indent="1"/>
    </xf>
    <xf numFmtId="261" fontId="23" fillId="0" borderId="2" xfId="120" applyNumberFormat="1" applyFont="1" applyFill="1" applyBorder="1" applyAlignment="1">
      <alignment horizontal="left" indent="1"/>
    </xf>
    <xf numFmtId="261" fontId="24" fillId="13" borderId="0" xfId="120" applyNumberFormat="1" applyFont="1" applyFill="1" applyBorder="1" applyAlignment="1">
      <alignment horizontal="left" indent="1"/>
    </xf>
    <xf numFmtId="0" fontId="24" fillId="13" borderId="0" xfId="4" applyFont="1" applyFill="1"/>
    <xf numFmtId="263" fontId="23" fillId="9" borderId="0" xfId="2" applyNumberFormat="1" applyFont="1" applyFill="1"/>
    <xf numFmtId="167" fontId="24" fillId="0" borderId="0" xfId="2" applyNumberFormat="1" applyFont="1" applyFill="1" applyAlignment="1">
      <alignment horizontal="right"/>
    </xf>
    <xf numFmtId="167" fontId="23" fillId="15" borderId="0" xfId="1" applyNumberFormat="1" applyFont="1" applyFill="1" applyAlignment="1"/>
    <xf numFmtId="0" fontId="24" fillId="0" borderId="0" xfId="3" applyFont="1" applyAlignment="1">
      <alignment horizontal="center"/>
    </xf>
    <xf numFmtId="3" fontId="24" fillId="0" borderId="0" xfId="3" applyNumberFormat="1" applyFont="1" applyAlignment="1">
      <alignment horizontal="center"/>
    </xf>
    <xf numFmtId="3" fontId="23" fillId="0" borderId="0" xfId="3" applyNumberFormat="1" applyFont="1" applyAlignment="1">
      <alignment horizontal="center"/>
    </xf>
    <xf numFmtId="167" fontId="24" fillId="0" borderId="0" xfId="2" applyNumberFormat="1" applyFont="1" applyAlignment="1">
      <alignment horizontal="center"/>
    </xf>
    <xf numFmtId="167" fontId="23" fillId="0" borderId="0" xfId="2" applyNumberFormat="1" applyFont="1" applyAlignment="1">
      <alignment horizontal="center"/>
    </xf>
    <xf numFmtId="167" fontId="23" fillId="0" borderId="0" xfId="3" applyNumberFormat="1" applyFont="1" applyAlignment="1">
      <alignment horizontal="center"/>
    </xf>
    <xf numFmtId="9" fontId="34" fillId="0" borderId="0" xfId="2" applyFont="1" applyAlignment="1">
      <alignment horizontal="center"/>
    </xf>
    <xf numFmtId="174" fontId="23" fillId="0" borderId="0" xfId="3" applyNumberFormat="1" applyFont="1" applyAlignment="1">
      <alignment horizontal="center"/>
    </xf>
    <xf numFmtId="0" fontId="23" fillId="0" borderId="0" xfId="3" applyFont="1" applyAlignment="1">
      <alignment horizontal="center"/>
    </xf>
    <xf numFmtId="166" fontId="23" fillId="0" borderId="0" xfId="1" applyNumberFormat="1" applyFont="1" applyBorder="1" applyAlignment="1">
      <alignment horizontal="center"/>
    </xf>
    <xf numFmtId="166" fontId="23" fillId="0" borderId="0" xfId="3" applyNumberFormat="1" applyFont="1" applyAlignment="1">
      <alignment horizontal="center"/>
    </xf>
    <xf numFmtId="174" fontId="23" fillId="0" borderId="0" xfId="1" applyNumberFormat="1" applyFont="1" applyAlignment="1">
      <alignment horizontal="center"/>
    </xf>
    <xf numFmtId="174" fontId="24" fillId="0" borderId="0" xfId="1" applyNumberFormat="1" applyFont="1" applyFill="1" applyAlignment="1">
      <alignment horizontal="center"/>
    </xf>
    <xf numFmtId="168" fontId="23" fillId="0" borderId="0" xfId="3" applyNumberFormat="1" applyFont="1" applyAlignment="1">
      <alignment horizontal="center"/>
    </xf>
    <xf numFmtId="168" fontId="24" fillId="0" borderId="0" xfId="3" applyNumberFormat="1" applyFont="1" applyAlignment="1">
      <alignment horizontal="center"/>
    </xf>
    <xf numFmtId="2" fontId="23" fillId="0" borderId="0" xfId="3" applyNumberFormat="1" applyFont="1" applyAlignment="1">
      <alignment horizontal="center"/>
    </xf>
    <xf numFmtId="174" fontId="24" fillId="0" borderId="0" xfId="3" applyNumberFormat="1" applyFont="1" applyAlignment="1">
      <alignment horizontal="center"/>
    </xf>
    <xf numFmtId="1" fontId="23" fillId="0" borderId="0" xfId="3" applyNumberFormat="1" applyFont="1" applyAlignment="1">
      <alignment horizontal="center"/>
    </xf>
    <xf numFmtId="3" fontId="23" fillId="23" borderId="0" xfId="3" applyNumberFormat="1" applyFont="1" applyFill="1" applyAlignment="1">
      <alignment horizontal="center"/>
    </xf>
    <xf numFmtId="0" fontId="23" fillId="11" borderId="0" xfId="29" applyFont="1" applyFill="1" applyAlignment="1">
      <alignment vertical="center"/>
    </xf>
    <xf numFmtId="0" fontId="22" fillId="23" borderId="0" xfId="8" applyFont="1" applyFill="1" applyBorder="1"/>
    <xf numFmtId="0" fontId="22" fillId="23" borderId="0" xfId="29" applyFont="1" applyFill="1" applyAlignment="1">
      <alignment vertical="center"/>
    </xf>
    <xf numFmtId="0" fontId="22" fillId="63" borderId="0" xfId="29" applyFont="1" applyFill="1" applyAlignment="1">
      <alignment vertical="center"/>
    </xf>
    <xf numFmtId="0" fontId="22" fillId="11" borderId="0" xfId="8" applyFont="1" applyFill="1" applyBorder="1"/>
    <xf numFmtId="0" fontId="22" fillId="11" borderId="0" xfId="29" applyFont="1" applyFill="1" applyAlignment="1">
      <alignment vertical="center"/>
    </xf>
    <xf numFmtId="0" fontId="24" fillId="11" borderId="0" xfId="29" applyFont="1" applyFill="1" applyAlignment="1">
      <alignment vertical="center"/>
    </xf>
    <xf numFmtId="0" fontId="24" fillId="13" borderId="1" xfId="8" applyFont="1" applyFill="1" applyBorder="1"/>
    <xf numFmtId="0" fontId="24" fillId="13" borderId="1" xfId="29" applyFont="1" applyFill="1" applyBorder="1" applyAlignment="1">
      <alignment vertical="center"/>
    </xf>
    <xf numFmtId="0" fontId="23" fillId="11" borderId="0" xfId="8" applyFont="1" applyFill="1" applyBorder="1"/>
    <xf numFmtId="262" fontId="23" fillId="11" borderId="0" xfId="29" applyNumberFormat="1" applyFont="1" applyFill="1" applyAlignment="1">
      <alignment vertical="center"/>
    </xf>
    <xf numFmtId="167" fontId="23" fillId="11" borderId="0" xfId="8" applyNumberFormat="1" applyFont="1" applyFill="1" applyBorder="1"/>
    <xf numFmtId="167" fontId="23" fillId="11" borderId="0" xfId="29" applyNumberFormat="1" applyFont="1" applyFill="1" applyAlignment="1">
      <alignment horizontal="center" vertical="center"/>
    </xf>
    <xf numFmtId="0" fontId="23" fillId="11" borderId="22" xfId="8" applyFont="1" applyFill="1" applyBorder="1"/>
    <xf numFmtId="262" fontId="23" fillId="11" borderId="22" xfId="29" applyNumberFormat="1" applyFont="1" applyFill="1" applyBorder="1" applyAlignment="1">
      <alignment horizontal="center" vertical="center"/>
    </xf>
    <xf numFmtId="262" fontId="23" fillId="11" borderId="22" xfId="29" applyNumberFormat="1" applyFont="1" applyFill="1" applyBorder="1" applyAlignment="1">
      <alignment vertical="center"/>
    </xf>
    <xf numFmtId="0" fontId="23" fillId="11" borderId="0" xfId="29" applyFont="1" applyFill="1" applyAlignment="1">
      <alignment horizontal="center" vertical="center"/>
    </xf>
    <xf numFmtId="0" fontId="19" fillId="13" borderId="1" xfId="8" applyFont="1" applyFill="1" applyBorder="1"/>
    <xf numFmtId="0" fontId="19" fillId="13" borderId="1" xfId="8" applyFont="1" applyFill="1" applyBorder="1" applyAlignment="1">
      <alignment horizontal="center"/>
    </xf>
    <xf numFmtId="0" fontId="23" fillId="11" borderId="0" xfId="8" applyFont="1" applyFill="1"/>
    <xf numFmtId="0" fontId="23" fillId="11" borderId="0" xfId="8" applyFont="1" applyFill="1" applyAlignment="1">
      <alignment horizontal="center"/>
    </xf>
    <xf numFmtId="3" fontId="49" fillId="11" borderId="0" xfId="29" applyNumberFormat="1" applyFont="1" applyFill="1" applyAlignment="1">
      <alignment vertical="center"/>
    </xf>
    <xf numFmtId="169" fontId="49" fillId="11" borderId="0" xfId="29" applyNumberFormat="1" applyFont="1" applyFill="1" applyAlignment="1">
      <alignment vertical="center"/>
    </xf>
    <xf numFmtId="0" fontId="24" fillId="11" borderId="4" xfId="8" applyFont="1" applyFill="1" applyBorder="1"/>
    <xf numFmtId="0" fontId="23" fillId="11" borderId="4" xfId="8" applyFont="1" applyFill="1" applyBorder="1" applyAlignment="1">
      <alignment horizontal="center"/>
    </xf>
    <xf numFmtId="3" fontId="24" fillId="11" borderId="4" xfId="29" applyNumberFormat="1" applyFont="1" applyFill="1" applyBorder="1" applyAlignment="1">
      <alignment vertical="center"/>
    </xf>
    <xf numFmtId="3" fontId="23" fillId="11" borderId="0" xfId="29" applyNumberFormat="1" applyFont="1" applyFill="1" applyAlignment="1">
      <alignment vertical="center"/>
    </xf>
    <xf numFmtId="0" fontId="24" fillId="13" borderId="1" xfId="8" applyFont="1" applyFill="1" applyBorder="1" applyAlignment="1">
      <alignment horizontal="center"/>
    </xf>
    <xf numFmtId="3" fontId="23" fillId="11" borderId="0" xfId="8" applyNumberFormat="1" applyFont="1" applyFill="1"/>
    <xf numFmtId="0" fontId="23" fillId="11" borderId="0" xfId="8" applyFont="1" applyFill="1" applyBorder="1" applyAlignment="1">
      <alignment horizontal="center"/>
    </xf>
    <xf numFmtId="0" fontId="23" fillId="11" borderId="4" xfId="29" applyFont="1" applyFill="1" applyBorder="1" applyAlignment="1">
      <alignment vertical="center"/>
    </xf>
    <xf numFmtId="0" fontId="24" fillId="13" borderId="1" xfId="29" applyFont="1" applyFill="1" applyBorder="1" applyAlignment="1">
      <alignment horizontal="center" vertical="center"/>
    </xf>
    <xf numFmtId="0" fontId="23" fillId="13" borderId="1" xfId="29" applyFont="1" applyFill="1" applyBorder="1" applyAlignment="1">
      <alignment horizontal="center" vertical="center"/>
    </xf>
    <xf numFmtId="170" fontId="20" fillId="9" borderId="0" xfId="24" applyNumberFormat="1" applyFont="1" applyFill="1" applyAlignment="1">
      <alignment vertical="center"/>
    </xf>
    <xf numFmtId="170" fontId="24" fillId="11" borderId="1" xfId="24" applyNumberFormat="1" applyFont="1" applyFill="1" applyBorder="1" applyAlignment="1">
      <alignment vertical="center"/>
    </xf>
    <xf numFmtId="170" fontId="24" fillId="11" borderId="1" xfId="24" applyNumberFormat="1" applyFont="1" applyFill="1" applyBorder="1" applyAlignment="1">
      <alignment horizontal="center" vertical="center"/>
    </xf>
    <xf numFmtId="170" fontId="24" fillId="11" borderId="0" xfId="24" applyNumberFormat="1" applyFont="1" applyFill="1" applyAlignment="1">
      <alignment vertical="center"/>
    </xf>
    <xf numFmtId="170" fontId="24" fillId="11" borderId="0" xfId="24" applyNumberFormat="1" applyFont="1" applyFill="1" applyBorder="1" applyAlignment="1">
      <alignment horizontal="center" vertical="center"/>
    </xf>
    <xf numFmtId="170" fontId="24" fillId="11" borderId="0" xfId="24" applyNumberFormat="1" applyFont="1" applyFill="1" applyBorder="1" applyAlignment="1">
      <alignment vertical="center"/>
    </xf>
    <xf numFmtId="167" fontId="23" fillId="11" borderId="0" xfId="24" applyNumberFormat="1" applyFont="1" applyFill="1" applyAlignment="1">
      <alignment vertical="center"/>
    </xf>
    <xf numFmtId="170" fontId="24" fillId="11" borderId="0" xfId="24" applyNumberFormat="1" applyFont="1" applyFill="1" applyAlignment="1">
      <alignment horizontal="center" vertical="center"/>
    </xf>
    <xf numFmtId="0" fontId="24" fillId="11" borderId="1" xfId="29" applyFont="1" applyFill="1" applyBorder="1" applyAlignment="1">
      <alignment vertical="center"/>
    </xf>
    <xf numFmtId="0" fontId="23" fillId="11" borderId="1" xfId="29" applyFont="1" applyFill="1" applyBorder="1" applyAlignment="1">
      <alignment horizontal="center" vertical="center"/>
    </xf>
    <xf numFmtId="0" fontId="23" fillId="11" borderId="1" xfId="29" applyFont="1" applyFill="1" applyBorder="1" applyAlignment="1">
      <alignment vertical="center"/>
    </xf>
    <xf numFmtId="170" fontId="49" fillId="11" borderId="0" xfId="24" applyNumberFormat="1" applyFont="1" applyFill="1" applyAlignment="1">
      <alignment vertical="center"/>
    </xf>
    <xf numFmtId="170" fontId="23" fillId="11" borderId="4" xfId="24" applyNumberFormat="1" applyFont="1" applyFill="1" applyBorder="1" applyAlignment="1">
      <alignment vertical="center"/>
    </xf>
    <xf numFmtId="0" fontId="22" fillId="23" borderId="4" xfId="6" applyFont="1" applyFill="1" applyBorder="1" applyAlignment="1">
      <alignment horizontal="left"/>
    </xf>
    <xf numFmtId="0" fontId="22" fillId="23" borderId="4" xfId="6" applyFont="1" applyFill="1" applyBorder="1" applyAlignment="1">
      <alignment horizontal="center"/>
    </xf>
    <xf numFmtId="0" fontId="22" fillId="63" borderId="4" xfId="6" applyFont="1" applyFill="1" applyBorder="1" applyAlignment="1">
      <alignment horizontal="center"/>
    </xf>
    <xf numFmtId="0" fontId="22" fillId="23" borderId="2" xfId="6" applyFont="1" applyFill="1" applyBorder="1" applyAlignment="1">
      <alignment horizontal="left"/>
    </xf>
    <xf numFmtId="17" fontId="22" fillId="23" borderId="2" xfId="6" applyNumberFormat="1" applyFont="1" applyFill="1" applyBorder="1" applyAlignment="1">
      <alignment horizontal="center"/>
    </xf>
    <xf numFmtId="17" fontId="22" fillId="63" borderId="2" xfId="6" applyNumberFormat="1" applyFont="1" applyFill="1" applyBorder="1" applyAlignment="1">
      <alignment horizontal="center"/>
    </xf>
    <xf numFmtId="0" fontId="22" fillId="11" borderId="0" xfId="6" applyFont="1" applyFill="1" applyAlignment="1">
      <alignment horizontal="left"/>
    </xf>
    <xf numFmtId="17" fontId="22" fillId="11" borderId="0" xfId="6" applyNumberFormat="1" applyFont="1" applyFill="1" applyAlignment="1">
      <alignment horizontal="center"/>
    </xf>
    <xf numFmtId="0" fontId="24" fillId="13" borderId="0" xfId="6" applyFont="1" applyFill="1" applyAlignment="1">
      <alignment horizontal="left"/>
    </xf>
    <xf numFmtId="263" fontId="22" fillId="13" borderId="0" xfId="6" applyNumberFormat="1" applyFont="1" applyFill="1" applyAlignment="1">
      <alignment horizontal="center"/>
    </xf>
    <xf numFmtId="0" fontId="24" fillId="11" borderId="0" xfId="6" applyFont="1" applyFill="1" applyAlignment="1">
      <alignment horizontal="left"/>
    </xf>
    <xf numFmtId="263" fontId="22" fillId="11" borderId="0" xfId="6" applyNumberFormat="1" applyFont="1" applyFill="1" applyAlignment="1">
      <alignment horizontal="center"/>
    </xf>
    <xf numFmtId="0" fontId="23" fillId="0" borderId="0" xfId="6" applyFont="1" applyAlignment="1">
      <alignment horizontal="left"/>
    </xf>
    <xf numFmtId="263" fontId="23" fillId="0" borderId="0" xfId="6" applyNumberFormat="1" applyFont="1" applyAlignment="1">
      <alignment horizontal="center"/>
    </xf>
    <xf numFmtId="263" fontId="44" fillId="0" borderId="0" xfId="0" applyNumberFormat="1" applyFont="1"/>
    <xf numFmtId="0" fontId="24" fillId="0" borderId="4" xfId="6" applyFont="1" applyBorder="1" applyAlignment="1">
      <alignment horizontal="left"/>
    </xf>
    <xf numFmtId="263" fontId="24" fillId="0" borderId="4" xfId="6" applyNumberFormat="1" applyFont="1" applyBorder="1" applyAlignment="1">
      <alignment horizontal="center"/>
    </xf>
    <xf numFmtId="263" fontId="162" fillId="0" borderId="0" xfId="0" applyNumberFormat="1" applyFont="1"/>
    <xf numFmtId="0" fontId="23" fillId="0" borderId="0" xfId="6" quotePrefix="1" applyFont="1" applyAlignment="1">
      <alignment horizontal="left"/>
    </xf>
    <xf numFmtId="170" fontId="23" fillId="0" borderId="0" xfId="2" applyNumberFormat="1" applyFont="1" applyFill="1" applyBorder="1" applyAlignment="1">
      <alignment horizontal="center"/>
    </xf>
    <xf numFmtId="0" fontId="44" fillId="0" borderId="0" xfId="0" applyFont="1" applyAlignment="1">
      <alignment vertical="center"/>
    </xf>
    <xf numFmtId="0" fontId="24" fillId="0" borderId="0" xfId="6" applyFont="1" applyAlignment="1">
      <alignment horizontal="center"/>
    </xf>
    <xf numFmtId="0" fontId="23" fillId="0" borderId="0" xfId="6" applyFont="1" applyAlignment="1">
      <alignment horizontal="center"/>
    </xf>
    <xf numFmtId="3" fontId="23" fillId="0" borderId="0" xfId="6" applyNumberFormat="1" applyFont="1" applyAlignment="1">
      <alignment horizontal="center"/>
    </xf>
    <xf numFmtId="0" fontId="23" fillId="13" borderId="0" xfId="6" applyFont="1" applyFill="1" applyAlignment="1">
      <alignment horizontal="center"/>
    </xf>
    <xf numFmtId="8" fontId="24" fillId="13" borderId="0" xfId="6" applyNumberFormat="1" applyFont="1" applyFill="1" applyAlignment="1">
      <alignment horizontal="center"/>
    </xf>
    <xf numFmtId="17" fontId="23" fillId="0" borderId="0" xfId="6" applyNumberFormat="1" applyFont="1" applyAlignment="1">
      <alignment horizontal="center"/>
    </xf>
    <xf numFmtId="167" fontId="24" fillId="11" borderId="0" xfId="2" applyNumberFormat="1" applyFont="1" applyFill="1" applyAlignment="1">
      <alignment horizontal="center"/>
    </xf>
    <xf numFmtId="168" fontId="44" fillId="0" borderId="0" xfId="0" applyNumberFormat="1" applyFont="1"/>
    <xf numFmtId="179" fontId="23" fillId="0" borderId="0" xfId="6" applyNumberFormat="1" applyFont="1" applyAlignment="1">
      <alignment horizontal="center"/>
    </xf>
    <xf numFmtId="168" fontId="23" fillId="0" borderId="0" xfId="6" applyNumberFormat="1" applyFont="1" applyAlignment="1">
      <alignment horizontal="left"/>
    </xf>
    <xf numFmtId="263" fontId="20" fillId="9" borderId="0" xfId="6" applyNumberFormat="1" applyFont="1" applyFill="1" applyAlignment="1">
      <alignment horizontal="center"/>
    </xf>
    <xf numFmtId="0" fontId="24" fillId="0" borderId="0" xfId="6" applyFont="1" applyAlignment="1">
      <alignment horizontal="left"/>
    </xf>
    <xf numFmtId="179" fontId="23" fillId="0" borderId="0" xfId="2" applyNumberFormat="1" applyFont="1" applyFill="1" applyBorder="1" applyAlignment="1">
      <alignment horizontal="center"/>
    </xf>
    <xf numFmtId="263" fontId="24" fillId="0" borderId="0" xfId="6" applyNumberFormat="1" applyFont="1" applyAlignment="1">
      <alignment horizontal="center"/>
    </xf>
    <xf numFmtId="263" fontId="49" fillId="0" borderId="0" xfId="6" applyNumberFormat="1" applyFont="1" applyAlignment="1">
      <alignment horizontal="center"/>
    </xf>
    <xf numFmtId="264" fontId="49" fillId="0" borderId="0" xfId="6" applyNumberFormat="1" applyFont="1" applyAlignment="1">
      <alignment horizontal="center"/>
    </xf>
    <xf numFmtId="264" fontId="23" fillId="0" borderId="0" xfId="6" applyNumberFormat="1" applyFont="1" applyAlignment="1">
      <alignment horizontal="center"/>
    </xf>
    <xf numFmtId="263" fontId="24" fillId="0" borderId="5" xfId="6" applyNumberFormat="1" applyFont="1" applyBorder="1" applyAlignment="1">
      <alignment horizontal="center"/>
    </xf>
    <xf numFmtId="263" fontId="27" fillId="0" borderId="5" xfId="6" applyNumberFormat="1" applyFont="1" applyBorder="1" applyAlignment="1">
      <alignment horizontal="center"/>
    </xf>
    <xf numFmtId="263" fontId="27" fillId="0" borderId="0" xfId="6" applyNumberFormat="1" applyFont="1" applyAlignment="1">
      <alignment horizontal="center"/>
    </xf>
    <xf numFmtId="263" fontId="51" fillId="0" borderId="0" xfId="6" applyNumberFormat="1" applyFont="1" applyAlignment="1">
      <alignment horizontal="center"/>
    </xf>
    <xf numFmtId="263" fontId="50" fillId="0" borderId="0" xfId="6" applyNumberFormat="1" applyFont="1" applyAlignment="1">
      <alignment horizontal="center"/>
    </xf>
    <xf numFmtId="0" fontId="169" fillId="0" borderId="0" xfId="6" applyFont="1" applyAlignment="1">
      <alignment horizontal="left"/>
    </xf>
    <xf numFmtId="167" fontId="20" fillId="9" borderId="0" xfId="6" applyNumberFormat="1" applyFont="1" applyFill="1" applyAlignment="1">
      <alignment horizontal="center"/>
    </xf>
    <xf numFmtId="167" fontId="20" fillId="11" borderId="0" xfId="6" applyNumberFormat="1" applyFont="1" applyFill="1" applyAlignment="1">
      <alignment horizontal="center"/>
    </xf>
    <xf numFmtId="2" fontId="23" fillId="0" borderId="0" xfId="6" applyNumberFormat="1" applyFont="1" applyAlignment="1">
      <alignment horizontal="center"/>
    </xf>
    <xf numFmtId="167" fontId="24" fillId="0" borderId="4" xfId="6" applyNumberFormat="1" applyFont="1" applyBorder="1" applyAlignment="1">
      <alignment horizontal="center"/>
    </xf>
    <xf numFmtId="168" fontId="23" fillId="0" borderId="0" xfId="6" applyNumberFormat="1" applyFont="1" applyAlignment="1">
      <alignment horizontal="center"/>
    </xf>
    <xf numFmtId="167" fontId="27" fillId="9" borderId="0" xfId="6" applyNumberFormat="1" applyFont="1" applyFill="1" applyAlignment="1">
      <alignment horizontal="center"/>
    </xf>
    <xf numFmtId="0" fontId="162" fillId="11" borderId="0" xfId="0" applyFont="1" applyFill="1"/>
    <xf numFmtId="263" fontId="23" fillId="11" borderId="0" xfId="29" applyNumberFormat="1" applyFont="1" applyFill="1" applyAlignment="1">
      <alignment vertical="center"/>
    </xf>
    <xf numFmtId="0" fontId="24" fillId="0" borderId="1" xfId="6" applyFont="1" applyBorder="1" applyAlignment="1">
      <alignment horizontal="left"/>
    </xf>
    <xf numFmtId="0" fontId="27" fillId="0" borderId="1" xfId="6" applyFont="1" applyBorder="1" applyAlignment="1">
      <alignment horizontal="center"/>
    </xf>
    <xf numFmtId="0" fontId="44" fillId="0" borderId="0" xfId="0" applyFont="1" applyAlignment="1">
      <alignment horizontal="center"/>
    </xf>
    <xf numFmtId="3" fontId="20" fillId="3" borderId="0" xfId="6" applyNumberFormat="1" applyFont="1" applyFill="1" applyAlignment="1">
      <alignment horizontal="center"/>
    </xf>
    <xf numFmtId="3" fontId="23" fillId="25" borderId="0" xfId="6" applyNumberFormat="1" applyFont="1" applyFill="1" applyAlignment="1">
      <alignment horizontal="center"/>
    </xf>
    <xf numFmtId="0" fontId="162" fillId="0" borderId="4" xfId="0" applyFont="1" applyBorder="1"/>
    <xf numFmtId="3" fontId="24" fillId="0" borderId="4" xfId="6" applyNumberFormat="1" applyFont="1" applyBorder="1" applyAlignment="1">
      <alignment horizontal="center"/>
    </xf>
    <xf numFmtId="167" fontId="23" fillId="0" borderId="0" xfId="2" applyNumberFormat="1" applyFont="1" applyFill="1" applyBorder="1" applyAlignment="1">
      <alignment horizontal="center"/>
    </xf>
    <xf numFmtId="0" fontId="24" fillId="0" borderId="1" xfId="6" applyFont="1" applyBorder="1" applyAlignment="1">
      <alignment horizontal="center"/>
    </xf>
    <xf numFmtId="0" fontId="23" fillId="0" borderId="0" xfId="6" applyFont="1" applyAlignment="1" applyProtection="1">
      <alignment horizontal="center"/>
      <protection hidden="1"/>
    </xf>
    <xf numFmtId="9" fontId="20" fillId="3" borderId="0" xfId="5" applyFont="1" applyFill="1" applyBorder="1" applyAlignment="1" applyProtection="1">
      <alignment horizontal="center"/>
      <protection hidden="1"/>
    </xf>
    <xf numFmtId="9" fontId="23" fillId="0" borderId="0" xfId="5" applyFont="1" applyFill="1" applyBorder="1" applyAlignment="1" applyProtection="1">
      <alignment horizontal="center"/>
      <protection hidden="1"/>
    </xf>
    <xf numFmtId="0" fontId="162" fillId="0" borderId="1" xfId="0" applyFont="1" applyBorder="1"/>
    <xf numFmtId="0" fontId="44" fillId="0" borderId="1" xfId="0" applyFont="1" applyBorder="1" applyAlignment="1">
      <alignment horizontal="center"/>
    </xf>
    <xf numFmtId="0" fontId="170" fillId="0" borderId="1" xfId="0" applyFont="1" applyBorder="1" applyAlignment="1">
      <alignment horizontal="center"/>
    </xf>
    <xf numFmtId="0" fontId="162" fillId="0" borderId="0" xfId="0" applyFont="1"/>
    <xf numFmtId="0" fontId="162" fillId="0" borderId="0" xfId="0" applyFont="1" applyAlignment="1">
      <alignment horizontal="center"/>
    </xf>
    <xf numFmtId="0" fontId="162" fillId="12" borderId="0" xfId="0" applyFont="1" applyFill="1"/>
    <xf numFmtId="3" fontId="171" fillId="0" borderId="0" xfId="0" applyNumberFormat="1" applyFont="1" applyAlignment="1">
      <alignment horizontal="center"/>
    </xf>
    <xf numFmtId="3" fontId="44" fillId="0" borderId="0" xfId="0" applyNumberFormat="1" applyFont="1"/>
    <xf numFmtId="167" fontId="171" fillId="0" borderId="0" xfId="2" applyNumberFormat="1" applyFont="1" applyAlignment="1">
      <alignment horizontal="center"/>
    </xf>
    <xf numFmtId="3" fontId="44" fillId="0" borderId="0" xfId="0" applyNumberFormat="1" applyFont="1" applyAlignment="1">
      <alignment horizontal="center"/>
    </xf>
    <xf numFmtId="3" fontId="162" fillId="0" borderId="0" xfId="0" applyNumberFormat="1" applyFont="1"/>
    <xf numFmtId="167" fontId="44" fillId="0" borderId="0" xfId="2" applyNumberFormat="1" applyFont="1" applyAlignment="1">
      <alignment horizontal="center"/>
    </xf>
    <xf numFmtId="179" fontId="171" fillId="0" borderId="0" xfId="0" applyNumberFormat="1" applyFont="1" applyAlignment="1">
      <alignment horizontal="center"/>
    </xf>
    <xf numFmtId="263" fontId="20" fillId="11" borderId="0" xfId="6" applyNumberFormat="1" applyFont="1" applyFill="1" applyAlignment="1">
      <alignment horizontal="center"/>
    </xf>
    <xf numFmtId="0" fontId="23" fillId="0" borderId="4" xfId="6" applyFont="1" applyBorder="1" applyAlignment="1">
      <alignment horizontal="left"/>
    </xf>
    <xf numFmtId="0" fontId="20" fillId="0" borderId="4" xfId="6" applyFont="1" applyBorder="1" applyAlignment="1">
      <alignment horizontal="center"/>
    </xf>
    <xf numFmtId="0" fontId="23" fillId="0" borderId="4" xfId="6" applyFont="1" applyBorder="1" applyAlignment="1">
      <alignment horizontal="center"/>
    </xf>
    <xf numFmtId="178" fontId="20" fillId="0" borderId="0" xfId="6" applyNumberFormat="1" applyFont="1" applyAlignment="1">
      <alignment horizontal="center"/>
    </xf>
    <xf numFmtId="178" fontId="23" fillId="0" borderId="0" xfId="6" applyNumberFormat="1" applyFont="1" applyAlignment="1">
      <alignment horizontal="center"/>
    </xf>
    <xf numFmtId="0" fontId="23" fillId="0" borderId="2" xfId="6" applyFont="1" applyBorder="1" applyAlignment="1">
      <alignment horizontal="left"/>
    </xf>
    <xf numFmtId="263" fontId="23" fillId="0" borderId="2" xfId="6" applyNumberFormat="1" applyFont="1" applyBorder="1" applyAlignment="1">
      <alignment horizontal="center"/>
    </xf>
    <xf numFmtId="263" fontId="49" fillId="0" borderId="0" xfId="1" applyNumberFormat="1" applyFont="1"/>
    <xf numFmtId="14" fontId="14" fillId="0" borderId="0" xfId="0" applyNumberFormat="1" applyFont="1"/>
    <xf numFmtId="166" fontId="24" fillId="0" borderId="18" xfId="3" applyNumberFormat="1" applyFont="1" applyBorder="1"/>
    <xf numFmtId="0" fontId="52" fillId="11" borderId="0" xfId="518" applyFill="1" applyAlignment="1" applyProtection="1"/>
    <xf numFmtId="0" fontId="41" fillId="11" borderId="0" xfId="23" applyFill="1"/>
    <xf numFmtId="263" fontId="27" fillId="9" borderId="0" xfId="0" applyNumberFormat="1" applyFont="1" applyFill="1"/>
    <xf numFmtId="0" fontId="172" fillId="23" borderId="0" xfId="0" applyFont="1" applyFill="1" applyAlignment="1">
      <alignment horizontal="center"/>
    </xf>
    <xf numFmtId="17" fontId="172" fillId="23" borderId="0" xfId="0" applyNumberFormat="1" applyFont="1" applyFill="1" applyAlignment="1">
      <alignment horizontal="center"/>
    </xf>
    <xf numFmtId="166" fontId="173" fillId="7" borderId="0" xfId="1" applyNumberFormat="1" applyFont="1" applyFill="1" applyAlignment="1">
      <alignment horizontal="center"/>
    </xf>
    <xf numFmtId="0" fontId="173" fillId="7" borderId="0" xfId="0" applyFont="1" applyFill="1" applyAlignment="1">
      <alignment horizontal="center"/>
    </xf>
    <xf numFmtId="0" fontId="173" fillId="0" borderId="0" xfId="0" applyFont="1" applyAlignment="1">
      <alignment horizontal="center"/>
    </xf>
    <xf numFmtId="3" fontId="174" fillId="8" borderId="0" xfId="0" applyNumberFormat="1" applyFont="1" applyFill="1" applyAlignment="1">
      <alignment horizontal="center"/>
    </xf>
    <xf numFmtId="3" fontId="175" fillId="8" borderId="0" xfId="0" applyNumberFormat="1" applyFont="1" applyFill="1" applyAlignment="1">
      <alignment horizontal="center"/>
    </xf>
    <xf numFmtId="9" fontId="173" fillId="8" borderId="0" xfId="17" applyFont="1" applyFill="1" applyAlignment="1">
      <alignment horizontal="center"/>
    </xf>
    <xf numFmtId="3" fontId="173" fillId="8" borderId="0" xfId="0" applyNumberFormat="1" applyFont="1" applyFill="1" applyAlignment="1">
      <alignment horizontal="center"/>
    </xf>
    <xf numFmtId="184" fontId="176" fillId="8" borderId="0" xfId="24" applyFont="1" applyFill="1" applyAlignment="1">
      <alignment horizontal="center"/>
    </xf>
    <xf numFmtId="176" fontId="177" fillId="8" borderId="0" xfId="116" applyFont="1" applyFill="1" applyAlignment="1">
      <alignment horizontal="center"/>
    </xf>
    <xf numFmtId="177" fontId="176" fillId="8" borderId="0" xfId="24" applyNumberFormat="1" applyFont="1" applyFill="1" applyAlignment="1">
      <alignment horizontal="center"/>
    </xf>
    <xf numFmtId="176" fontId="176" fillId="8" borderId="0" xfId="24" applyNumberFormat="1" applyFont="1" applyFill="1" applyAlignment="1">
      <alignment horizontal="center"/>
    </xf>
    <xf numFmtId="176" fontId="178" fillId="8" borderId="0" xfId="24" applyNumberFormat="1" applyFont="1" applyFill="1" applyAlignment="1">
      <alignment horizontal="center"/>
    </xf>
    <xf numFmtId="167" fontId="173" fillId="0" borderId="0" xfId="17" applyNumberFormat="1" applyFont="1" applyAlignment="1">
      <alignment horizontal="center"/>
    </xf>
    <xf numFmtId="3" fontId="174" fillId="9" borderId="0" xfId="0" applyNumberFormat="1" applyFont="1" applyFill="1" applyAlignment="1">
      <alignment horizontal="center"/>
    </xf>
    <xf numFmtId="3" fontId="179" fillId="16" borderId="0" xfId="0" applyNumberFormat="1" applyFont="1" applyFill="1" applyAlignment="1">
      <alignment horizontal="center"/>
    </xf>
    <xf numFmtId="3" fontId="180" fillId="16" borderId="0" xfId="0" applyNumberFormat="1" applyFont="1" applyFill="1" applyAlignment="1">
      <alignment horizontal="center"/>
    </xf>
    <xf numFmtId="3" fontId="173" fillId="9" borderId="0" xfId="0" applyNumberFormat="1" applyFont="1" applyFill="1" applyAlignment="1">
      <alignment horizontal="center"/>
    </xf>
    <xf numFmtId="3" fontId="181" fillId="9" borderId="0" xfId="0" applyNumberFormat="1" applyFont="1" applyFill="1" applyAlignment="1">
      <alignment horizontal="center"/>
    </xf>
    <xf numFmtId="9" fontId="173" fillId="9" borderId="0" xfId="17" applyFont="1" applyFill="1" applyAlignment="1">
      <alignment horizontal="center"/>
    </xf>
    <xf numFmtId="180" fontId="174" fillId="9" borderId="0" xfId="0" applyNumberFormat="1" applyFont="1" applyFill="1" applyAlignment="1">
      <alignment horizontal="center"/>
    </xf>
    <xf numFmtId="180" fontId="173" fillId="9" borderId="0" xfId="0" applyNumberFormat="1" applyFont="1" applyFill="1" applyAlignment="1">
      <alignment horizontal="center"/>
    </xf>
    <xf numFmtId="3" fontId="182" fillId="9" borderId="0" xfId="0" applyNumberFormat="1" applyFont="1" applyFill="1" applyAlignment="1">
      <alignment horizontal="center"/>
    </xf>
    <xf numFmtId="0" fontId="174" fillId="0" borderId="0" xfId="0" applyFont="1" applyAlignment="1">
      <alignment vertical="center"/>
    </xf>
    <xf numFmtId="3" fontId="174" fillId="10" borderId="0" xfId="0" applyNumberFormat="1" applyFont="1" applyFill="1" applyAlignment="1">
      <alignment horizontal="center"/>
    </xf>
    <xf numFmtId="3" fontId="173" fillId="10" borderId="0" xfId="17" applyNumberFormat="1" applyFont="1" applyFill="1"/>
    <xf numFmtId="3" fontId="173" fillId="10" borderId="0" xfId="0" applyNumberFormat="1" applyFont="1" applyFill="1" applyAlignment="1">
      <alignment horizontal="center"/>
    </xf>
    <xf numFmtId="3" fontId="173" fillId="10" borderId="0" xfId="17" applyNumberFormat="1" applyFont="1" applyFill="1" applyAlignment="1">
      <alignment horizontal="center"/>
    </xf>
    <xf numFmtId="167" fontId="173" fillId="9" borderId="0" xfId="2" applyNumberFormat="1" applyFont="1" applyFill="1" applyAlignment="1">
      <alignment horizontal="center"/>
    </xf>
    <xf numFmtId="0" fontId="19" fillId="13" borderId="0" xfId="0" applyFont="1" applyFill="1" applyAlignment="1">
      <alignment horizontal="center" vertical="center" textRotation="90"/>
    </xf>
  </cellXfs>
  <cellStyles count="519">
    <cellStyle name="_x000a_386grabber=M" xfId="28" xr:uid="{F60F7A6E-D8B8-43ED-8083-69D4783A7D76}"/>
    <cellStyle name="%" xfId="3" xr:uid="{00000000-0005-0000-0000-000000000000}"/>
    <cellStyle name="% 2" xfId="29" xr:uid="{71AF66A2-41DC-493D-864E-7722D23AF609}"/>
    <cellStyle name="% 2 2" xfId="500" xr:uid="{DF680703-1C41-474B-8CFD-A62107B09960}"/>
    <cellStyle name="% 2 2 2" xfId="506" xr:uid="{8F6F93AE-3DF5-4BD1-8D06-0BDE87B34467}"/>
    <cellStyle name="% 2 3" xfId="494" xr:uid="{E40BC918-A59D-4BFD-ADE2-F40F476CAFB1}"/>
    <cellStyle name="% 2 3 2" xfId="510" xr:uid="{70EC89AF-A662-4F0A-B6FC-4D35DBD9FB2C}"/>
    <cellStyle name="% 2 4" xfId="491" xr:uid="{27908C95-643A-4183-8E07-10ACB081D9BF}"/>
    <cellStyle name="% 3" xfId="502" xr:uid="{6A8325F7-6535-47B8-84AC-3A5872EC1E7D}"/>
    <cellStyle name="% 3 3" xfId="514" xr:uid="{8797DD6C-AA24-4B8D-8589-36955B3C36B7}"/>
    <cellStyle name="% 4" xfId="495" xr:uid="{67219EDD-50C7-4D1B-8EE9-85983E681DFC}"/>
    <cellStyle name="%_TNOR_current" xfId="30" xr:uid="{C126CB3A-6696-41F7-96D7-8F9F6451D593}"/>
    <cellStyle name="%_VIP_WIP" xfId="31" xr:uid="{BDF25F4B-6ADC-4645-854A-B44F45883B2E}"/>
    <cellStyle name="******************************************" xfId="32" xr:uid="{E95F730D-1DE0-46A2-9B37-F7700DD609D9}"/>
    <cellStyle name="?Q\?1@" xfId="33" xr:uid="{E6EE4FE0-55FF-441A-9512-F541AF0550E8}"/>
    <cellStyle name="_Comma" xfId="34" xr:uid="{600E5EB2-3844-4A16-AE66-BF24AF913B16}"/>
    <cellStyle name="_Currency" xfId="35" xr:uid="{7F369FAC-6977-40CA-B417-8FAC09D3102F}"/>
    <cellStyle name="_CurrencySpace" xfId="36" xr:uid="{D7AC7E93-CBB3-46BC-90F4-AE897D1B4AF8}"/>
    <cellStyle name="_Innsamling" xfId="37" xr:uid="{60115F49-BA33-46E0-94E1-5212033ECF94}"/>
    <cellStyle name="_JP Morgan" xfId="38" xr:uid="{0F1FD7F2-BBEF-4022-8832-F61EC0E294DF}"/>
    <cellStyle name="_Mal for innhenting av estimater Q4- 2002" xfId="39" xr:uid="{0294213C-066C-434D-80A9-7FCABB7BEEE8}"/>
    <cellStyle name="_Multiple" xfId="40" xr:uid="{B66406B6-C9B2-4E31-9F7E-B284D20E33C2}"/>
    <cellStyle name="_MultipleSpace" xfId="41" xr:uid="{12C4159F-160E-4066-B8AA-B9AB8B21E102}"/>
    <cellStyle name="_Percent" xfId="42" xr:uid="{AFC011F0-D667-4FEB-AF7C-93C50804D19F}"/>
    <cellStyle name="_PercentSpace" xfId="43" xr:uid="{150FF753-E7D0-4680-8D92-55726AB96ADC}"/>
    <cellStyle name="_TNOR_current" xfId="44" xr:uid="{0719604F-4A53-4621-AB53-37C3F2629495}"/>
    <cellStyle name="¤@¯ë_Sheet1 (2)" xfId="45" xr:uid="{F07CD1A5-F5F4-4800-A7F0-036783E754CD}"/>
    <cellStyle name="§Q\òm1@À" xfId="46" xr:uid="{B847C723-FA72-4017-8A3D-3C30BCC4C829}"/>
    <cellStyle name="•W€_VALUE" xfId="47" xr:uid="{81936F16-1B60-425A-938D-24619DE50CEB}"/>
    <cellStyle name="20% - Accent1 2" xfId="48" xr:uid="{528CBD5D-E1AC-4D79-BF35-86A7CA7B6B04}"/>
    <cellStyle name="20% - Accent2 2" xfId="49" xr:uid="{2990F5E6-1CD1-452E-A7AB-87EC70657036}"/>
    <cellStyle name="20% - Accent3 2" xfId="50" xr:uid="{83B8195A-1A4C-453D-A5AA-4BD6B0BA2CE7}"/>
    <cellStyle name="20% - Accent4 2" xfId="51" xr:uid="{8F66AE35-5636-4CE8-AAF2-D20124BE607D}"/>
    <cellStyle name="20% - Accent5 2" xfId="52" xr:uid="{F6E73AF8-7A16-4049-A52C-5DB1DD2E39FA}"/>
    <cellStyle name="20% - Accent6 2" xfId="53" xr:uid="{C6869DC2-C318-445E-81EF-93875B18D6CC}"/>
    <cellStyle name="3f1o [0]_J-Hwang242" xfId="54" xr:uid="{58A33967-088C-4DAA-86DC-7DCF9F989356}"/>
    <cellStyle name="3f1o_J-Hwang2an" xfId="55" xr:uid="{44412B19-65C4-4E45-85BC-55A404A971AB}"/>
    <cellStyle name="40% - Accent1 2" xfId="56" xr:uid="{075378ED-428F-4084-A8D7-10C64EE4F151}"/>
    <cellStyle name="40% - Accent2 2" xfId="57" xr:uid="{AC9FE7A1-B18B-4C25-B562-A3B03359710E}"/>
    <cellStyle name="40% - Accent3 2" xfId="58" xr:uid="{26A605C6-0B71-4760-BD71-1072643CCC7F}"/>
    <cellStyle name="40% - Accent4 2" xfId="59" xr:uid="{577FA5C9-A501-416B-AF0C-566E4BC8CA25}"/>
    <cellStyle name="40% - Accent5 2" xfId="60" xr:uid="{0040BD2C-58B5-46DA-B76E-244EE3A2A47D}"/>
    <cellStyle name="40% - Accent6 2" xfId="61" xr:uid="{D6D97710-DFD0-496E-A4A9-599C8674DA82}"/>
    <cellStyle name="60% - Accent1 2" xfId="62" xr:uid="{7FB2B032-B14B-47FF-A5D7-6EF5DEA6CA17}"/>
    <cellStyle name="60% - Accent2 2" xfId="63" xr:uid="{2972AB76-7F50-47F7-B6F9-4CD295DF80B9}"/>
    <cellStyle name="60% - Accent3 2" xfId="64" xr:uid="{EDA4E101-2B57-46FE-926A-220A28FEE332}"/>
    <cellStyle name="60% - Accent4 2" xfId="65" xr:uid="{A4678991-37B0-4D15-A10B-1064AD71EE8F}"/>
    <cellStyle name="60% - Accent5 2" xfId="66" xr:uid="{30C2CB60-1243-4F06-B7BE-72085C4C1DF2}"/>
    <cellStyle name="60% - Accent6 2" xfId="67" xr:uid="{1CD61D4A-CB9D-488C-B5B4-84D3B9DB31D8}"/>
    <cellStyle name="6mal" xfId="68" xr:uid="{CE043CB4-91C1-490C-A9ED-92F1DBB1E2E9}"/>
    <cellStyle name="aaa" xfId="69" xr:uid="{F8C492CF-A105-46E2-878F-E92C411666C7}"/>
    <cellStyle name="Accent1 2" xfId="70" xr:uid="{BB326B48-AC87-40B0-A772-B51C8B67A30E}"/>
    <cellStyle name="Accent2 2" xfId="71" xr:uid="{458E782D-EBAB-4C95-9536-EAC2FDA2A020}"/>
    <cellStyle name="Accent3 2" xfId="72" xr:uid="{44A534B4-31D8-4FEE-A40B-A0B0D7E02966}"/>
    <cellStyle name="Accent4 2" xfId="73" xr:uid="{721EF6D5-E598-4FD9-B7A4-6A3FABDD7059}"/>
    <cellStyle name="Accent5 2" xfId="74" xr:uid="{0A5CC136-8BB5-4510-A63A-ED4C232AF3B0}"/>
    <cellStyle name="Accent6 2" xfId="75" xr:uid="{AE86386A-9FB9-429A-BD92-CD14AD2F83D4}"/>
    <cellStyle name="Acquisition" xfId="76" xr:uid="{3C7662CB-5A78-4A76-878D-94CFEBA31945}"/>
    <cellStyle name="ÅëÈ­ [0]_TestResults" xfId="77" xr:uid="{C8F0284C-E8CE-441C-B25B-E79448D8C8EC}"/>
    <cellStyle name="ÅëÈ­_TestResults" xfId="78" xr:uid="{958C5E1B-936D-4CD8-9CB4-64967B812477}"/>
    <cellStyle name="ANALYST" xfId="79" xr:uid="{BDA11445-C083-434D-ACC8-773C77F43A26}"/>
    <cellStyle name="Année" xfId="80" xr:uid="{0B04275F-E5AA-4DF3-96BE-7BD09EA50A21}"/>
    <cellStyle name="Année (e)" xfId="81" xr:uid="{7CB573F5-2A7D-4C02-97A7-A0D24F16E350}"/>
    <cellStyle name="args.style" xfId="82" xr:uid="{EEB5FA7F-5B9A-43D4-9178-E6F395C2427C}"/>
    <cellStyle name="Arial 10" xfId="83" xr:uid="{09F7CA29-BAD8-406D-AA9C-AC0FB4FFC27C}"/>
    <cellStyle name="Arial 12" xfId="84" xr:uid="{71BAAC9D-322A-4894-811F-530A5AA1BD2F}"/>
    <cellStyle name="Assumption" xfId="85" xr:uid="{C9F925C7-ADC5-48BA-8AA9-840D39C4CA39}"/>
    <cellStyle name="Assumptions" xfId="86" xr:uid="{7DDDB56A-D4B0-4F71-AA64-87D3C697FEDC}"/>
    <cellStyle name="ÄÞ¸¶ [0]_TestResults" xfId="87" xr:uid="{81B19E63-641E-4FC5-ACF6-7B05679820CB}"/>
    <cellStyle name="ÄÞ¸¶_TestResults" xfId="88" xr:uid="{DBAD3835-01C7-47B9-BFD5-5829AE5FCD80}"/>
    <cellStyle name="auf tausender" xfId="89" xr:uid="{DA119895-0F9F-4EBF-AB4A-4D5D352AEDF5}"/>
    <cellStyle name="Availability" xfId="90" xr:uid="{66C0C8DC-4521-48F1-845D-6EC772DFE4A6}"/>
    <cellStyle name="Bad 2" xfId="91" xr:uid="{0682E18D-FBC6-4CAB-AF49-B2F49A3F612D}"/>
    <cellStyle name="BalanceSheet" xfId="92" xr:uid="{E7DBF501-7143-49A4-B5C7-E0AB9FBA24CE}"/>
    <cellStyle name="BlackTitle" xfId="93" xr:uid="{EECF07B5-C534-4A01-BA0B-69179ACC71F5}"/>
    <cellStyle name="Blank" xfId="94" xr:uid="{F88B7B6E-49D8-4EC1-8204-63622C328C01}"/>
    <cellStyle name="block" xfId="95" xr:uid="{6D1C8E4F-C9C0-4FEC-8EE2-F88254EF1BDB}"/>
    <cellStyle name="Blue" xfId="96" xr:uid="{85BAE808-C73E-48A8-857F-67945EC8E63F}"/>
    <cellStyle name="British Pound" xfId="97" xr:uid="{0BA30E13-E54F-4827-A9FC-A0EDCB182E85}"/>
    <cellStyle name="Ç¥ÁØ_TestResults" xfId="98" xr:uid="{18609FBC-0A2D-4A09-AB80-230EBA741611}"/>
    <cellStyle name="Calcul" xfId="99" xr:uid="{9D01AAB0-41F3-4A6A-9655-128D2D8C8EE1}"/>
    <cellStyle name="Calculation 2" xfId="100" xr:uid="{728A3931-A242-4CCE-AA40-53729C184FD7}"/>
    <cellStyle name="CashFlow" xfId="101" xr:uid="{214205A4-5CBE-497B-B829-1607CF418FBF}"/>
    <cellStyle name="category" xfId="102" xr:uid="{FF7F9676-E5F4-4EB4-8F48-A7C783157970}"/>
    <cellStyle name="Changeable" xfId="103" xr:uid="{0B671963-F94C-4835-85F4-60D6C11DD06D}"/>
    <cellStyle name="Check Cell 2" xfId="104" xr:uid="{EE4ED53D-2580-4D37-9394-9004E23FA1DB}"/>
    <cellStyle name="Checksum" xfId="105" xr:uid="{0994E062-2843-4220-BBC1-C053C8DD2139}"/>
    <cellStyle name="ColHeading" xfId="106" xr:uid="{85E6B306-C2D0-41C6-8149-245D249CFBB6}"/>
    <cellStyle name="Column Heading" xfId="107" xr:uid="{D383F399-A9D3-4386-89A4-F04A14FE4B77}"/>
    <cellStyle name="Column Heading (No Wrap)" xfId="108" xr:uid="{D8DD2943-100B-4C9C-A103-7ACF09741ECB}"/>
    <cellStyle name="Column Heading_SHEET" xfId="109" xr:uid="{E777B2D8-2197-45A6-9976-E6EA07A767D7}"/>
    <cellStyle name="Column label" xfId="110" xr:uid="{FC375DBE-033E-4A17-A2DF-9916167184F5}"/>
    <cellStyle name="Column label (left aligned)" xfId="111" xr:uid="{2063AAA1-28E1-4A2F-B648-864CA021C08C}"/>
    <cellStyle name="Column label (no wrap)" xfId="112" xr:uid="{1296192D-7245-4FFD-A054-D446383E3550}"/>
    <cellStyle name="Column label (not bold)" xfId="113" xr:uid="{B024722E-C0FD-457C-85D9-F920FEC508A0}"/>
    <cellStyle name="Column label_sheet" xfId="114" xr:uid="{3BE71145-1308-455C-A35F-2942BDB784B6}"/>
    <cellStyle name="Column Total" xfId="115" xr:uid="{BEF7D8AE-97F8-4BF8-B121-F2F10CDB82C4}"/>
    <cellStyle name="Comma" xfId="1" builtinId="3"/>
    <cellStyle name="comma - number" xfId="117" xr:uid="{A53BA94F-F18D-4C5B-8613-2C1F72036A24}"/>
    <cellStyle name="Comma [2]" xfId="118" xr:uid="{B9420A64-487D-49DF-8827-6BF417FDDE78}"/>
    <cellStyle name="Comma 0" xfId="119" xr:uid="{D55866B6-56FB-4A7A-88E9-5D85A74E55C3}"/>
    <cellStyle name="Comma 10" xfId="492" xr:uid="{1983F407-364F-4A57-A6F3-E5CC59C15AB5}"/>
    <cellStyle name="Comma 12" xfId="507" xr:uid="{92385763-6655-4A0C-B01E-9B71CB2011C0}"/>
    <cellStyle name="Comma 12 2" xfId="512" xr:uid="{0B6A99B0-DB54-4F7B-8D3F-CA7DD9983A82}"/>
    <cellStyle name="Comma 2" xfId="120" xr:uid="{0BCEB23C-B943-4028-AB90-19B516B7D259}"/>
    <cellStyle name="Comma 2 2" xfId="490" xr:uid="{C286C1FA-9C6F-4B03-AF64-73B617CFA633}"/>
    <cellStyle name="Comma 2 5" xfId="503" xr:uid="{2B492E06-DF72-4A51-B73B-E30D5F6CC048}"/>
    <cellStyle name="Comma 3" xfId="116" xr:uid="{CC890FC1-CFAC-4C15-9572-2638BC2A6765}"/>
    <cellStyle name="Comma 3 2" xfId="496" xr:uid="{E94FF9C8-5EF5-4977-A85E-F6D90A7CE4E3}"/>
    <cellStyle name="Comma 3_AXI" xfId="498" xr:uid="{976A4279-0034-4864-8346-89E09E85451E}"/>
    <cellStyle name="Comma 34" xfId="501" xr:uid="{0B667AC2-5E8A-4574-95E7-734ABC906F9E}"/>
    <cellStyle name="Comma 43" xfId="497" xr:uid="{C3C91BC0-F93D-4D2E-AEAE-B9AB9A9F2F59}"/>
    <cellStyle name="Comma(1)" xfId="121" xr:uid="{F96B0C45-F649-40B3-9C76-88016E24D21C}"/>
    <cellStyle name="Comma, 1 dec" xfId="122" xr:uid="{76F26E9A-2BCB-4C07-9BA6-B9CCD737D107}"/>
    <cellStyle name="Comma_BT3" xfId="10" xr:uid="{00000000-0005-0000-0000-000002000000}"/>
    <cellStyle name="Comma0" xfId="123" xr:uid="{4CD1B632-0E06-48B2-A4B8-E0773951E1FF}"/>
    <cellStyle name="Company" xfId="124" xr:uid="{AC42A22B-5C36-4EFE-8832-88BE3383D1E1}"/>
    <cellStyle name="Cover Date" xfId="125" xr:uid="{C1C00BE6-DB03-41F4-898A-45ADB24BC57C}"/>
    <cellStyle name="Cover Subtitle" xfId="126" xr:uid="{47BF6CC5-385F-400D-9161-8335155E41DC}"/>
    <cellStyle name="Cover Title" xfId="127" xr:uid="{E5A959CE-F488-4DD9-B35B-EB2A5FBEAF58}"/>
    <cellStyle name="CurRatio" xfId="128" xr:uid="{4FFBDFA9-6EC6-4894-8137-27B5648EEDDE}"/>
    <cellStyle name="Currency - Euro" xfId="129" xr:uid="{727BC521-63F6-4874-BB47-996BC4D69850}"/>
    <cellStyle name="Currency (2dp)" xfId="130" xr:uid="{8729110C-AE43-4685-B41A-E68B7089CC2A}"/>
    <cellStyle name="Currency [0] - Euro" xfId="131" xr:uid="{99BF83C8-33C0-4D79-8B2D-9151CD2E2FFB}"/>
    <cellStyle name="Currency [1]" xfId="132" xr:uid="{51568CC7-DD3E-4BFC-A0C4-DE3FBA173C83}"/>
    <cellStyle name="Currency [2]" xfId="133" xr:uid="{731A7946-C36C-41DE-B79E-FB435DD8D430}"/>
    <cellStyle name="Currency 0" xfId="134" xr:uid="{D2345024-288A-483D-8122-EFC5AD606B74}"/>
    <cellStyle name="Currency 2" xfId="135" xr:uid="{9B001339-8856-4F60-B70E-53AB23A0D636}"/>
    <cellStyle name="Currency Dollar" xfId="136" xr:uid="{DE3CFD06-BD7C-48C2-8B99-35C7CED1687C}"/>
    <cellStyle name="Currency Dollar (2dp)" xfId="137" xr:uid="{F7ABDC4C-1007-4C44-B5CE-41DB06E6357B}"/>
    <cellStyle name="Currency EUR" xfId="138" xr:uid="{6096A58A-5E9A-4FB2-83B9-D01A9DDBCF30}"/>
    <cellStyle name="Currency EUR (2dp)" xfId="139" xr:uid="{E0BD58BB-B798-4D61-9317-7FD558577F09}"/>
    <cellStyle name="Currency Euro" xfId="140" xr:uid="{EEB3095E-B2E1-4CE8-B58C-24192DB0DF2B}"/>
    <cellStyle name="Currency Euro (2dp)" xfId="141" xr:uid="{75750A5E-F758-491A-8E3F-817A6F6F1FA7}"/>
    <cellStyle name="Currency GBP" xfId="142" xr:uid="{2FC2CDC8-12B0-4D94-89E3-6A2FB0554E7D}"/>
    <cellStyle name="Currency GBP (2dp)" xfId="143" xr:uid="{BF9E737B-5C37-4676-AD8C-3FBA3B88C977}"/>
    <cellStyle name="Currency Pound" xfId="144" xr:uid="{022037AF-AD8E-4AEF-B4CF-83115303A589}"/>
    <cellStyle name="Currency Pound (2dp)" xfId="145" xr:uid="{D5D8DE27-CB5D-4CA4-8C8D-3C04702EE8E8}"/>
    <cellStyle name="Currency USD" xfId="146" xr:uid="{34BE384C-231F-4B31-BA0D-94F35747495D}"/>
    <cellStyle name="Currency USD (2dp)" xfId="147" xr:uid="{39D4E5D0-1BEB-4455-896A-C7EDB10492C6}"/>
    <cellStyle name="Currency0" xfId="148" xr:uid="{5361F6ED-45FA-425E-9124-7289ADDDDCC6}"/>
    <cellStyle name="Date" xfId="149" xr:uid="{793A117A-D6D6-4DF8-A1F6-A0B14D0F6584}"/>
    <cellStyle name="Date (Month)" xfId="150" xr:uid="{58551A9E-CFB2-45A8-92A6-0B250BB5B976}"/>
    <cellStyle name="Date (Year)" xfId="151" xr:uid="{4D5A2080-D5D2-4C9F-AC6E-3C33139B41D7}"/>
    <cellStyle name="Date [d-mmm-yy]" xfId="152" xr:uid="{326EEEFD-E022-4C66-9FA6-4A2B5F6FBE06}"/>
    <cellStyle name="Date [mm-d-yy]" xfId="153" xr:uid="{8BC5D094-778F-47AA-B0D2-E410DD32DA0A}"/>
    <cellStyle name="Date [mm-d-yyyy]" xfId="154" xr:uid="{DE54D03E-5E69-4164-8214-E1086868BEBD}"/>
    <cellStyle name="Date [mmm-d-yyyy]" xfId="155" xr:uid="{2075303A-6FC0-4A59-A588-6914005E16A8}"/>
    <cellStyle name="Date [mmm-yy]" xfId="156" xr:uid="{BAA3905F-3F45-41D9-AD2F-0DD30A0F34D3}"/>
    <cellStyle name="Date [mmm-yyyy]" xfId="157" xr:uid="{8AA0EB27-6533-4455-84B1-5C5F8A63132D}"/>
    <cellStyle name="Date Aligned" xfId="158" xr:uid="{34D91858-8225-468D-872C-990813F0E471}"/>
    <cellStyle name="Date_BT2" xfId="159" xr:uid="{62DB43F1-B1E1-4156-B440-C82C111ED958}"/>
    <cellStyle name="Date2" xfId="160" xr:uid="{CFECC6A7-369C-4F73-BBB1-C3196948BE3E}"/>
    <cellStyle name="Dates" xfId="161" xr:uid="{3B4ED036-E150-45A7-8DD4-B0771392BECF}"/>
    <cellStyle name="DateYear" xfId="162" xr:uid="{5173DF37-C6CE-4524-90FC-7F07C292F38D}"/>
    <cellStyle name="Déprotégée" xfId="163" xr:uid="{9B822A4A-5C28-4472-A342-4EDB16D1F497}"/>
    <cellStyle name="Devise" xfId="164" xr:uid="{5820D25E-612B-4DB1-B34C-5BD4090EFFBD}"/>
    <cellStyle name="Dezimal (0.0)" xfId="165" xr:uid="{22DC3D43-B784-4423-93BE-1DA766685904}"/>
    <cellStyle name="Dollar" xfId="166" xr:uid="{94F8BE0F-5A6E-4A05-88F0-D3295801FC75}"/>
    <cellStyle name="dollars" xfId="167" xr:uid="{FEB81E11-799A-402F-A944-B3427BCD6090}"/>
    <cellStyle name="DollarWhole" xfId="168" xr:uid="{BCFFF144-0534-49B9-8639-A9749A6CB939}"/>
    <cellStyle name="Dotted Line" xfId="169" xr:uid="{0EE550C7-2579-49DE-8CDC-BB7CD733D541}"/>
    <cellStyle name="Double Accounting" xfId="170" xr:uid="{ACED9CF2-7EF2-4C2D-AFC0-2DC1B16265A7}"/>
    <cellStyle name="Driver" xfId="171" xr:uid="{DD9A00DC-9BF8-4BA6-B552-3AFFF2E72926}"/>
    <cellStyle name="Driver Lable" xfId="172" xr:uid="{2E630C1D-A6B8-4910-B076-6C5A3D937930}"/>
    <cellStyle name="Entités" xfId="173" xr:uid="{6438E5A0-7621-43A5-894D-204435CB4D38}"/>
    <cellStyle name="EPS" xfId="174" xr:uid="{4AD01EDC-25B8-4D71-949D-6D0BD6094947}"/>
    <cellStyle name="EPSActual" xfId="175" xr:uid="{E0E267B8-0653-40F8-B6D7-302DF02B9B46}"/>
    <cellStyle name="EPSEstimate" xfId="176" xr:uid="{A06986A2-C4BF-48E0-A8E9-64EF713CD335}"/>
    <cellStyle name="Est - $" xfId="177" xr:uid="{162A7B54-874F-4D9E-9A46-191AB5836E5E}"/>
    <cellStyle name="Est - %" xfId="178" xr:uid="{26007969-9A50-4033-953F-CA8428D8767F}"/>
    <cellStyle name="Est 0,000.0" xfId="179" xr:uid="{297092EF-5F0A-45C9-BB24-D8E4E889788D}"/>
    <cellStyle name="Euro" xfId="180" xr:uid="{B76080DA-769A-4653-8D30-B549E685819D}"/>
    <cellStyle name="Explanatory Text" xfId="19" builtinId="53"/>
    <cellStyle name="Explanatory Text 2" xfId="181" xr:uid="{403FF516-FE80-4FD3-8141-0E4E090338E5}"/>
    <cellStyle name="fact_Feuil1 (8)" xfId="182" xr:uid="{E71ED141-4024-40E8-A409-92458D5BBECD}"/>
    <cellStyle name="Fail" xfId="183" xr:uid="{65DBA391-5090-42FE-9879-6FBE263954DB}"/>
    <cellStyle name="FF_EURO" xfId="184" xr:uid="{7061C27D-5E18-4F95-8598-BAAEC0EBBEA6}"/>
    <cellStyle name="FiscalPeriod" xfId="185" xr:uid="{8137B1B4-C25C-4343-AE22-16B5B4CCE326}"/>
    <cellStyle name="Fixed" xfId="186" xr:uid="{F07146DB-9CD7-427D-95D7-E29ACEE1535D}"/>
    <cellStyle name="Fixed [0]" xfId="187" xr:uid="{8185D647-C26E-4525-946A-9381072BDCEF}"/>
    <cellStyle name="fo]_x000d__x000a_UserName=Murat Zelef_x000d__x000a_UserCompany=Bumerang_x000d__x000a__x000d__x000a_[File Paths]_x000d__x000a_WorkingDirectory=C:\EQUIS\DLWIN_x000d__x000a_DownLoader=C" xfId="188" xr:uid="{780FB47F-CD29-4AF3-8193-D1D5BF2E9AFE}"/>
    <cellStyle name="Följde hyperlänken" xfId="189" xr:uid="{B044D48D-8629-412B-943C-80CE2803CB0E}"/>
    <cellStyle name="Footer SBILogo1" xfId="190" xr:uid="{14CDDFB2-B2EC-43A3-A861-C079BDC4832A}"/>
    <cellStyle name="Footer SBILogo2" xfId="191" xr:uid="{9CA4B579-6A63-4937-91AF-0B11A65A6E2B}"/>
    <cellStyle name="Footnote" xfId="192" xr:uid="{63F77371-51EC-4610-87AE-1ED289B9E201}"/>
    <cellStyle name="Footnote Reference" xfId="193" xr:uid="{8051B7EE-523F-4A7F-837C-460F64CA1816}"/>
    <cellStyle name="Footnote_Innsamling" xfId="194" xr:uid="{17F5E087-208D-4BB3-825E-7680135046F5}"/>
    <cellStyle name="front page small" xfId="195" xr:uid="{20CEB271-86C2-4D30-8B1F-9E32A6DBB51E}"/>
    <cellStyle name="General" xfId="196" xr:uid="{6130E9E4-FCAF-43E2-8E00-2BAA2FF053A8}"/>
    <cellStyle name="Good 2" xfId="197" xr:uid="{BA58D2B6-0960-4D31-9382-CA7864E0CB94}"/>
    <cellStyle name="Grey" xfId="198" xr:uid="{CA14DC8B-2367-49F6-80C9-7082A60617B7}"/>
    <cellStyle name="GrowthRate" xfId="199" xr:uid="{49305492-FCA1-4049-83A6-2F509F511758}"/>
    <cellStyle name="GrowthSeq" xfId="200" xr:uid="{DAF214FF-59DE-4880-AE5F-A25A8640D6FA}"/>
    <cellStyle name="H0" xfId="201" xr:uid="{E4F2C344-3566-41A0-A2B3-E1041EDEFE8B}"/>
    <cellStyle name="H1" xfId="202" xr:uid="{D7B8093E-DC45-48B3-A042-B6E7CE72738C}"/>
    <cellStyle name="H2" xfId="203" xr:uid="{36AF9998-F70A-4C97-B249-397D13D49558}"/>
    <cellStyle name="H3" xfId="204" xr:uid="{02D3BAAB-7E11-4DDD-A3DB-CF5974EF9F43}"/>
    <cellStyle name="H4" xfId="205" xr:uid="{713F0664-95BF-4B30-B27C-6DF324651F63}"/>
    <cellStyle name="haeding 2" xfId="206" xr:uid="{B44AD6DD-4CC2-41BD-B693-9FFAC8826F6E}"/>
    <cellStyle name="Hard" xfId="207" xr:uid="{C46DA018-A631-40E3-B947-74752A469321}"/>
    <cellStyle name="Hard input" xfId="208" xr:uid="{184D9277-3F75-4DF3-91D7-08754A3CC7BB}"/>
    <cellStyle name="hard no." xfId="209" xr:uid="{3E78DF06-59D2-444E-8211-536140BE1E92}"/>
    <cellStyle name="Hard Percent" xfId="210" xr:uid="{E4B9D805-406E-49C8-A6DA-C6ADE4BB9190}"/>
    <cellStyle name="head2" xfId="211" xr:uid="{98A2B9C0-70C9-4071-80B3-6EC22C3B5107}"/>
    <cellStyle name="Header" xfId="212" xr:uid="{7D0072A0-CA03-421A-B54B-D3C3925086BE}"/>
    <cellStyle name="Header Draft Stamp" xfId="213" xr:uid="{21B91FBF-B602-4A4C-A266-1556BD5574E0}"/>
    <cellStyle name="Header_Innsamling" xfId="214" xr:uid="{952E48FA-692C-4397-ADA5-16247F8AD813}"/>
    <cellStyle name="Heading" xfId="215" xr:uid="{DD8D198B-B374-409B-A454-C77333E25F48}"/>
    <cellStyle name="Heading 1 2" xfId="216" xr:uid="{2E816992-4100-4470-8666-F8990AD38CAF}"/>
    <cellStyle name="Heading 1 Above" xfId="217" xr:uid="{50B9C63C-334E-4721-9BEC-7276078F535E}"/>
    <cellStyle name="Heading 1+" xfId="218" xr:uid="{D426FD79-BE79-4D1E-8FCC-72E3D0A6C244}"/>
    <cellStyle name="Heading 2 2" xfId="219" xr:uid="{1E2F2B34-BFF4-41F6-99A4-325B0DB64D9D}"/>
    <cellStyle name="Heading 2 Below" xfId="220" xr:uid="{0F22C4FC-C4B9-48B9-A20C-58595E54A9D9}"/>
    <cellStyle name="Heading 2+" xfId="221" xr:uid="{606FAFFC-649E-4D80-8203-14E71CB8F193}"/>
    <cellStyle name="Heading 3 2" xfId="488" xr:uid="{CB6E0834-1ADD-4363-AA05-6D6878585FE1}"/>
    <cellStyle name="Heading 3 3" xfId="222" xr:uid="{65959AAE-6B9C-4A85-8C9A-D63A9220B817}"/>
    <cellStyle name="Heading 3+" xfId="223" xr:uid="{F68486D4-8ECD-43DC-A81C-1A287E560291}"/>
    <cellStyle name="Heading 4 2" xfId="224" xr:uid="{29E46720-4F06-41A4-B310-8504612890D6}"/>
    <cellStyle name="Heading 5" xfId="225" xr:uid="{179C8DE4-508B-45A6-A6FF-2F4D7AA34EDB}"/>
    <cellStyle name="Hidden" xfId="226" xr:uid="{363DA2DB-FFEC-405A-A7C1-31804FE4E7B9}"/>
    <cellStyle name="Highlight" xfId="227" xr:uid="{7646BE40-7914-4C35-8031-DD1FD0CBF185}"/>
    <cellStyle name="Hist inmatning" xfId="228" xr:uid="{00D295FC-80FC-4F49-8123-43EEB9BAB3C1}"/>
    <cellStyle name="Hyperlänk" xfId="229" xr:uid="{A2EB0C8F-BD82-43BD-9F75-9C55D1735FF0}"/>
    <cellStyle name="Hyperlink" xfId="518" builtinId="8"/>
    <cellStyle name="Hyperlink 2" xfId="25" xr:uid="{3FE50099-8116-406D-9796-4F51403770E9}"/>
    <cellStyle name="Hyperlink 2 2" xfId="487" xr:uid="{857FEB6B-7AB3-4F8F-89FA-7A38CABB2DCD}"/>
    <cellStyle name="IncomeStatement" xfId="230" xr:uid="{9F8B23F1-4077-44C0-AFA9-A134DF70717D}"/>
    <cellStyle name="InLink" xfId="231" xr:uid="{EBF5D219-0B9A-4239-B61D-DB9DC9A93854}"/>
    <cellStyle name="Input [yellow]" xfId="233" xr:uid="{99835F29-DEA5-4321-8A0B-64190FC49630}"/>
    <cellStyle name="Input 2" xfId="232" xr:uid="{5D8D99C4-B623-4A37-A2E2-60A71C4657C8}"/>
    <cellStyle name="Input calculation" xfId="234" xr:uid="{DC7732BF-C8FF-4FE2-8CCB-AC0988D4FE19}"/>
    <cellStyle name="Input Cells" xfId="235" xr:uid="{91DF8ADC-3E40-4491-A1EC-C573EE1349CC}"/>
    <cellStyle name="Input Currency" xfId="236" xr:uid="{6B82C7B7-6D79-4254-99D4-E2D06E5E49E8}"/>
    <cellStyle name="Input data" xfId="237" xr:uid="{BACC0F8D-6B2F-426B-A239-4A58AC7D1BDC}"/>
    <cellStyle name="Input Date" xfId="238" xr:uid="{315A388E-8F4D-4A83-B929-0CE306E76BA1}"/>
    <cellStyle name="Input estimate" xfId="239" xr:uid="{ECF02C2B-801A-49F5-B7EB-771BD90137FF}"/>
    <cellStyle name="Input Fixed [0]" xfId="240" xr:uid="{4B366EE2-BB30-492A-8F36-D8044273A13C}"/>
    <cellStyle name="Input link" xfId="241" xr:uid="{B8203F89-951D-460E-BE85-5B239F5E1BE0}"/>
    <cellStyle name="Input link (different workbook)" xfId="242" xr:uid="{3496F4D0-FDEA-44A5-813C-86055E1548BD}"/>
    <cellStyle name="Input Link_Copy of ESA5 ForecastScaling" xfId="243" xr:uid="{5B536AEB-17B8-4EA2-93C8-74614445C8FC}"/>
    <cellStyle name="Input Normal" xfId="244" xr:uid="{30EB3A41-90E3-4528-95A0-DCDE6B60DAC3}"/>
    <cellStyle name="Input parameter" xfId="245" xr:uid="{87B44C63-6DEB-40EF-B795-391EBE891432}"/>
    <cellStyle name="Input Percent" xfId="246" xr:uid="{739D13EF-B3EA-48D1-897A-408E5A30D044}"/>
    <cellStyle name="Input Percent [2]" xfId="247" xr:uid="{602B618A-E1FE-4606-ADBD-34E0A5351FAE}"/>
    <cellStyle name="Input Percent_Book1" xfId="248" xr:uid="{7C4FCFCB-466C-4273-8D29-144A3461C1A1}"/>
    <cellStyle name="Input Titles" xfId="249" xr:uid="{174DB470-3554-48DC-B38C-33F6FA333B0E}"/>
    <cellStyle name="Input%" xfId="250" xr:uid="{3375FFC0-B70D-4D69-9D1A-1B6149DB2973}"/>
    <cellStyle name="Input0dec" xfId="251" xr:uid="{C3DF591E-41F5-45F9-8EF1-F1BB2FF38CCF}"/>
    <cellStyle name="Input2dec" xfId="252" xr:uid="{F7C8E084-A52D-44B3-A1DD-DD0B0F2B85AF}"/>
    <cellStyle name="InputBlueFont" xfId="253" xr:uid="{1D4952DA-5795-41DA-B2CE-583BCAEFAEC5}"/>
    <cellStyle name="InputDate" xfId="254" xr:uid="{577C302E-6BC1-4A22-A3DF-D8B07AFA0124}"/>
    <cellStyle name="InputDecimal" xfId="255" xr:uid="{90B761D2-3B4D-4AAA-AD06-7AEE79037C9A}"/>
    <cellStyle name="InputValue" xfId="256" xr:uid="{2BD98C2F-C650-4283-9A05-B397EA0415BC}"/>
    <cellStyle name="Integer" xfId="257" xr:uid="{3611FEF7-3428-4DBE-9793-E0CAED089E94}"/>
    <cellStyle name="Item" xfId="258" xr:uid="{79D8FA6A-B796-4E87-8352-281AB555622F}"/>
    <cellStyle name="Items_Optional" xfId="259" xr:uid="{CCDC5F68-6CCA-41CC-9CAA-39EC36AC80F6}"/>
    <cellStyle name="ItemTypeClass" xfId="260" xr:uid="{D12BA83D-FDE3-4E8E-BF36-16EB1F4B6505}"/>
    <cellStyle name="James" xfId="261" xr:uid="{BA197677-C88C-42C4-8B8B-306DC53AD0F0}"/>
    <cellStyle name="kopregel" xfId="262" xr:uid="{7DF12990-E0DD-4A4F-981F-CF3A1715BA8B}"/>
    <cellStyle name="Libellés" xfId="263" xr:uid="{EDCD98EB-640C-4EE9-815D-AD03CF35B493}"/>
    <cellStyle name="Linked" xfId="264" xr:uid="{7AE9CDDF-48AD-4D5D-AF53-519B130F5687}"/>
    <cellStyle name="Linked Cell 2" xfId="265" xr:uid="{5739EEE1-A28D-4544-A106-1CB5FA900791}"/>
    <cellStyle name="Linked Cells" xfId="266" xr:uid="{2053BDF6-8B9C-47D3-BC7D-5032CC95A437}"/>
    <cellStyle name="Locked" xfId="267" xr:uid="{B4CF9D2B-9557-4F6F-AFD3-7B1377C80C80}"/>
    <cellStyle name="Main Title" xfId="268" xr:uid="{C6BDEC0B-A60E-42E6-87CB-9D047BD505D0}"/>
    <cellStyle name="margenta-f" xfId="269" xr:uid="{60230DB7-6B52-419A-97B5-1C5A32D74999}"/>
    <cellStyle name="Margin" xfId="270" xr:uid="{9328C026-52F6-4387-815D-A0D6D3FCBD4E}"/>
    <cellStyle name="Margins" xfId="271" xr:uid="{C0710F4D-4F5C-47A0-8977-D18C54D83629}"/>
    <cellStyle name="MetricLabel" xfId="272" xr:uid="{72E9B421-AF00-4168-AB7D-C3F9A30583CD}"/>
    <cellStyle name="MetricLabelBlue" xfId="273" xr:uid="{BE367F28-1B63-4B30-B06D-48838A6581B7}"/>
    <cellStyle name="MetricValue" xfId="274" xr:uid="{22459332-535E-4856-97FC-62B7D09CF738}"/>
    <cellStyle name="Migliaia_Foglio1" xfId="275" xr:uid="{B595477F-64FB-4574-82F0-E8C454FED328}"/>
    <cellStyle name="Millares [0]_96 Risk" xfId="276" xr:uid="{E94EDCA0-353A-4422-968F-C039E9D99CBE}"/>
    <cellStyle name="Millares_96 Risk" xfId="277" xr:uid="{8A107403-E7DB-4B79-B712-9DBC3B3EC3E3}"/>
    <cellStyle name="Milliers [0]_Aimants permanents" xfId="278" xr:uid="{33311009-2C46-40B3-9E41-C60AA1ED1D68}"/>
    <cellStyle name="Milliers [00]" xfId="279" xr:uid="{667FCCAD-17E1-4666-B7BC-233320D86293}"/>
    <cellStyle name="Milliers_Aimants permanents" xfId="280" xr:uid="{87A862E2-754A-4FED-B8A7-18FB4E46D71F}"/>
    <cellStyle name="mine" xfId="281" xr:uid="{A570B5B4-6C4E-49DD-9A81-147A2BA47A38}"/>
    <cellStyle name="Model" xfId="282" xr:uid="{EF3E35DD-ADB0-4E42-84FB-C40132BE0929}"/>
    <cellStyle name="Moneda [0]_96 Risk" xfId="283" xr:uid="{265B0101-E8B0-4B6A-B240-9EAFC2B0AF8B}"/>
    <cellStyle name="Moneda_96 Risk" xfId="284" xr:uid="{D49DA6AC-1238-4FE1-9A4B-334CD12ADE90}"/>
    <cellStyle name="Monétaire [0]_Aimants permanents" xfId="285" xr:uid="{F8260ADC-4864-4620-86B4-43E95DBE53BC}"/>
    <cellStyle name="Monétaire [00]" xfId="286" xr:uid="{A133BBAE-1B47-439C-9CD7-8D45241DF322}"/>
    <cellStyle name="Monétaire_Aimants permanents" xfId="287" xr:uid="{5D3FD174-8CDD-4411-A873-58C75ACF1B89}"/>
    <cellStyle name="Multiple" xfId="288" xr:uid="{228EB522-D65F-4D66-B4C6-072F57F981DA}"/>
    <cellStyle name="NA is zero" xfId="289" xr:uid="{26563B30-77BA-46ED-B486-00E92C0AD330}"/>
    <cellStyle name="Name" xfId="290" xr:uid="{2D84B646-A293-4B82-AA62-6668D5823830}"/>
    <cellStyle name="neg0.0" xfId="291" xr:uid="{D2FB7869-131E-4C13-96DA-9247B21068CE}"/>
    <cellStyle name="Neutral 2" xfId="292" xr:uid="{E50CD8AF-F6D8-4361-ACC0-2C08348CD14C}"/>
    <cellStyle name="no dec" xfId="293" xr:uid="{FF995F04-9E20-45BD-989C-D5C288695392}"/>
    <cellStyle name="Normal" xfId="0" builtinId="0"/>
    <cellStyle name="Normal - Style1" xfId="294" xr:uid="{C3E6D376-26B6-429B-A309-054C76E56C67}"/>
    <cellStyle name="Normal (no,)" xfId="295" xr:uid="{7EA03724-2EDC-4B1F-A20C-FDAC7F3C6F3D}"/>
    <cellStyle name="Normal [0]" xfId="296" xr:uid="{1EB124CF-4CFB-486E-8F86-408CE131E70C}"/>
    <cellStyle name="Normal [1]" xfId="297" xr:uid="{7832344A-66BB-4884-B1F3-4A344C3F22AC}"/>
    <cellStyle name="Normal [2]" xfId="298" xr:uid="{B0142CC5-4DCA-45E0-9C7B-E3B9584C51CF}"/>
    <cellStyle name="Normal [3]" xfId="299" xr:uid="{79E6E123-0EF3-4A08-A360-EC8F9C6C246B}"/>
    <cellStyle name="Normal 1" xfId="13" xr:uid="{00000000-0005-0000-0000-000004000000}"/>
    <cellStyle name="Normal 10" xfId="509" xr:uid="{EBD637B6-74D0-4CA7-8FAB-5265E2898A0C}"/>
    <cellStyle name="Normal 10 3" xfId="511" xr:uid="{27E5F87A-C7AF-4370-BEFA-2E016A7FEFD1}"/>
    <cellStyle name="Normal 2" xfId="23" xr:uid="{430761D9-6274-4AF6-B850-DCA3551CC14C}"/>
    <cellStyle name="Normal 2 2" xfId="22" xr:uid="{72432246-F19B-4D64-A95D-881508016467}"/>
    <cellStyle name="Normal 2 3" xfId="27" xr:uid="{AF1D859A-0A63-41BC-A6A6-E79D7E51B049}"/>
    <cellStyle name="Normal 2 4" xfId="486" xr:uid="{1B007CE3-6D85-4047-A36E-BACD9005764E}"/>
    <cellStyle name="Normal 3" xfId="516" xr:uid="{896CB6FA-302A-4F79-A474-04B1BBFE5A62}"/>
    <cellStyle name="Normal 34" xfId="499" xr:uid="{51269ABE-E56C-44E5-943B-864AC79DC2AC}"/>
    <cellStyle name="Normal Bold" xfId="300" xr:uid="{50E7047A-3A1A-4596-85F7-CB8BBC9386C9}"/>
    <cellStyle name="Normal Pct" xfId="301" xr:uid="{4E37328E-BEAE-4A00-AD2F-C0DEB401670E}"/>
    <cellStyle name="Normal_bt debt model" xfId="11" xr:uid="{00000000-0005-0000-0000-000005000000}"/>
    <cellStyle name="Normal_BT3" xfId="9" xr:uid="{00000000-0005-0000-0000-000006000000}"/>
    <cellStyle name="Normal_BT3 2" xfId="517" xr:uid="{EB7839A2-EE3E-44BC-9EC6-4D4C1BF1E64C}"/>
    <cellStyle name="Normal_dt2" xfId="4" xr:uid="{00000000-0005-0000-0000-000007000000}"/>
    <cellStyle name="Normal_Egypt" xfId="6" xr:uid="{00000000-0005-0000-0000-000008000000}"/>
    <cellStyle name="Normal_Financials" xfId="15" xr:uid="{00000000-0005-0000-0000-000009000000}"/>
    <cellStyle name="Normal_Indonesian market model" xfId="7" xr:uid="{00000000-0005-0000-0000-00000A000000}"/>
    <cellStyle name="Normal_MTN_120308" xfId="489" xr:uid="{45348F9B-DCFF-47AC-8F6A-5D8AC317E2DF}"/>
    <cellStyle name="Normal_Preview Telefonica" xfId="14" xr:uid="{00000000-0005-0000-0000-00000B000000}"/>
    <cellStyle name="Normal_Vodafone(2sep03)" xfId="12" xr:uid="{00000000-0005-0000-0000-00000D000000}"/>
    <cellStyle name="NormalE" xfId="302" xr:uid="{D31C6FA4-5032-4BC4-95B6-3A1DCBA98696}"/>
    <cellStyle name="NormalGB" xfId="303" xr:uid="{45A0211C-8154-4DE7-BBDE-E8F0353EF7D3}"/>
    <cellStyle name="NormalMultiple" xfId="304" xr:uid="{4085D496-BF8B-4167-A101-4745B41EC6DD}"/>
    <cellStyle name="NOT" xfId="305" xr:uid="{873E4A00-9E48-4FBD-8C9C-4B07890D3034}"/>
    <cellStyle name="Note 2" xfId="306" xr:uid="{491B6077-B6B1-4D75-84E1-2B0166EEF485}"/>
    <cellStyle name="Notes" xfId="307" xr:uid="{503F5941-62AF-45EB-86F7-4208144A6B98}"/>
    <cellStyle name="NPPESalesPct" xfId="308" xr:uid="{370F215A-5160-4C08-A05F-8BBA6789A8BD}"/>
    <cellStyle name="Number" xfId="21" xr:uid="{57708045-5284-4ECE-8195-4BD946B31E48}"/>
    <cellStyle name="Number (2dp)" xfId="310" xr:uid="{8AB90400-B1F0-457D-882F-D8C6C6592A79}"/>
    <cellStyle name="Number 2" xfId="309" xr:uid="{B6D4F9D5-5CD2-4AA5-AF5A-E5B497FB5E0B}"/>
    <cellStyle name="Number_Copy of ESA5 ForecastScaling" xfId="311" xr:uid="{7A786EC7-CAD4-4568-B54A-93CA992DB449}"/>
    <cellStyle name="Numbers" xfId="20" xr:uid="{791B1F5B-2370-4B01-8E2C-4ED54A68A9C9}"/>
    <cellStyle name="NWI%S" xfId="312" xr:uid="{571A83CA-98AC-4F21-B1D3-B8A439FD869D}"/>
    <cellStyle name="Œ…‹æØ‚è [0.00]_GE 3 MINIMUM" xfId="313" xr:uid="{062C5E22-6A97-450D-9E24-93D9B40912A4}"/>
    <cellStyle name="Œ…‹æØ‚è_GE 3 MINIMUM" xfId="314" xr:uid="{71495B01-2823-420F-85FC-BCE6FF522000}"/>
    <cellStyle name="Ombrée" xfId="315" xr:uid="{42C1D10C-205B-4747-BD6D-AD15817C5CA7}"/>
    <cellStyle name="Onedec" xfId="316" xr:uid="{5A54E303-A6A5-4359-898B-151ED6536247}"/>
    <cellStyle name="Option" xfId="317" xr:uid="{BFF08C40-E4AC-40C8-B48A-B88D3AF4BAC3}"/>
    <cellStyle name="Output 2" xfId="318" xr:uid="{27FF837B-F60E-4180-9E5E-C54DD32BBB8D}"/>
    <cellStyle name="Page Number" xfId="319" xr:uid="{25D4C18D-A36F-4FEC-9DBE-14544677A4CA}"/>
    <cellStyle name="Pass" xfId="320" xr:uid="{4A6C5928-0D85-4F8B-8B32-DCA9F86AAE84}"/>
    <cellStyle name="PB Table Heading" xfId="321" xr:uid="{7349A09E-AD30-4551-8C7C-AD44128E9F85}"/>
    <cellStyle name="PB Table Highlight1" xfId="322" xr:uid="{F2BA43EB-4B92-4135-888C-0E97F1D73E16}"/>
    <cellStyle name="PB Table Highlight2" xfId="323" xr:uid="{ECEDC809-B61E-4578-B2C1-3B8AD715E51E}"/>
    <cellStyle name="PB Table Highlight3" xfId="324" xr:uid="{BBB42799-3C74-4E5E-A5AB-C9247A4A77B2}"/>
    <cellStyle name="PB Table Standard Row" xfId="325" xr:uid="{91121008-81D7-40E0-B3D1-186AB62FD700}"/>
    <cellStyle name="PB Table Subtotal Row" xfId="326" xr:uid="{BCB41297-9AE7-4836-9B64-3ABFAFDDA3EC}"/>
    <cellStyle name="PB Table Total Row" xfId="327" xr:uid="{B9629636-1143-4B8B-9485-07CB625F2F2B}"/>
    <cellStyle name="pb_page_heading_LS" xfId="328" xr:uid="{C93CB492-D412-4409-8068-1DAAAEED63A4}"/>
    <cellStyle name="pc1" xfId="329" xr:uid="{DB35A785-9B3B-4DBB-B0A5-82718DE4F4F6}"/>
    <cellStyle name="PctLine" xfId="330" xr:uid="{753660EE-4A2F-4F9F-9785-1204CC1BD564}"/>
    <cellStyle name="per.style" xfId="331" xr:uid="{56F37625-4525-47AE-8D65-CE48EE69F069}"/>
    <cellStyle name="Percent" xfId="2" builtinId="5"/>
    <cellStyle name="Percent (0)" xfId="332" xr:uid="{CBC6E9A6-F339-4702-BF63-D35CDEF9B15B}"/>
    <cellStyle name="Percent (0.0)" xfId="333" xr:uid="{ED221439-B710-4E89-B3FE-614A0DA5D6AA}"/>
    <cellStyle name="Percent (0.00)" xfId="334" xr:uid="{6CBA863C-ADC2-4A99-9BAD-5969870D6E5A}"/>
    <cellStyle name="Percent [0%] 2" xfId="493" xr:uid="{3E0057A4-32E9-4E42-BA47-6029A3511F0B}"/>
    <cellStyle name="Percent [0]" xfId="335" xr:uid="{5A6CB924-B7AC-4E0E-A154-50C09E239AF6}"/>
    <cellStyle name="Percent [1]" xfId="336" xr:uid="{C19F6FF3-B801-4BCB-87EC-4E25FCA3B51C}"/>
    <cellStyle name="Percent [2]" xfId="337" xr:uid="{6559ACB7-F6AF-416F-9E38-CA28A3BA0227}"/>
    <cellStyle name="Percent 0" xfId="338" xr:uid="{BEB9504B-DD3E-460F-AF50-05199C21CD19}"/>
    <cellStyle name="Percent 0.00" xfId="339" xr:uid="{DCA402F8-123D-4F8C-9374-243B8E9B53D2}"/>
    <cellStyle name="Percent 0_3q" xfId="340" xr:uid="{BE936347-B94F-43B7-AB72-65FF3036A914}"/>
    <cellStyle name="Percent 12" xfId="508" xr:uid="{07E7E42B-C471-4616-A603-508600693E05}"/>
    <cellStyle name="Percent 12 2" xfId="513" xr:uid="{5D117822-2E68-4D1E-84F6-1E3E975E1679}"/>
    <cellStyle name="Percent 2" xfId="24" xr:uid="{DEF13F8B-4581-40A3-93E1-C592113008B7}"/>
    <cellStyle name="Percent 2 2" xfId="26" xr:uid="{8D62C846-D7DB-4098-9FC3-751057E30522}"/>
    <cellStyle name="Percent 2 2 3" xfId="515" xr:uid="{5BFE9F0D-1636-4ADE-BC74-F961B4D8E2F7}"/>
    <cellStyle name="Percent 2 6" xfId="504" xr:uid="{DDCE88AC-9C10-4798-A0ED-2CB166660207}"/>
    <cellStyle name="Percent 3" xfId="505" xr:uid="{36280A63-9EFB-45D7-8994-9D5CF21EC83F}"/>
    <cellStyle name="Percent 5" xfId="17" xr:uid="{00000000-0005-0000-0000-00000F000000}"/>
    <cellStyle name="Percent_Egypt" xfId="5" xr:uid="{00000000-0005-0000-0000-000010000000}"/>
    <cellStyle name="Percent_Financials" xfId="16" xr:uid="{00000000-0005-0000-0000-000011000000}"/>
    <cellStyle name="Percentage" xfId="341" xr:uid="{90BC18C7-FBBB-4F9E-BE8B-3B26DF682943}"/>
    <cellStyle name="Percentage (2dp)" xfId="342" xr:uid="{2AC867DC-D15C-44B3-AD14-0166832B1936}"/>
    <cellStyle name="Percentage_Copy of ESA5 ForecastScaling" xfId="343" xr:uid="{1B6F6C89-AABA-4A87-AC71-305DEC8CB190}"/>
    <cellStyle name="PercentChange" xfId="344" xr:uid="{074447DB-64CF-47E6-8DD8-A7C05991F367}"/>
    <cellStyle name="PercentPresentation" xfId="345" xr:uid="{22354641-BBC3-4D28-8F53-6E31A27D4EF6}"/>
    <cellStyle name="PercentSales" xfId="346" xr:uid="{F6686E77-3BF0-4189-A74B-0F0A919FF03B}"/>
    <cellStyle name="PerShare" xfId="347" xr:uid="{08E5274F-11C4-4C15-BCAC-2DBAB426DA57}"/>
    <cellStyle name="POPS" xfId="348" xr:uid="{8BC5DAA6-34A8-4F9B-BD77-EFE17301CE11}"/>
    <cellStyle name="Pourcentage [0]" xfId="349" xr:uid="{D4BFAD89-6327-4E97-91AD-43A9D8623216}"/>
    <cellStyle name="Pourcentage [00]" xfId="350" xr:uid="{096B4804-3FBF-4434-A1A0-81CDFCCCCA3D}"/>
    <cellStyle name="Pourcentage_BASCULER" xfId="351" xr:uid="{CE9B259E-5928-4A15-84A1-80B37D073182}"/>
    <cellStyle name="Presentation" xfId="352" xr:uid="{4ADA748E-6325-4CA4-9258-F10CF5386764}"/>
    <cellStyle name="PresentationZero" xfId="353" xr:uid="{63507783-5075-4760-9E6B-E1CDDD7DC484}"/>
    <cellStyle name="Price" xfId="354" xr:uid="{AE76BE4F-BFD6-4FD0-82EF-0AD6428CF53E}"/>
    <cellStyle name="Pub percent" xfId="355" xr:uid="{50A35690-DAE8-4BE3-83C7-3287D702F86F}"/>
    <cellStyle name="r" xfId="356" xr:uid="{7D28B01D-F40D-48CF-9985-81A05A927125}"/>
    <cellStyle name="r_Canal Digital" xfId="357" xr:uid="{97AE7413-89A3-41F3-964F-486A16193929}"/>
    <cellStyle name="r_Canal Digital_Deutsche" xfId="358" xr:uid="{4916FC5A-3FFD-46E9-93DB-43E919809257}"/>
    <cellStyle name="r_Canal Digital_Fixed" xfId="359" xr:uid="{1600086A-75BA-460D-8E2D-93387FDEB373}"/>
    <cellStyle name="r_Canal Digital_Fixed_Deutsche" xfId="360" xr:uid="{F954F30D-5783-445B-8848-026B365A1ACF}"/>
    <cellStyle name="r_Canal Digital_Fixed_Innsamling" xfId="361" xr:uid="{492A6421-4E50-435B-8BC1-10507CABDD25}"/>
    <cellStyle name="r_Canal Digital_Group" xfId="362" xr:uid="{AE4790C8-B369-40D2-9D4B-776EE09AAF68}"/>
    <cellStyle name="r_Canal Digital_Group_Deutsche" xfId="363" xr:uid="{44F11E05-89C6-4EB1-8FEF-6AC0884D70D2}"/>
    <cellStyle name="r_Canal Digital_Group_Innsamling" xfId="364" xr:uid="{F109A26E-251F-4E9C-AB7F-53582D0C7DAB}"/>
    <cellStyle name="r_Canal Digital_Innsamling" xfId="365" xr:uid="{2103619C-1F8A-4496-A3B6-819DA2169B6D}"/>
    <cellStyle name="r_Canal Digital_Mobile" xfId="366" xr:uid="{D0E823E2-7669-4707-A382-4E9583845C46}"/>
    <cellStyle name="r_Canal Digital_Mobile_Deutsche" xfId="367" xr:uid="{467C40F8-8F5D-4B49-9C68-25E2A8E85ACE}"/>
    <cellStyle name="r_Canal Digital_Mobile_Innsamling" xfId="368" xr:uid="{A75FE8FC-28EA-4931-8828-FD03BBE9A6FD}"/>
    <cellStyle name="r_Canal Digital_Special items" xfId="369" xr:uid="{CB226581-93DB-41A8-B24F-EF75DCA63DEC}"/>
    <cellStyle name="r_Canal Digital_Special items_Deutsche" xfId="370" xr:uid="{C84FCBD0-BB8F-45B1-B60B-AE593BA2F45E}"/>
    <cellStyle name="r_Canal Digital_Special items_Innsamling" xfId="371" xr:uid="{F8186E91-B464-41F8-B28D-0A909CABCA8A}"/>
    <cellStyle name="r_tel" xfId="372" xr:uid="{163B1588-5946-433E-B5B3-25A174A7ABB9}"/>
    <cellStyle name="r_tel.xls Chart 680" xfId="373" xr:uid="{3ACB2070-DE42-4540-BF9A-BF75FB91110F}"/>
    <cellStyle name="r_Telenor" xfId="374" xr:uid="{5F49B217-52BC-4445-BB57-3C869B1EF05C}"/>
    <cellStyle name="RatioX" xfId="375" xr:uid="{624785EF-A21F-401D-8CDB-70F56F5679CC}"/>
    <cellStyle name="Red font" xfId="376" xr:uid="{279AD542-25E5-4F78-811E-2859EE78807E}"/>
    <cellStyle name="Report" xfId="377" xr:uid="{ED1B03FF-3F6C-47D2-9189-AC9797D15D16}"/>
    <cellStyle name="Right" xfId="378" xr:uid="{D1D0285D-94D8-4378-A07F-27C1526D69D3}"/>
    <cellStyle name="Rmess" xfId="379" xr:uid="{B05C2204-D3C8-40A3-885E-E4DF1216C747}"/>
    <cellStyle name="Rnumber" xfId="380" xr:uid="{A6B9B320-643B-4DA5-AC9E-401BB4BE78E5}"/>
    <cellStyle name="Rnumber 0d" xfId="381" xr:uid="{806DCD84-0E4F-45DE-8BDF-5097432AB2C7}"/>
    <cellStyle name="Rnumber_eurosubs10" xfId="382" xr:uid="{862F7DA6-993B-4EB6-B7FC-54CE73D35B02}"/>
    <cellStyle name="Row and Column Total" xfId="383" xr:uid="{77ABBE36-4611-469F-A085-0F1A552AAD3A}"/>
    <cellStyle name="Row Heading" xfId="384" xr:uid="{0A130F4D-157F-42ED-9853-0C530E5472F6}"/>
    <cellStyle name="Row Heading (No Wrap)" xfId="385" xr:uid="{ACA7257F-0BE0-49E4-8798-D4C108A68CDC}"/>
    <cellStyle name="Row Ignore" xfId="386" xr:uid="{E3EDF1FE-DCFA-4E43-BDD7-D659DA0A3D54}"/>
    <cellStyle name="Row label" xfId="387" xr:uid="{8392F542-21E0-4BEB-A9A3-E5BC56371311}"/>
    <cellStyle name="Row label (indent)" xfId="388" xr:uid="{5B1BE7A3-F4F6-4E19-88C6-2BC5B6412F53}"/>
    <cellStyle name="Row Sub total" xfId="389" xr:uid="{893EDEED-F78E-4FE3-BF87-B94658875137}"/>
    <cellStyle name="Row Title 1" xfId="390" xr:uid="{6B91E299-8077-47D9-A992-6641DEE0F62C}"/>
    <cellStyle name="Row Title 2" xfId="391" xr:uid="{E4EBFB16-7B08-4159-999C-8B919AD438F1}"/>
    <cellStyle name="Row Title 3" xfId="392" xr:uid="{1EAA6404-13D2-4790-A0BF-E17116272644}"/>
    <cellStyle name="Row Total" xfId="393" xr:uid="{0B74FBBE-6ACD-48AA-8AF3-413D3B3C51B9}"/>
    <cellStyle name="Saisie" xfId="394" xr:uid="{A216C85A-5F13-4771-9F9A-A7B5A1AEC965}"/>
    <cellStyle name="Salomon Logo" xfId="395" xr:uid="{56922DAD-7D82-4940-A4EB-5EF606DD9704}"/>
    <cellStyle name="ScripFactor" xfId="396" xr:uid="{DF19846F-1D63-4A56-A556-F90614AC95FB}"/>
    <cellStyle name="Section Title" xfId="397" xr:uid="{9D80E1DF-A1C6-4458-BCFF-4245F2180727}"/>
    <cellStyle name="SectionHeading" xfId="398" xr:uid="{25E12D1E-B9BE-4282-93F1-7FF3AFCD7F76}"/>
    <cellStyle name="Separador de milhares_Projeção" xfId="399" xr:uid="{EB115119-A2FC-4856-9CCE-667A19D19CF4}"/>
    <cellStyle name="Shares" xfId="400" xr:uid="{F163255C-ACA5-4F8C-B031-6A75AF270D83}"/>
    <cellStyle name="Single Accounting" xfId="401" xr:uid="{E8DAC7EF-D163-4B7B-B5A4-72C2F8DF43C5}"/>
    <cellStyle name="Small Number" xfId="402" xr:uid="{9DF34C91-0C61-43D4-B6DF-64813981B845}"/>
    <cellStyle name="Small Percentage" xfId="403" xr:uid="{3C521B65-CA12-4DEA-8BD0-0660CFD28CCE}"/>
    <cellStyle name="Sous titre" xfId="404" xr:uid="{EEE9D710-1AB9-496A-8638-BA952F693B72}"/>
    <cellStyle name="Standaard_KPN" xfId="405" xr:uid="{90A5DA1C-0166-43EB-858F-672313122B30}"/>
    <cellStyle name="Standard" xfId="406" xr:uid="{D10229E7-67AF-40EA-9050-8A30964AB17D}"/>
    <cellStyle name="Strange" xfId="407" xr:uid="{6A280472-D8A4-40FD-884C-D89F30074510}"/>
    <cellStyle name="STYL1 - Style1" xfId="408" xr:uid="{4E68C633-4EDE-4C4F-902C-8F0DFDD57DEA}"/>
    <cellStyle name="Style 1" xfId="8" xr:uid="{00000000-0005-0000-0000-000012000000}"/>
    <cellStyle name="Style 1 2" xfId="18" xr:uid="{00000000-0005-0000-0000-000013000000}"/>
    <cellStyle name="subhead" xfId="409" xr:uid="{FD40BAA5-1B62-4AC5-8940-73B98EE5CA8F}"/>
    <cellStyle name="Sub-total row" xfId="410" xr:uid="{19AE3469-A025-4FFE-9052-65D8D9D8608A}"/>
    <cellStyle name="Table" xfId="411" xr:uid="{5B9A3CC8-B23D-4F20-9437-44947AF20DC0}"/>
    <cellStyle name="Table finish row" xfId="412" xr:uid="{99694CC8-72DC-4208-A94E-63FC44F6E4A3}"/>
    <cellStyle name="Table Head" xfId="413" xr:uid="{BC5FE153-15BF-43F5-B764-EA4D4F493105}"/>
    <cellStyle name="Table Head Aligned" xfId="414" xr:uid="{81C2C68C-3C78-4F82-9536-0A42951A7875}"/>
    <cellStyle name="Table Head Blue" xfId="415" xr:uid="{A0B21AAD-4389-48FE-8146-3677B87704B6}"/>
    <cellStyle name="Table Head Green" xfId="416" xr:uid="{4FCB039B-6964-48A5-A00A-D090E7880420}"/>
    <cellStyle name="Table Head_NewAltCompsEurope1" xfId="417" xr:uid="{6E867DD2-0AF6-4B76-8FDE-395DE23152CA}"/>
    <cellStyle name="table numbers 1" xfId="418" xr:uid="{AF939335-42E4-4519-A3B1-387F22C1E8AC}"/>
    <cellStyle name="Table numbers 2" xfId="419" xr:uid="{9CF5642F-6C84-4AB9-A4CF-B7938AC37D9D}"/>
    <cellStyle name="Table shading" xfId="420" xr:uid="{4CD255DF-19A2-4F40-8109-738782BF01FE}"/>
    <cellStyle name="Table Source" xfId="421" xr:uid="{C60ED8C7-7C7E-4220-BF1F-BCD6DE6B225D}"/>
    <cellStyle name="Table Text" xfId="422" xr:uid="{2A3E582C-8560-4543-B24C-27973349D551}"/>
    <cellStyle name="Table Title" xfId="423" xr:uid="{82EFCE58-61C3-4BEC-8A1B-426316880286}"/>
    <cellStyle name="Table unfinish row" xfId="424" xr:uid="{2E47FFE1-85CB-4974-9BF6-E393C917467F}"/>
    <cellStyle name="Table Units" xfId="425" xr:uid="{7D574799-5652-44A6-B19C-FF2DEA2B7B54}"/>
    <cellStyle name="Table unshading" xfId="426" xr:uid="{0E48A707-9411-4A28-8B0B-6E31D44EC54B}"/>
    <cellStyle name="TableBorder" xfId="427" xr:uid="{6707DB07-3829-4601-8918-9AF0BA88492C}"/>
    <cellStyle name="TableFootnotes" xfId="428" xr:uid="{B149A991-FE82-4AA7-AA79-DC7B98EB40F2}"/>
    <cellStyle name="TableTitleFormat" xfId="429" xr:uid="{1E462C22-674C-450C-A53F-590677D04E32}"/>
    <cellStyle name="Test [green]" xfId="430" xr:uid="{C17682FA-15C5-4E4C-905C-D9C485BA3C59}"/>
    <cellStyle name="test a style" xfId="431" xr:uid="{4EBC8EA5-CC0E-4961-A198-F1A9AF8AF28B}"/>
    <cellStyle name="Text" xfId="432" xr:uid="{F257086A-1539-4FDD-928B-A50C7CC6D590}"/>
    <cellStyle name="Text 1" xfId="433" xr:uid="{3FD53203-1E17-48BC-9AAD-C6B665627492}"/>
    <cellStyle name="Text 2" xfId="434" xr:uid="{8AA6D4CE-FE65-4A7E-A8C3-C37367888143}"/>
    <cellStyle name="Text Head 1" xfId="435" xr:uid="{6A43A215-FA4B-4413-BC34-7E497153B0E0}"/>
    <cellStyle name="Text Head 2" xfId="436" xr:uid="{1907B372-D846-4289-9831-2113554FBA12}"/>
    <cellStyle name="Text Indent 1" xfId="437" xr:uid="{C80601F4-277F-40C6-A121-48B7A125AFFD}"/>
    <cellStyle name="Text Indent 2" xfId="438" xr:uid="{E820E3B2-FC1D-4A8F-BDF2-1D84795FC95E}"/>
    <cellStyle name="TFCF" xfId="439" xr:uid="{F5D25FF1-F968-4C4A-9AAA-702327364D2B}"/>
    <cellStyle name="Time Strip" xfId="440" xr:uid="{5D1C3CF0-9F47-4ADF-992E-5AB015274A76}"/>
    <cellStyle name="times" xfId="441" xr:uid="{DCBF3F36-37F4-476E-99F2-D8B9EF0EF66E}"/>
    <cellStyle name="Times 10" xfId="442" xr:uid="{853FBCA3-0400-44E6-A11B-7D83515D16EC}"/>
    <cellStyle name="Times 12" xfId="443" xr:uid="{3C288D31-CBC2-41F9-98A9-9748BA4B8CD0}"/>
    <cellStyle name="times_Deutsche" xfId="444" xr:uid="{3A3800DC-E3D0-4CD2-A521-E396E6CB622E}"/>
    <cellStyle name="Title 2" xfId="445" xr:uid="{DD5EF972-6678-4298-A2EF-99F1BB380768}"/>
    <cellStyle name="Title Heading" xfId="446" xr:uid="{E18F750A-675E-40E4-849A-1158BEA056CF}"/>
    <cellStyle name="Title II" xfId="447" xr:uid="{F3155C01-B41C-4D6C-B7BB-A9619C449346}"/>
    <cellStyle name="title1" xfId="448" xr:uid="{681F5338-DE4B-4862-89BC-7C3EA00F0295}"/>
    <cellStyle name="Title2" xfId="449" xr:uid="{39E4893F-DC6A-4445-AE1E-85524D279ED4}"/>
    <cellStyle name="TitleII" xfId="450" xr:uid="{A58706D7-6148-4DE8-B7D2-7C47C5F08186}"/>
    <cellStyle name="Titles" xfId="451" xr:uid="{2C82F2B3-5708-4D67-B1BD-B9D9DBC497C0}"/>
    <cellStyle name="Titre" xfId="452" xr:uid="{052A6B52-A378-40A4-B48C-5573FD771785}"/>
    <cellStyle name="TOC 1" xfId="453" xr:uid="{3E0C7188-208D-4ED0-9E71-68D6AFA261B8}"/>
    <cellStyle name="TOC 2" xfId="454" xr:uid="{FEDED4AF-07D5-45EA-9031-EB278BA12CA3}"/>
    <cellStyle name="tom" xfId="455" xr:uid="{81D6750B-F5F5-4822-9C41-4F22E579DBBA}"/>
    <cellStyle name="Topline" xfId="456" xr:uid="{47822CBA-A589-450B-BF64-599E3597FF85}"/>
    <cellStyle name="Total 2" xfId="457" xr:uid="{7347CDB2-BE6D-417A-8E5E-A1711A521F22}"/>
    <cellStyle name="Total row" xfId="458" xr:uid="{9B2EE52D-269D-414C-B76F-36B39E9E37B8}"/>
    <cellStyle name="Tusenskille_Korrigeringer for å nettoføre VØT" xfId="459" xr:uid="{A06AE8A5-58FA-475E-A8A8-20210E3535A2}"/>
    <cellStyle name="Tusental (0)_1998-Q2" xfId="460" xr:uid="{8C06401F-15DC-427E-9087-EBC17A2587E5}"/>
    <cellStyle name="Tusental_1998-Q4-NORGE" xfId="461" xr:uid="{235CAA79-2617-4A7B-A84D-ACEE32632B85}"/>
    <cellStyle name="ul" xfId="462" xr:uid="{F2473994-EE6A-4535-BD71-D795B3ADBF7B}"/>
    <cellStyle name="Unhighlight" xfId="463" xr:uid="{A7C48D74-BA93-4771-90B4-C18A7E4BEFFE}"/>
    <cellStyle name="Unit" xfId="464" xr:uid="{4F4C854D-74FF-4459-9FD8-C81B5C6E570D}"/>
    <cellStyle name="units" xfId="465" xr:uid="{77364582-B7C0-4B39-8767-89D45DAB9890}"/>
    <cellStyle name="Untotal row" xfId="466" xr:uid="{873CAFA0-61DA-4154-8630-C6C48D2D8AFC}"/>
    <cellStyle name="Upload Only" xfId="467" xr:uid="{DAC8920B-976E-40C1-8C60-4A53FA33EFF9}"/>
    <cellStyle name="Valuta (0)_1998-Q2" xfId="468" xr:uid="{A5C359A5-BD1F-4C99-8447-819B97481606}"/>
    <cellStyle name="Warning Text 2" xfId="469" xr:uid="{C4162FA0-5201-4D94-9BEE-8183560CDCB4}"/>
    <cellStyle name="web_ normal" xfId="470" xr:uid="{C330368B-FF4D-44BB-923C-2CBBB4169D4B}"/>
    <cellStyle name="White" xfId="471" xr:uid="{655AFFBF-7C9F-45E0-B5E5-CCF39C60439C}"/>
    <cellStyle name="WholeNumber" xfId="472" xr:uid="{34FB4402-E599-46BE-96AB-F54ACADAE774}"/>
    <cellStyle name="WP Header" xfId="473" xr:uid="{D38EB256-F405-4DA8-B157-B173E47782D0}"/>
    <cellStyle name="Year" xfId="474" xr:uid="{768B97FF-3322-4A62-B255-A0DAA393534E}"/>
    <cellStyle name="Yen" xfId="475" xr:uid="{44FEA120-2811-4EEE-99DF-E41FFD327095}"/>
    <cellStyle name="똿뗦먛귟 [0.00]_PRODUCT DETAIL Q1_x0013_" xfId="476" xr:uid="{BA8F403B-4195-41FB-A3EC-D2370B683D0C}"/>
    <cellStyle name="똿뗦먛귟_PRODUCT DETAIL Q1TAIL" xfId="477" xr:uid="{C0CB5016-3EA3-4AB5-A3EB-5DE1D60C0FAF}"/>
    <cellStyle name="믅됞 [0.00]_PRODUCT DETAIL Q1Q3" xfId="478" xr:uid="{68C339A3-373C-4872-88B4-34CB66457E94}"/>
    <cellStyle name="믅됞_PRODUCT DETAIL Q1TA" xfId="479" xr:uid="{B2E6F7F7-EF20-43D7-9662-498F3F7947A1}"/>
    <cellStyle name="뷭?_BOOKSHIP_상세일정 (2) (2) " xfId="480" xr:uid="{ACFC7A6E-F42D-4EBD-A9D8-697B0EC8B156}"/>
    <cellStyle name="콤마 [0]_97년도 프로젝트 현황 (2)OMMENTS_총무" xfId="481" xr:uid="{4B4C113D-05C7-4A4F-8B43-4B614B044590}"/>
    <cellStyle name="콤마_97년도 프로젝트 현황 (2) (2)OMMENT" xfId="482" xr:uid="{4E7A57BF-5B59-444C-98ED-8BA2AB3506FB}"/>
    <cellStyle name="통화 [0]_97년도 프로젝트 현황 (2)OMMENT" xfId="483" xr:uid="{73327EDB-343C-4DCA-91CA-4E02C1A8839E}"/>
    <cellStyle name="통화_97년도 프로젝트 현황 (2) (2)OMMENT" xfId="484" xr:uid="{A91A0735-5C35-41FD-A2F5-82604C600FC9}"/>
    <cellStyle name="표준_97년 프로젝트 현황) (2) (2)" xfId="485" xr:uid="{4F1ACAF7-5651-4213-AC1B-30E581784977}"/>
  </cellStyles>
  <dxfs count="0"/>
  <tableStyles count="0" defaultTableStyle="TableStyleMedium2" defaultPivotStyle="PivotStyleLight16"/>
  <colors>
    <mruColors>
      <color rgb="FFFFFFCC"/>
      <color rgb="FF0000FF"/>
      <color rgb="FF80D4C1"/>
      <color rgb="FFF19375"/>
      <color rgb="FF00C994"/>
      <color rgb="FFF3F3FF"/>
      <color rgb="FFE1E1FF"/>
      <color rgb="FFFFE5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theme" Target="theme/theme1.xml"/><Relationship Id="rId58"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customXml" Target="../customXml/item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5.xml"/><Relationship Id="rId1" Type="http://schemas.microsoft.com/office/2011/relationships/chartStyle" Target="style15.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7.xml"/><Relationship Id="rId1" Type="http://schemas.microsoft.com/office/2011/relationships/chartStyle" Target="style17.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0.xml"/><Relationship Id="rId1" Type="http://schemas.microsoft.com/office/2011/relationships/chartStyle" Target="style20.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2.xml"/><Relationship Id="rId1" Type="http://schemas.microsoft.com/office/2011/relationships/chartStyle" Target="style22.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3.xml"/><Relationship Id="rId1" Type="http://schemas.microsoft.com/office/2011/relationships/chartStyle" Target="style23.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7.xml"/><Relationship Id="rId1" Type="http://schemas.microsoft.com/office/2011/relationships/chartStyle" Target="style27.xml"/></Relationships>
</file>

<file path=xl/charts/_rels/chart31.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xml"/><Relationship Id="rId1" Type="http://schemas.microsoft.com/office/2011/relationships/chartStyle" Target="style5.xml"/></Relationships>
</file>

<file path=xl/charts/_rels/chartEx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Ex3.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Ex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029214650260236E-2"/>
          <c:y val="3.3720930232558143E-2"/>
          <c:w val="0.9244037816565438"/>
          <c:h val="0.87093023255813951"/>
        </c:manualLayout>
      </c:layout>
      <c:barChart>
        <c:barDir val="col"/>
        <c:grouping val="clustered"/>
        <c:varyColors val="0"/>
        <c:ser>
          <c:idx val="0"/>
          <c:order val="0"/>
          <c:spPr>
            <a:solidFill>
              <a:srgbClr val="000080"/>
            </a:solidFill>
            <a:ln w="25400">
              <a:noFill/>
            </a:ln>
          </c:spPr>
          <c:invertIfNegative val="0"/>
          <c:val>
            <c:numRef>
              <c:f>[19]MASTER!$AG$161:$AH$161</c:f>
              <c:numCache>
                <c:formatCode>General</c:formatCode>
                <c:ptCount val="2"/>
                <c:pt idx="0">
                  <c:v>0</c:v>
                </c:pt>
                <c:pt idx="1">
                  <c:v>0</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[19]MASTER!$AF$161</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[19]MASTER!$AG$160:$AK$160</c15:sqref>
                        </c15:formulaRef>
                      </c:ext>
                    </c:extLst>
                    <c:numCache>
                      <c:formatCode>General</c:formatCode>
                      <c:ptCount val="5"/>
                      <c:pt idx="0">
                        <c:v>0</c:v>
                      </c:pt>
                      <c:pt idx="1">
                        <c:v>0</c:v>
                      </c:pt>
                      <c:pt idx="2">
                        <c:v>0</c:v>
                      </c:pt>
                      <c:pt idx="3">
                        <c:v>0</c:v>
                      </c:pt>
                      <c:pt idx="4">
                        <c:v>0</c:v>
                      </c:pt>
                    </c:numCache>
                  </c:numRef>
                </c15:cat>
              </c15:filteredCategoryTitle>
            </c:ext>
            <c:ext xmlns:c16="http://schemas.microsoft.com/office/drawing/2014/chart" uri="{C3380CC4-5D6E-409C-BE32-E72D297353CC}">
              <c16:uniqueId val="{00000000-D155-486D-AEE0-FB0DDBBF0EB4}"/>
            </c:ext>
          </c:extLst>
        </c:ser>
        <c:dLbls>
          <c:showLegendKey val="0"/>
          <c:showVal val="0"/>
          <c:showCatName val="0"/>
          <c:showSerName val="0"/>
          <c:showPercent val="0"/>
          <c:showBubbleSize val="0"/>
        </c:dLbls>
        <c:gapWidth val="150"/>
        <c:axId val="924590088"/>
        <c:axId val="924586560"/>
      </c:barChart>
      <c:catAx>
        <c:axId val="924590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24586560"/>
        <c:crosses val="autoZero"/>
        <c:auto val="1"/>
        <c:lblAlgn val="ctr"/>
        <c:lblOffset val="100"/>
        <c:tickLblSkip val="1"/>
        <c:tickMarkSkip val="1"/>
        <c:noMultiLvlLbl val="0"/>
      </c:catAx>
      <c:valAx>
        <c:axId val="924586560"/>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24590088"/>
        <c:crosses val="autoZero"/>
        <c:crossBetween val="between"/>
      </c:valAx>
      <c:spPr>
        <a:noFill/>
        <a:ln w="25400">
          <a:noFill/>
        </a:ln>
      </c:spPr>
    </c:plotArea>
    <c:legend>
      <c:legendPos val="b"/>
      <c:layout>
        <c:manualLayout>
          <c:xMode val="edge"/>
          <c:yMode val="edge"/>
          <c:x val="0.42175094160975235"/>
          <c:y val="0.95930232558139539"/>
          <c:w val="0.19363409149453137"/>
          <c:h val="3.3720930232558177E-2"/>
        </c:manualLayout>
      </c:layout>
      <c:overlay val="0"/>
      <c:spPr>
        <a:solidFill>
          <a:srgbClr val="FFFFFF"/>
        </a:solidFill>
        <a:ln w="25400">
          <a:noFill/>
        </a:ln>
      </c:spPr>
      <c:txPr>
        <a:bodyPr/>
        <a:lstStyle/>
        <a:p>
          <a:pPr>
            <a:defRPr sz="1010"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'Merger workings'!$B$190</c:f>
              <c:strCache>
                <c:ptCount val="1"/>
                <c:pt idx="0">
                  <c:v>Telkomsel</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workings'!$C$189:$F$189</c:f>
              <c:strCache>
                <c:ptCount val="4"/>
                <c:pt idx="0">
                  <c:v>Revenue share</c:v>
                </c:pt>
                <c:pt idx="1">
                  <c:v>EBITDA margin</c:v>
                </c:pt>
                <c:pt idx="2">
                  <c:v>EBITDAaL margin</c:v>
                </c:pt>
                <c:pt idx="3">
                  <c:v>Capex share</c:v>
                </c:pt>
              </c:strCache>
            </c:strRef>
          </c:cat>
          <c:val>
            <c:numRef>
              <c:f>'Merger workings'!$C$190:$F$190</c:f>
              <c:numCache>
                <c:formatCode>0.0%</c:formatCode>
                <c:ptCount val="4"/>
                <c:pt idx="0">
                  <c:v>0.52709439788676715</c:v>
                </c:pt>
                <c:pt idx="1">
                  <c:v>0.45295088186767135</c:v>
                </c:pt>
                <c:pt idx="2">
                  <c:v>-75848.694472775358</c:v>
                </c:pt>
                <c:pt idx="3">
                  <c:v>0.39034395708425373</c:v>
                </c:pt>
              </c:numCache>
            </c:numRef>
          </c:val>
          <c:extLst>
            <c:ext xmlns:c16="http://schemas.microsoft.com/office/drawing/2014/chart" uri="{C3380CC4-5D6E-409C-BE32-E72D297353CC}">
              <c16:uniqueId val="{00000000-3847-4986-8373-DD0E19E8F0E7}"/>
            </c:ext>
          </c:extLst>
        </c:ser>
        <c:ser>
          <c:idx val="1"/>
          <c:order val="1"/>
          <c:tx>
            <c:strRef>
              <c:f>'Merger workings'!$B$191</c:f>
              <c:strCache>
                <c:ptCount val="1"/>
                <c:pt idx="0">
                  <c:v>Indosat</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workings'!$C$189:$F$189</c:f>
              <c:strCache>
                <c:ptCount val="4"/>
                <c:pt idx="0">
                  <c:v>Revenue share</c:v>
                </c:pt>
                <c:pt idx="1">
                  <c:v>EBITDA margin</c:v>
                </c:pt>
                <c:pt idx="2">
                  <c:v>EBITDAaL margin</c:v>
                </c:pt>
                <c:pt idx="3">
                  <c:v>Capex share</c:v>
                </c:pt>
              </c:strCache>
            </c:strRef>
          </c:cat>
          <c:val>
            <c:numRef>
              <c:f>'Merger workings'!$C$191:$F$191</c:f>
              <c:numCache>
                <c:formatCode>0.0%</c:formatCode>
                <c:ptCount val="4"/>
                <c:pt idx="0">
                  <c:v>0.25990810413624399</c:v>
                </c:pt>
                <c:pt idx="1">
                  <c:v>0.47193443913611394</c:v>
                </c:pt>
                <c:pt idx="2">
                  <c:v>0.38082321617409443</c:v>
                </c:pt>
                <c:pt idx="3">
                  <c:v>0.31360050489113289</c:v>
                </c:pt>
              </c:numCache>
            </c:numRef>
          </c:val>
          <c:extLst>
            <c:ext xmlns:c16="http://schemas.microsoft.com/office/drawing/2014/chart" uri="{C3380CC4-5D6E-409C-BE32-E72D297353CC}">
              <c16:uniqueId val="{00000002-3847-4986-8373-DD0E19E8F0E7}"/>
            </c:ext>
          </c:extLst>
        </c:ser>
        <c:ser>
          <c:idx val="2"/>
          <c:order val="2"/>
          <c:tx>
            <c:strRef>
              <c:f>'Merger workings'!$B$192</c:f>
              <c:strCache>
                <c:ptCount val="1"/>
                <c:pt idx="0">
                  <c:v>XLSmart</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workings'!$C$189:$F$189</c:f>
              <c:strCache>
                <c:ptCount val="4"/>
                <c:pt idx="0">
                  <c:v>Revenue share</c:v>
                </c:pt>
                <c:pt idx="1">
                  <c:v>EBITDA margin</c:v>
                </c:pt>
                <c:pt idx="2">
                  <c:v>EBITDAaL margin</c:v>
                </c:pt>
                <c:pt idx="3">
                  <c:v>Capex share</c:v>
                </c:pt>
              </c:strCache>
            </c:strRef>
          </c:cat>
          <c:val>
            <c:numRef>
              <c:f>'Merger workings'!$C$192:$F$192</c:f>
              <c:numCache>
                <c:formatCode>0.0%</c:formatCode>
                <c:ptCount val="4"/>
                <c:pt idx="0">
                  <c:v>0.2129974979769888</c:v>
                </c:pt>
                <c:pt idx="1">
                  <c:v>0.49126637554585156</c:v>
                </c:pt>
                <c:pt idx="2">
                  <c:v>0.33671289817831501</c:v>
                </c:pt>
                <c:pt idx="3">
                  <c:v>0.29605553802461343</c:v>
                </c:pt>
              </c:numCache>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4940119392964525E-2"/>
          <c:y val="3.5653963102614504E-2"/>
          <c:w val="0.92700919215481159"/>
          <c:h val="0.67133324383686666"/>
        </c:manualLayout>
      </c:layout>
      <c:barChart>
        <c:barDir val="col"/>
        <c:grouping val="clustered"/>
        <c:varyColors val="0"/>
        <c:ser>
          <c:idx val="0"/>
          <c:order val="0"/>
          <c:spPr>
            <a:solidFill>
              <a:srgbClr val="263238"/>
            </a:solidFill>
            <a:ln>
              <a:noFill/>
            </a:ln>
            <a:effectLst/>
          </c:spPr>
          <c:invertIfNegative val="0"/>
          <c:dPt>
            <c:idx val="7"/>
            <c:invertIfNegative val="0"/>
            <c:bubble3D val="0"/>
            <c:spPr>
              <a:solidFill>
                <a:srgbClr val="F19375"/>
              </a:solidFill>
              <a:ln>
                <a:noFill/>
              </a:ln>
              <a:effectLst/>
            </c:spPr>
            <c:extLst>
              <c:ext xmlns:c16="http://schemas.microsoft.com/office/drawing/2014/chart" uri="{C3380CC4-5D6E-409C-BE32-E72D297353CC}">
                <c16:uniqueId val="{00000003-1107-4C6A-A4C8-76F7BD1177EF}"/>
              </c:ext>
            </c:extLst>
          </c:dPt>
          <c:dPt>
            <c:idx val="8"/>
            <c:invertIfNegative val="0"/>
            <c:bubble3D val="0"/>
            <c:spPr>
              <a:solidFill>
                <a:srgbClr val="F9663E"/>
              </a:solidFill>
              <a:ln>
                <a:noFill/>
              </a:ln>
              <a:effectLst/>
            </c:spPr>
            <c:extLst>
              <c:ext xmlns:c16="http://schemas.microsoft.com/office/drawing/2014/chart" uri="{C3380CC4-5D6E-409C-BE32-E72D297353CC}">
                <c16:uniqueId val="{00000003-F479-4001-A2E4-C9870D67A88F}"/>
              </c:ext>
            </c:extLst>
          </c:dPt>
          <c:dPt>
            <c:idx val="9"/>
            <c:invertIfNegative val="0"/>
            <c:bubble3D val="0"/>
            <c:spPr>
              <a:solidFill>
                <a:srgbClr val="F19375"/>
              </a:solidFill>
              <a:ln>
                <a:noFill/>
              </a:ln>
              <a:effectLst/>
            </c:spPr>
            <c:extLst>
              <c:ext xmlns:c16="http://schemas.microsoft.com/office/drawing/2014/chart" uri="{C3380CC4-5D6E-409C-BE32-E72D297353CC}">
                <c16:uniqueId val="{00000005-F144-4684-93B1-79FADBA389C2}"/>
              </c:ext>
            </c:extLst>
          </c:dPt>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workings'!$B$147:$B$156</c:f>
              <c:strCache>
                <c:ptCount val="10"/>
                <c:pt idx="0">
                  <c:v>Vodafone/Hutchison</c:v>
                </c:pt>
                <c:pt idx="1">
                  <c:v>DTAC/TRUE - Guided</c:v>
                </c:pt>
                <c:pt idx="2">
                  <c:v>Wind/ Hutchison</c:v>
                </c:pt>
                <c:pt idx="3">
                  <c:v>Telefonica/E-Plus</c:v>
                </c:pt>
                <c:pt idx="4">
                  <c:v>T-Mobile/ Sprint</c:v>
                </c:pt>
                <c:pt idx="5">
                  <c:v>Celcom/Digi</c:v>
                </c:pt>
                <c:pt idx="6">
                  <c:v>Indosat/Hutchison - Guided</c:v>
                </c:pt>
                <c:pt idx="7">
                  <c:v>XLSmart
 - Low</c:v>
                </c:pt>
                <c:pt idx="8">
                  <c:v>XLSmart
- NSRe</c:v>
                </c:pt>
                <c:pt idx="9">
                  <c:v>XLSmart
- High</c:v>
                </c:pt>
              </c:strCache>
            </c:strRef>
          </c:cat>
          <c:val>
            <c:numRef>
              <c:f>'Merger workings'!$C$147:$C$156</c:f>
              <c:numCache>
                <c:formatCode>0.0%</c:formatCode>
                <c:ptCount val="10"/>
                <c:pt idx="0">
                  <c:v>8.3234244946492272E-2</c:v>
                </c:pt>
                <c:pt idx="1">
                  <c:v>0.12011356191308147</c:v>
                </c:pt>
                <c:pt idx="2">
                  <c:v>0.124</c:v>
                </c:pt>
                <c:pt idx="3">
                  <c:v>0.125</c:v>
                </c:pt>
                <c:pt idx="4">
                  <c:v>0.133144003016155</c:v>
                </c:pt>
                <c:pt idx="5">
                  <c:v>0.14421343588510996</c:v>
                </c:pt>
                <c:pt idx="6">
                  <c:v>0.15037593984962405</c:v>
                </c:pt>
                <c:pt idx="7">
                  <c:v>0.15035500225610812</c:v>
                </c:pt>
                <c:pt idx="8">
                  <c:v>0.1754141692987928</c:v>
                </c:pt>
                <c:pt idx="9">
                  <c:v>0.20047333634147754</c:v>
                </c:pt>
              </c:numCache>
            </c:numRef>
          </c:val>
          <c:extLst>
            <c:ext xmlns:c16="http://schemas.microsoft.com/office/drawing/2014/chart" uri="{C3380CC4-5D6E-409C-BE32-E72D297353CC}">
              <c16:uniqueId val="{00000001-F2E8-4B4F-A04D-45171DF0F38C}"/>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'Merger workings'!$C$171</c:f>
              <c:strCache>
                <c:ptCount val="1"/>
                <c:pt idx="0">
                  <c:v>850MHz</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workings'!$B$172:$B$177</c:f>
              <c:strCache>
                <c:ptCount val="6"/>
                <c:pt idx="0">
                  <c:v>Telkomsel</c:v>
                </c:pt>
                <c:pt idx="1">
                  <c:v>Indosat</c:v>
                </c:pt>
                <c:pt idx="2">
                  <c:v>XLSmart</c:v>
                </c:pt>
                <c:pt idx="3">
                  <c:v>XLSmart - Without 900MHz</c:v>
                </c:pt>
                <c:pt idx="4">
                  <c:v>XL Axiata</c:v>
                </c:pt>
                <c:pt idx="5">
                  <c:v>Smartfren</c:v>
                </c:pt>
              </c:strCache>
            </c:strRef>
          </c:cat>
          <c:val>
            <c:numRef>
              <c:f>'Merger workings'!$C$172:$C$177</c:f>
              <c:numCache>
                <c:formatCode>General</c:formatCode>
                <c:ptCount val="6"/>
                <c:pt idx="2">
                  <c:v>22</c:v>
                </c:pt>
                <c:pt idx="3">
                  <c:v>22</c:v>
                </c:pt>
                <c:pt idx="5">
                  <c:v>22</c:v>
                </c:pt>
              </c:numCache>
            </c:numRef>
          </c:val>
          <c:extLst>
            <c:ext xmlns:c16="http://schemas.microsoft.com/office/drawing/2014/chart" uri="{C3380CC4-5D6E-409C-BE32-E72D297353CC}">
              <c16:uniqueId val="{00000001-D509-4433-BBAA-08667D1700F2}"/>
            </c:ext>
          </c:extLst>
        </c:ser>
        <c:ser>
          <c:idx val="1"/>
          <c:order val="1"/>
          <c:tx>
            <c:strRef>
              <c:f>'Merger workings'!$D$171</c:f>
              <c:strCache>
                <c:ptCount val="1"/>
                <c:pt idx="0">
                  <c:v>900MHz</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workings'!$B$172:$B$177</c:f>
              <c:strCache>
                <c:ptCount val="6"/>
                <c:pt idx="0">
                  <c:v>Telkomsel</c:v>
                </c:pt>
                <c:pt idx="1">
                  <c:v>Indosat</c:v>
                </c:pt>
                <c:pt idx="2">
                  <c:v>XLSmart</c:v>
                </c:pt>
                <c:pt idx="3">
                  <c:v>XLSmart - Without 900MHz</c:v>
                </c:pt>
                <c:pt idx="4">
                  <c:v>XL Axiata</c:v>
                </c:pt>
                <c:pt idx="5">
                  <c:v>Smartfren</c:v>
                </c:pt>
              </c:strCache>
            </c:strRef>
          </c:cat>
          <c:val>
            <c:numRef>
              <c:f>'Merger workings'!$D$172:$D$177</c:f>
              <c:numCache>
                <c:formatCode>General</c:formatCode>
                <c:ptCount val="6"/>
                <c:pt idx="0">
                  <c:v>30</c:v>
                </c:pt>
                <c:pt idx="1">
                  <c:v>25</c:v>
                </c:pt>
                <c:pt idx="2">
                  <c:v>15</c:v>
                </c:pt>
                <c:pt idx="4">
                  <c:v>15</c:v>
                </c:pt>
              </c:numCache>
            </c:numRef>
          </c:val>
          <c:extLst>
            <c:ext xmlns:c16="http://schemas.microsoft.com/office/drawing/2014/chart" uri="{C3380CC4-5D6E-409C-BE32-E72D297353CC}">
              <c16:uniqueId val="{00000003-D509-4433-BBAA-08667D1700F2}"/>
            </c:ext>
          </c:extLst>
        </c:ser>
        <c:ser>
          <c:idx val="2"/>
          <c:order val="2"/>
          <c:tx>
            <c:strRef>
              <c:f>'Merger workings'!$E$171</c:f>
              <c:strCache>
                <c:ptCount val="1"/>
                <c:pt idx="0">
                  <c:v>1800MHz</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workings'!$B$172:$B$177</c:f>
              <c:strCache>
                <c:ptCount val="6"/>
                <c:pt idx="0">
                  <c:v>Telkomsel</c:v>
                </c:pt>
                <c:pt idx="1">
                  <c:v>Indosat</c:v>
                </c:pt>
                <c:pt idx="2">
                  <c:v>XLSmart</c:v>
                </c:pt>
                <c:pt idx="3">
                  <c:v>XLSmart - Without 900MHz</c:v>
                </c:pt>
                <c:pt idx="4">
                  <c:v>XL Axiata</c:v>
                </c:pt>
                <c:pt idx="5">
                  <c:v>Smartfren</c:v>
                </c:pt>
              </c:strCache>
            </c:strRef>
          </c:cat>
          <c:val>
            <c:numRef>
              <c:f>'Merger workings'!$E$172:$E$177</c:f>
              <c:numCache>
                <c:formatCode>General</c:formatCode>
                <c:ptCount val="6"/>
                <c:pt idx="0">
                  <c:v>45</c:v>
                </c:pt>
                <c:pt idx="1">
                  <c:v>60</c:v>
                </c:pt>
                <c:pt idx="2">
                  <c:v>45</c:v>
                </c:pt>
                <c:pt idx="3">
                  <c:v>45</c:v>
                </c:pt>
                <c:pt idx="4">
                  <c:v>45</c:v>
                </c:pt>
              </c:numCache>
            </c:numRef>
          </c:val>
          <c:extLst>
            <c:ext xmlns:c16="http://schemas.microsoft.com/office/drawing/2014/chart" uri="{C3380CC4-5D6E-409C-BE32-E72D297353CC}">
              <c16:uniqueId val="{00000005-D509-4433-BBAA-08667D1700F2}"/>
            </c:ext>
          </c:extLst>
        </c:ser>
        <c:ser>
          <c:idx val="3"/>
          <c:order val="3"/>
          <c:tx>
            <c:strRef>
              <c:f>'Merger workings'!$F$171</c:f>
              <c:strCache>
                <c:ptCount val="1"/>
                <c:pt idx="0">
                  <c:v>2100MHz</c:v>
                </c:pt>
              </c:strCache>
            </c:strRef>
          </c:tx>
          <c:spPr>
            <a:solidFill>
              <a:srgbClr val="C7FE0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workings'!$B$172:$B$177</c:f>
              <c:strCache>
                <c:ptCount val="6"/>
                <c:pt idx="0">
                  <c:v>Telkomsel</c:v>
                </c:pt>
                <c:pt idx="1">
                  <c:v>Indosat</c:v>
                </c:pt>
                <c:pt idx="2">
                  <c:v>XLSmart</c:v>
                </c:pt>
                <c:pt idx="3">
                  <c:v>XLSmart - Without 900MHz</c:v>
                </c:pt>
                <c:pt idx="4">
                  <c:v>XL Axiata</c:v>
                </c:pt>
                <c:pt idx="5">
                  <c:v>Smartfren</c:v>
                </c:pt>
              </c:strCache>
            </c:strRef>
          </c:cat>
          <c:val>
            <c:numRef>
              <c:f>'Merger workings'!$F$172:$F$177</c:f>
              <c:numCache>
                <c:formatCode>General</c:formatCode>
                <c:ptCount val="6"/>
                <c:pt idx="0">
                  <c:v>40</c:v>
                </c:pt>
                <c:pt idx="1">
                  <c:v>50</c:v>
                </c:pt>
                <c:pt idx="2">
                  <c:v>30</c:v>
                </c:pt>
                <c:pt idx="3">
                  <c:v>30</c:v>
                </c:pt>
                <c:pt idx="4">
                  <c:v>30</c:v>
                </c:pt>
              </c:numCache>
            </c:numRef>
          </c:val>
          <c:extLst>
            <c:ext xmlns:c16="http://schemas.microsoft.com/office/drawing/2014/chart" uri="{C3380CC4-5D6E-409C-BE32-E72D297353CC}">
              <c16:uniqueId val="{00000007-D509-4433-BBAA-08667D1700F2}"/>
            </c:ext>
          </c:extLst>
        </c:ser>
        <c:ser>
          <c:idx val="4"/>
          <c:order val="4"/>
          <c:tx>
            <c:strRef>
              <c:f>'Merger workings'!$G$171</c:f>
              <c:strCache>
                <c:ptCount val="1"/>
                <c:pt idx="0">
                  <c:v>2300MHz</c:v>
                </c:pt>
              </c:strCache>
            </c:strRef>
          </c:tx>
          <c:spPr>
            <a:solidFill>
              <a:srgbClr val="00CA9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workings'!$B$172:$B$177</c:f>
              <c:strCache>
                <c:ptCount val="6"/>
                <c:pt idx="0">
                  <c:v>Telkomsel</c:v>
                </c:pt>
                <c:pt idx="1">
                  <c:v>Indosat</c:v>
                </c:pt>
                <c:pt idx="2">
                  <c:v>XLSmart</c:v>
                </c:pt>
                <c:pt idx="3">
                  <c:v>XLSmart - Without 900MHz</c:v>
                </c:pt>
                <c:pt idx="4">
                  <c:v>XL Axiata</c:v>
                </c:pt>
                <c:pt idx="5">
                  <c:v>Smartfren</c:v>
                </c:pt>
              </c:strCache>
            </c:strRef>
          </c:cat>
          <c:val>
            <c:numRef>
              <c:f>'Merger workings'!$G$172:$G$177</c:f>
              <c:numCache>
                <c:formatCode>General</c:formatCode>
                <c:ptCount val="6"/>
                <c:pt idx="0">
                  <c:v>50</c:v>
                </c:pt>
                <c:pt idx="2">
                  <c:v>40</c:v>
                </c:pt>
                <c:pt idx="3">
                  <c:v>40</c:v>
                </c:pt>
                <c:pt idx="5">
                  <c:v>40</c:v>
                </c:pt>
              </c:numCache>
            </c:numRef>
          </c:val>
          <c:extLst>
            <c:ext xmlns:c16="http://schemas.microsoft.com/office/drawing/2014/chart" uri="{C3380CC4-5D6E-409C-BE32-E72D297353CC}">
              <c16:uniqueId val="{00000009-D509-4433-BBAA-08667D1700F2}"/>
            </c:ext>
          </c:extLst>
        </c:ser>
        <c:dLbls>
          <c:showLegendKey val="0"/>
          <c:showVal val="0"/>
          <c:showCatName val="0"/>
          <c:showSerName val="0"/>
          <c:showPercent val="0"/>
          <c:showBubbleSize val="0"/>
        </c:dLbls>
        <c:gapWidth val="30"/>
        <c:overlap val="100"/>
        <c:axId val="1495160607"/>
        <c:axId val="1495161855"/>
      </c:barChart>
      <c:lineChart>
        <c:grouping val="standard"/>
        <c:varyColors val="0"/>
        <c:ser>
          <c:idx val="5"/>
          <c:order val="5"/>
          <c:tx>
            <c:strRef>
              <c:f>'Merger workings'!$H$171</c:f>
              <c:strCache>
                <c:ptCount val="1"/>
                <c:pt idx="0">
                  <c:v>Total</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workings'!$B$172:$B$177</c:f>
              <c:strCache>
                <c:ptCount val="6"/>
                <c:pt idx="0">
                  <c:v>Telkomsel</c:v>
                </c:pt>
                <c:pt idx="1">
                  <c:v>Indosat</c:v>
                </c:pt>
                <c:pt idx="2">
                  <c:v>XLSmart</c:v>
                </c:pt>
                <c:pt idx="3">
                  <c:v>XLSmart - Without 900MHz</c:v>
                </c:pt>
                <c:pt idx="4">
                  <c:v>XL Axiata</c:v>
                </c:pt>
                <c:pt idx="5">
                  <c:v>Smartfren</c:v>
                </c:pt>
              </c:strCache>
            </c:strRef>
          </c:cat>
          <c:val>
            <c:numRef>
              <c:f>'Merger workings'!$H$172:$H$177</c:f>
              <c:numCache>
                <c:formatCode>General</c:formatCode>
                <c:ptCount val="6"/>
                <c:pt idx="0">
                  <c:v>165</c:v>
                </c:pt>
                <c:pt idx="1">
                  <c:v>135</c:v>
                </c:pt>
                <c:pt idx="2">
                  <c:v>152</c:v>
                </c:pt>
                <c:pt idx="3">
                  <c:v>137</c:v>
                </c:pt>
                <c:pt idx="4">
                  <c:v>90</c:v>
                </c:pt>
                <c:pt idx="5">
                  <c:v>62</c:v>
                </c:pt>
              </c:numCache>
            </c:numRef>
          </c:val>
          <c:smooth val="0"/>
          <c:extLst>
            <c:ext xmlns:c16="http://schemas.microsoft.com/office/drawing/2014/chart" uri="{C3380CC4-5D6E-409C-BE32-E72D297353CC}">
              <c16:uniqueId val="{0000000C-D1B2-451D-B762-6BDBB3DA33C3}"/>
            </c:ext>
          </c:extLst>
        </c:ser>
        <c:dLbls>
          <c:showLegendKey val="0"/>
          <c:showVal val="0"/>
          <c:showCatName val="0"/>
          <c:showSerName val="0"/>
          <c:showPercent val="0"/>
          <c:showBubbleSize val="0"/>
        </c:dLbls>
        <c:marker val="1"/>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General" sourceLinked="1"/>
        <c:majorTickMark val="none"/>
        <c:minorTickMark val="none"/>
        <c:tickLblPos val="nextTo"/>
        <c:crossAx val="1495160607"/>
        <c:crosses val="autoZero"/>
        <c:crossBetween val="between"/>
      </c:val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'Merger workings'!$J$6</c:f>
              <c:strCache>
                <c:ptCount val="1"/>
                <c:pt idx="0">
                  <c:v>Telkomsel</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workings'!$I$7:$I$9</c:f>
              <c:strCache>
                <c:ptCount val="3"/>
                <c:pt idx="0">
                  <c:v>Labour costs</c:v>
                </c:pt>
                <c:pt idx="1">
                  <c:v>Sales and marketing</c:v>
                </c:pt>
                <c:pt idx="2">
                  <c:v>G&amp;A costs</c:v>
                </c:pt>
              </c:strCache>
            </c:strRef>
          </c:cat>
          <c:val>
            <c:numRef>
              <c:f>'Merger workings'!$J$7:$J$9</c:f>
              <c:numCache>
                <c:formatCode>0.0%</c:formatCode>
                <c:ptCount val="3"/>
                <c:pt idx="0">
                  <c:v>6.8268237724157355E-2</c:v>
                </c:pt>
                <c:pt idx="1">
                  <c:v>2.8788376678246175E-2</c:v>
                </c:pt>
                <c:pt idx="2">
                  <c:v>1.3895408881795137E-2</c:v>
                </c:pt>
              </c:numCache>
            </c:numRef>
          </c:val>
          <c:extLst>
            <c:ext xmlns:c16="http://schemas.microsoft.com/office/drawing/2014/chart" uri="{C3380CC4-5D6E-409C-BE32-E72D297353CC}">
              <c16:uniqueId val="{00000000-3847-4986-8373-DD0E19E8F0E7}"/>
            </c:ext>
          </c:extLst>
        </c:ser>
        <c:ser>
          <c:idx val="1"/>
          <c:order val="1"/>
          <c:tx>
            <c:strRef>
              <c:f>'Merger workings'!$K$6</c:f>
              <c:strCache>
                <c:ptCount val="1"/>
                <c:pt idx="0">
                  <c:v>Indosat</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workings'!$I$7:$I$9</c:f>
              <c:strCache>
                <c:ptCount val="3"/>
                <c:pt idx="0">
                  <c:v>Labour costs</c:v>
                </c:pt>
                <c:pt idx="1">
                  <c:v>Sales and marketing</c:v>
                </c:pt>
                <c:pt idx="2">
                  <c:v>G&amp;A costs</c:v>
                </c:pt>
              </c:strCache>
            </c:strRef>
          </c:cat>
          <c:val>
            <c:numRef>
              <c:f>'Merger workings'!$K$7:$K$9</c:f>
              <c:numCache>
                <c:formatCode>0.0%</c:formatCode>
                <c:ptCount val="3"/>
                <c:pt idx="0">
                  <c:v>7.0314742179278675E-2</c:v>
                </c:pt>
                <c:pt idx="1">
                  <c:v>3.4870372141968815E-2</c:v>
                </c:pt>
                <c:pt idx="2">
                  <c:v>1.5952358174686692E-2</c:v>
                </c:pt>
              </c:numCache>
            </c:numRef>
          </c:val>
          <c:extLst>
            <c:ext xmlns:c16="http://schemas.microsoft.com/office/drawing/2014/chart" uri="{C3380CC4-5D6E-409C-BE32-E72D297353CC}">
              <c16:uniqueId val="{00000002-3847-4986-8373-DD0E19E8F0E7}"/>
            </c:ext>
          </c:extLst>
        </c:ser>
        <c:ser>
          <c:idx val="2"/>
          <c:order val="2"/>
          <c:tx>
            <c:strRef>
              <c:f>'Merger workings'!$L$6</c:f>
              <c:strCache>
                <c:ptCount val="1"/>
                <c:pt idx="0">
                  <c:v>XLSmart</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workings'!$I$7:$I$9</c:f>
              <c:strCache>
                <c:ptCount val="3"/>
                <c:pt idx="0">
                  <c:v>Labour costs</c:v>
                </c:pt>
                <c:pt idx="1">
                  <c:v>Sales and marketing</c:v>
                </c:pt>
                <c:pt idx="2">
                  <c:v>G&amp;A costs</c:v>
                </c:pt>
              </c:strCache>
            </c:strRef>
          </c:cat>
          <c:val>
            <c:numRef>
              <c:f>'Merger workings'!$L$7:$L$9</c:f>
              <c:numCache>
                <c:formatCode>0.0%</c:formatCode>
                <c:ptCount val="3"/>
                <c:pt idx="0">
                  <c:v>5.3526911194110918E-2</c:v>
                </c:pt>
                <c:pt idx="1">
                  <c:v>7.9766026317983713E-2</c:v>
                </c:pt>
                <c:pt idx="2">
                  <c:v>1.3561829275921715E-2</c:v>
                </c:pt>
              </c:numCache>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'Merger workings'!$B$190</c:f>
              <c:strCache>
                <c:ptCount val="1"/>
                <c:pt idx="0">
                  <c:v>Telkomsel</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workings'!$G$189:$J$189</c:f>
              <c:strCache>
                <c:ptCount val="4"/>
                <c:pt idx="0">
                  <c:v>Mobile subscriber share</c:v>
                </c:pt>
                <c:pt idx="1">
                  <c:v>Mobile revenue share</c:v>
                </c:pt>
                <c:pt idx="2">
                  <c:v>Spectrum share - Before</c:v>
                </c:pt>
                <c:pt idx="3">
                  <c:v>Spectrum share - After</c:v>
                </c:pt>
              </c:strCache>
            </c:strRef>
          </c:cat>
          <c:val>
            <c:numRef>
              <c:f>'Merger workings'!$G$190:$J$190</c:f>
              <c:numCache>
                <c:formatCode>0.0%</c:formatCode>
                <c:ptCount val="4"/>
                <c:pt idx="0">
                  <c:v>0.45503150330505349</c:v>
                </c:pt>
                <c:pt idx="1">
                  <c:v>0.48300653230791502</c:v>
                </c:pt>
                <c:pt idx="2">
                  <c:v>0.36504424778761063</c:v>
                </c:pt>
                <c:pt idx="3">
                  <c:v>0.37757437070938216</c:v>
                </c:pt>
              </c:numCache>
            </c:numRef>
          </c:val>
          <c:extLst>
            <c:ext xmlns:c16="http://schemas.microsoft.com/office/drawing/2014/chart" uri="{C3380CC4-5D6E-409C-BE32-E72D297353CC}">
              <c16:uniqueId val="{00000000-3847-4986-8373-DD0E19E8F0E7}"/>
            </c:ext>
          </c:extLst>
        </c:ser>
        <c:ser>
          <c:idx val="1"/>
          <c:order val="1"/>
          <c:tx>
            <c:strRef>
              <c:f>'Merger workings'!$B$191</c:f>
              <c:strCache>
                <c:ptCount val="1"/>
                <c:pt idx="0">
                  <c:v>Indosat</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workings'!$G$189:$J$189</c:f>
              <c:strCache>
                <c:ptCount val="4"/>
                <c:pt idx="0">
                  <c:v>Mobile subscriber share</c:v>
                </c:pt>
                <c:pt idx="1">
                  <c:v>Mobile revenue share</c:v>
                </c:pt>
                <c:pt idx="2">
                  <c:v>Spectrum share - Before</c:v>
                </c:pt>
                <c:pt idx="3">
                  <c:v>Spectrum share - After</c:v>
                </c:pt>
              </c:strCache>
            </c:strRef>
          </c:cat>
          <c:val>
            <c:numRef>
              <c:f>'Merger workings'!$G$191:$J$191</c:f>
              <c:numCache>
                <c:formatCode>0.0%</c:formatCode>
                <c:ptCount val="4"/>
                <c:pt idx="0">
                  <c:v>0.2733438201088218</c:v>
                </c:pt>
                <c:pt idx="1">
                  <c:v>0.26193830783709882</c:v>
                </c:pt>
                <c:pt idx="2">
                  <c:v>0.29867256637168144</c:v>
                </c:pt>
                <c:pt idx="3">
                  <c:v>0.30892448512585813</c:v>
                </c:pt>
              </c:numCache>
            </c:numRef>
          </c:val>
          <c:extLst>
            <c:ext xmlns:c16="http://schemas.microsoft.com/office/drawing/2014/chart" uri="{C3380CC4-5D6E-409C-BE32-E72D297353CC}">
              <c16:uniqueId val="{00000002-3847-4986-8373-DD0E19E8F0E7}"/>
            </c:ext>
          </c:extLst>
        </c:ser>
        <c:ser>
          <c:idx val="2"/>
          <c:order val="2"/>
          <c:tx>
            <c:strRef>
              <c:f>'Merger workings'!$B$192</c:f>
              <c:strCache>
                <c:ptCount val="1"/>
                <c:pt idx="0">
                  <c:v>XLSmart</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workings'!$G$189:$J$189</c:f>
              <c:strCache>
                <c:ptCount val="4"/>
                <c:pt idx="0">
                  <c:v>Mobile subscriber share</c:v>
                </c:pt>
                <c:pt idx="1">
                  <c:v>Mobile revenue share</c:v>
                </c:pt>
                <c:pt idx="2">
                  <c:v>Spectrum share - Before</c:v>
                </c:pt>
                <c:pt idx="3">
                  <c:v>Spectrum share - After</c:v>
                </c:pt>
              </c:strCache>
            </c:strRef>
          </c:cat>
          <c:val>
            <c:numRef>
              <c:f>'Merger workings'!$G$192:$J$192</c:f>
              <c:numCache>
                <c:formatCode>0.0%</c:formatCode>
                <c:ptCount val="4"/>
                <c:pt idx="0">
                  <c:v>0.27162467658612466</c:v>
                </c:pt>
                <c:pt idx="1">
                  <c:v>0.25505515985498617</c:v>
                </c:pt>
                <c:pt idx="2">
                  <c:v>0.33628318584070799</c:v>
                </c:pt>
                <c:pt idx="3">
                  <c:v>0.31350114416475972</c:v>
                </c:pt>
              </c:numCache>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'Merger workings'!$C$171</c:f>
              <c:strCache>
                <c:ptCount val="1"/>
                <c:pt idx="0">
                  <c:v>850MHz</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workings'!$C$172:$C$175</c:f>
              <c:numCache>
                <c:formatCode>General</c:formatCode>
                <c:ptCount val="4"/>
                <c:pt idx="2">
                  <c:v>22</c:v>
                </c:pt>
                <c:pt idx="3">
                  <c:v>22</c:v>
                </c:pt>
              </c:numCache>
            </c:numRef>
          </c:val>
          <c:extLst>
            <c:ext xmlns:c16="http://schemas.microsoft.com/office/drawing/2014/chart" uri="{C3380CC4-5D6E-409C-BE32-E72D297353CC}">
              <c16:uniqueId val="{00000001-D509-4433-BBAA-08667D1700F2}"/>
            </c:ext>
          </c:extLst>
        </c:ser>
        <c:ser>
          <c:idx val="1"/>
          <c:order val="1"/>
          <c:tx>
            <c:strRef>
              <c:f>'Merger workings'!$D$171</c:f>
              <c:strCache>
                <c:ptCount val="1"/>
                <c:pt idx="0">
                  <c:v>900MHz</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workings'!$D$172:$D$175</c:f>
              <c:numCache>
                <c:formatCode>General</c:formatCode>
                <c:ptCount val="4"/>
                <c:pt idx="0">
                  <c:v>30</c:v>
                </c:pt>
                <c:pt idx="1">
                  <c:v>25</c:v>
                </c:pt>
                <c:pt idx="2">
                  <c:v>15</c:v>
                </c:pt>
              </c:numCache>
            </c:numRef>
          </c:val>
          <c:extLst>
            <c:ext xmlns:c16="http://schemas.microsoft.com/office/drawing/2014/chart" uri="{C3380CC4-5D6E-409C-BE32-E72D297353CC}">
              <c16:uniqueId val="{00000003-D509-4433-BBAA-08667D1700F2}"/>
            </c:ext>
          </c:extLst>
        </c:ser>
        <c:ser>
          <c:idx val="2"/>
          <c:order val="2"/>
          <c:tx>
            <c:strRef>
              <c:f>'Merger workings'!$E$171</c:f>
              <c:strCache>
                <c:ptCount val="1"/>
                <c:pt idx="0">
                  <c:v>1800MHz</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workings'!$E$172:$E$175</c:f>
              <c:numCache>
                <c:formatCode>General</c:formatCode>
                <c:ptCount val="4"/>
                <c:pt idx="0">
                  <c:v>45</c:v>
                </c:pt>
                <c:pt idx="1">
                  <c:v>60</c:v>
                </c:pt>
                <c:pt idx="2">
                  <c:v>45</c:v>
                </c:pt>
                <c:pt idx="3">
                  <c:v>45</c:v>
                </c:pt>
              </c:numCache>
            </c:numRef>
          </c:val>
          <c:extLst>
            <c:ext xmlns:c16="http://schemas.microsoft.com/office/drawing/2014/chart" uri="{C3380CC4-5D6E-409C-BE32-E72D297353CC}">
              <c16:uniqueId val="{00000005-D509-4433-BBAA-08667D1700F2}"/>
            </c:ext>
          </c:extLst>
        </c:ser>
        <c:ser>
          <c:idx val="3"/>
          <c:order val="3"/>
          <c:tx>
            <c:strRef>
              <c:f>'Merger workings'!$F$171</c:f>
              <c:strCache>
                <c:ptCount val="1"/>
                <c:pt idx="0">
                  <c:v>2100MHz</c:v>
                </c:pt>
              </c:strCache>
            </c:strRef>
          </c:tx>
          <c:spPr>
            <a:solidFill>
              <a:srgbClr val="C7FE0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workings'!$F$172:$F$175</c:f>
              <c:numCache>
                <c:formatCode>General</c:formatCode>
                <c:ptCount val="4"/>
                <c:pt idx="0">
                  <c:v>40</c:v>
                </c:pt>
                <c:pt idx="1">
                  <c:v>50</c:v>
                </c:pt>
                <c:pt idx="2">
                  <c:v>30</c:v>
                </c:pt>
                <c:pt idx="3">
                  <c:v>30</c:v>
                </c:pt>
              </c:numCache>
            </c:numRef>
          </c:val>
          <c:extLst>
            <c:ext xmlns:c16="http://schemas.microsoft.com/office/drawing/2014/chart" uri="{C3380CC4-5D6E-409C-BE32-E72D297353CC}">
              <c16:uniqueId val="{00000007-D509-4433-BBAA-08667D1700F2}"/>
            </c:ext>
          </c:extLst>
        </c:ser>
        <c:ser>
          <c:idx val="4"/>
          <c:order val="4"/>
          <c:tx>
            <c:strRef>
              <c:f>'Merger workings'!$G$171</c:f>
              <c:strCache>
                <c:ptCount val="1"/>
                <c:pt idx="0">
                  <c:v>2300MHz</c:v>
                </c:pt>
              </c:strCache>
            </c:strRef>
          </c:tx>
          <c:spPr>
            <a:solidFill>
              <a:srgbClr val="00CA9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workings'!$G$172:$G$175</c:f>
              <c:numCache>
                <c:formatCode>General</c:formatCode>
                <c:ptCount val="4"/>
                <c:pt idx="0">
                  <c:v>50</c:v>
                </c:pt>
                <c:pt idx="2">
                  <c:v>40</c:v>
                </c:pt>
                <c:pt idx="3">
                  <c:v>40</c:v>
                </c:pt>
              </c:numCache>
            </c:numRef>
          </c:val>
          <c:extLst>
            <c:ext xmlns:c16="http://schemas.microsoft.com/office/drawing/2014/chart" uri="{C3380CC4-5D6E-409C-BE32-E72D297353CC}">
              <c16:uniqueId val="{00000009-D509-4433-BBAA-08667D1700F2}"/>
            </c:ext>
          </c:extLst>
        </c:ser>
        <c:dLbls>
          <c:showLegendKey val="0"/>
          <c:showVal val="0"/>
          <c:showCatName val="0"/>
          <c:showSerName val="0"/>
          <c:showPercent val="0"/>
          <c:showBubbleSize val="0"/>
        </c:dLbls>
        <c:gapWidth val="30"/>
        <c:overlap val="100"/>
        <c:axId val="1495160607"/>
        <c:axId val="1495161855"/>
      </c:barChart>
      <c:lineChart>
        <c:grouping val="standard"/>
        <c:varyColors val="0"/>
        <c:ser>
          <c:idx val="5"/>
          <c:order val="5"/>
          <c:tx>
            <c:strRef>
              <c:f>'Merger workings'!$H$171</c:f>
              <c:strCache>
                <c:ptCount val="1"/>
                <c:pt idx="0">
                  <c:v>Total</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workings'!$H$172:$H$175</c:f>
              <c:numCache>
                <c:formatCode>General</c:formatCode>
                <c:ptCount val="4"/>
                <c:pt idx="0">
                  <c:v>165</c:v>
                </c:pt>
                <c:pt idx="1">
                  <c:v>135</c:v>
                </c:pt>
                <c:pt idx="2">
                  <c:v>152</c:v>
                </c:pt>
                <c:pt idx="3">
                  <c:v>137</c:v>
                </c:pt>
              </c:numCache>
            </c:numRef>
          </c:val>
          <c:smooth val="0"/>
          <c:extLst>
            <c:ext xmlns:c16="http://schemas.microsoft.com/office/drawing/2014/chart" uri="{C3380CC4-5D6E-409C-BE32-E72D297353CC}">
              <c16:uniqueId val="{0000000C-D1B2-451D-B762-6BDBB3DA33C3}"/>
            </c:ext>
          </c:extLst>
        </c:ser>
        <c:dLbls>
          <c:showLegendKey val="0"/>
          <c:showVal val="0"/>
          <c:showCatName val="0"/>
          <c:showSerName val="0"/>
          <c:showPercent val="0"/>
          <c:showBubbleSize val="0"/>
        </c:dLbls>
        <c:marker val="1"/>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General" sourceLinked="1"/>
        <c:majorTickMark val="none"/>
        <c:minorTickMark val="none"/>
        <c:tickLblPos val="nextTo"/>
        <c:crossAx val="1495160607"/>
        <c:crosses val="autoZero"/>
        <c:crossBetween val="between"/>
      </c:val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'Merger workings'!$C$171</c:f>
              <c:strCache>
                <c:ptCount val="1"/>
                <c:pt idx="0">
                  <c:v>850MHz</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workings'!$C$172:$C$175</c:f>
              <c:numCache>
                <c:formatCode>General</c:formatCode>
                <c:ptCount val="4"/>
                <c:pt idx="2">
                  <c:v>22</c:v>
                </c:pt>
                <c:pt idx="3">
                  <c:v>22</c:v>
                </c:pt>
              </c:numCache>
            </c:numRef>
          </c:val>
          <c:extLst>
            <c:ext xmlns:c16="http://schemas.microsoft.com/office/drawing/2014/chart" uri="{C3380CC4-5D6E-409C-BE32-E72D297353CC}">
              <c16:uniqueId val="{00000001-F7DD-477A-B5AE-72C659D0C9D1}"/>
            </c:ext>
          </c:extLst>
        </c:ser>
        <c:ser>
          <c:idx val="1"/>
          <c:order val="1"/>
          <c:tx>
            <c:strRef>
              <c:f>'Merger workings'!$D$171</c:f>
              <c:strCache>
                <c:ptCount val="1"/>
                <c:pt idx="0">
                  <c:v>900MHz</c:v>
                </c:pt>
              </c:strCache>
            </c:strRef>
          </c:tx>
          <c:spPr>
            <a:solidFill>
              <a:srgbClr val="465A6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workings'!$D$172:$D$175</c:f>
              <c:numCache>
                <c:formatCode>General</c:formatCode>
                <c:ptCount val="4"/>
                <c:pt idx="0">
                  <c:v>30</c:v>
                </c:pt>
                <c:pt idx="1">
                  <c:v>25</c:v>
                </c:pt>
                <c:pt idx="2">
                  <c:v>15</c:v>
                </c:pt>
              </c:numCache>
            </c:numRef>
          </c:val>
          <c:extLst>
            <c:ext xmlns:c16="http://schemas.microsoft.com/office/drawing/2014/chart" uri="{C3380CC4-5D6E-409C-BE32-E72D297353CC}">
              <c16:uniqueId val="{00000003-F7DD-477A-B5AE-72C659D0C9D1}"/>
            </c:ext>
          </c:extLst>
        </c:ser>
        <c:ser>
          <c:idx val="2"/>
          <c:order val="2"/>
          <c:tx>
            <c:strRef>
              <c:f>'Merger workings'!$E$171</c:f>
              <c:strCache>
                <c:ptCount val="1"/>
                <c:pt idx="0">
                  <c:v>1800MHz</c:v>
                </c:pt>
              </c:strCache>
            </c:strRef>
          </c:tx>
          <c:spPr>
            <a:solidFill>
              <a:srgbClr val="617D8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workings'!$E$172:$E$175</c:f>
              <c:numCache>
                <c:formatCode>General</c:formatCode>
                <c:ptCount val="4"/>
                <c:pt idx="0">
                  <c:v>45</c:v>
                </c:pt>
                <c:pt idx="1">
                  <c:v>60</c:v>
                </c:pt>
                <c:pt idx="2">
                  <c:v>45</c:v>
                </c:pt>
                <c:pt idx="3">
                  <c:v>45</c:v>
                </c:pt>
              </c:numCache>
            </c:numRef>
          </c:val>
          <c:extLst>
            <c:ext xmlns:c16="http://schemas.microsoft.com/office/drawing/2014/chart" uri="{C3380CC4-5D6E-409C-BE32-E72D297353CC}">
              <c16:uniqueId val="{00000005-F7DD-477A-B5AE-72C659D0C9D1}"/>
            </c:ext>
          </c:extLst>
        </c:ser>
        <c:ser>
          <c:idx val="3"/>
          <c:order val="3"/>
          <c:tx>
            <c:strRef>
              <c:f>'Merger workings'!$F$171</c:f>
              <c:strCache>
                <c:ptCount val="1"/>
                <c:pt idx="0">
                  <c:v>2100MHz</c:v>
                </c:pt>
              </c:strCache>
            </c:strRef>
          </c:tx>
          <c:spPr>
            <a:solidFill>
              <a:srgbClr val="91A4A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workings'!$F$172:$F$175</c:f>
              <c:numCache>
                <c:formatCode>General</c:formatCode>
                <c:ptCount val="4"/>
                <c:pt idx="0">
                  <c:v>40</c:v>
                </c:pt>
                <c:pt idx="1">
                  <c:v>50</c:v>
                </c:pt>
                <c:pt idx="2">
                  <c:v>30</c:v>
                </c:pt>
                <c:pt idx="3">
                  <c:v>30</c:v>
                </c:pt>
              </c:numCache>
            </c:numRef>
          </c:val>
          <c:extLst>
            <c:ext xmlns:c16="http://schemas.microsoft.com/office/drawing/2014/chart" uri="{C3380CC4-5D6E-409C-BE32-E72D297353CC}">
              <c16:uniqueId val="{00000007-F7DD-477A-B5AE-72C659D0C9D1}"/>
            </c:ext>
          </c:extLst>
        </c:ser>
        <c:ser>
          <c:idx val="4"/>
          <c:order val="4"/>
          <c:tx>
            <c:strRef>
              <c:f>'Merger workings'!$G$171</c:f>
              <c:strCache>
                <c:ptCount val="1"/>
                <c:pt idx="0">
                  <c:v>2300MHz</c:v>
                </c:pt>
              </c:strCache>
            </c:strRef>
          </c:tx>
          <c:spPr>
            <a:solidFill>
              <a:srgbClr val="CFD8D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workings'!$G$172:$G$175</c:f>
              <c:numCache>
                <c:formatCode>General</c:formatCode>
                <c:ptCount val="4"/>
                <c:pt idx="0">
                  <c:v>50</c:v>
                </c:pt>
                <c:pt idx="2">
                  <c:v>40</c:v>
                </c:pt>
                <c:pt idx="3">
                  <c:v>40</c:v>
                </c:pt>
              </c:numCache>
            </c:numRef>
          </c:val>
          <c:extLst>
            <c:ext xmlns:c16="http://schemas.microsoft.com/office/drawing/2014/chart" uri="{C3380CC4-5D6E-409C-BE32-E72D297353CC}">
              <c16:uniqueId val="{00000009-F7DD-477A-B5AE-72C659D0C9D1}"/>
            </c:ext>
          </c:extLst>
        </c:ser>
        <c:dLbls>
          <c:showLegendKey val="0"/>
          <c:showVal val="0"/>
          <c:showCatName val="0"/>
          <c:showSerName val="0"/>
          <c:showPercent val="0"/>
          <c:showBubbleSize val="0"/>
        </c:dLbls>
        <c:gapWidth val="30"/>
        <c:overlap val="100"/>
        <c:axId val="1495160607"/>
        <c:axId val="1495161855"/>
      </c:barChart>
      <c:lineChart>
        <c:grouping val="standard"/>
        <c:varyColors val="0"/>
        <c:ser>
          <c:idx val="5"/>
          <c:order val="5"/>
          <c:tx>
            <c:strRef>
              <c:f>'Merger workings'!$H$171</c:f>
              <c:strCache>
                <c:ptCount val="1"/>
                <c:pt idx="0">
                  <c:v>Total</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workings'!$B$172:$B$175</c:f>
              <c:strCache>
                <c:ptCount val="4"/>
                <c:pt idx="0">
                  <c:v>Telkomsel</c:v>
                </c:pt>
                <c:pt idx="1">
                  <c:v>Indosat</c:v>
                </c:pt>
                <c:pt idx="2">
                  <c:v>XLSmart</c:v>
                </c:pt>
                <c:pt idx="3">
                  <c:v>XLSmart - Without 900MHz</c:v>
                </c:pt>
              </c:strCache>
            </c:strRef>
          </c:cat>
          <c:val>
            <c:numRef>
              <c:f>'Merger workings'!$H$172:$H$175</c:f>
              <c:numCache>
                <c:formatCode>General</c:formatCode>
                <c:ptCount val="4"/>
                <c:pt idx="0">
                  <c:v>165</c:v>
                </c:pt>
                <c:pt idx="1">
                  <c:v>135</c:v>
                </c:pt>
                <c:pt idx="2">
                  <c:v>152</c:v>
                </c:pt>
                <c:pt idx="3">
                  <c:v>137</c:v>
                </c:pt>
              </c:numCache>
            </c:numRef>
          </c:val>
          <c:smooth val="0"/>
          <c:extLst>
            <c:ext xmlns:c16="http://schemas.microsoft.com/office/drawing/2014/chart" uri="{C3380CC4-5D6E-409C-BE32-E72D297353CC}">
              <c16:uniqueId val="{0000000B-F7DD-477A-B5AE-72C659D0C9D1}"/>
            </c:ext>
          </c:extLst>
        </c:ser>
        <c:dLbls>
          <c:showLegendKey val="0"/>
          <c:showVal val="0"/>
          <c:showCatName val="0"/>
          <c:showSerName val="0"/>
          <c:showPercent val="0"/>
          <c:showBubbleSize val="0"/>
        </c:dLbls>
        <c:marker val="1"/>
        <c:smooth val="0"/>
        <c:axId val="1495160607"/>
        <c:axId val="1495161855"/>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General" sourceLinked="1"/>
        <c:majorTickMark val="out"/>
        <c:minorTickMark val="none"/>
        <c:tickLblPos val="nextTo"/>
        <c:crossAx val="1495160607"/>
        <c:crosses val="autoZero"/>
        <c:crossBetween val="between"/>
      </c:val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rgbClr val="263238"/>
              </a:solidFill>
              <a:ln>
                <a:noFill/>
              </a:ln>
              <a:effectLst/>
            </c:spPr>
            <c:extLst>
              <c:ext xmlns:c16="http://schemas.microsoft.com/office/drawing/2014/chart" uri="{C3380CC4-5D6E-409C-BE32-E72D297353CC}">
                <c16:uniqueId val="{00000001-6722-4C42-89B0-C96EAFF36FDB}"/>
              </c:ext>
            </c:extLst>
          </c:dPt>
          <c:dPt>
            <c:idx val="1"/>
            <c:bubble3D val="0"/>
            <c:spPr>
              <a:solidFill>
                <a:srgbClr val="799098"/>
              </a:solidFill>
              <a:ln>
                <a:noFill/>
              </a:ln>
              <a:effectLst/>
            </c:spPr>
            <c:extLst>
              <c:ext xmlns:c16="http://schemas.microsoft.com/office/drawing/2014/chart" uri="{C3380CC4-5D6E-409C-BE32-E72D297353CC}">
                <c16:uniqueId val="{00000003-6722-4C42-89B0-C96EAFF36FDB}"/>
              </c:ext>
            </c:extLst>
          </c:dPt>
          <c:dPt>
            <c:idx val="2"/>
            <c:bubble3D val="0"/>
            <c:spPr>
              <a:solidFill>
                <a:srgbClr val="F9663E"/>
              </a:solidFill>
              <a:ln>
                <a:noFill/>
              </a:ln>
              <a:effectLst/>
            </c:spPr>
            <c:extLst>
              <c:ext xmlns:c16="http://schemas.microsoft.com/office/drawing/2014/chart" uri="{C3380CC4-5D6E-409C-BE32-E72D297353CC}">
                <c16:uniqueId val="{00000005-6722-4C42-89B0-C96EAFF36FDB}"/>
              </c:ext>
            </c:extLst>
          </c:dPt>
          <c:dPt>
            <c:idx val="3"/>
            <c:bubble3D val="0"/>
            <c:spPr>
              <a:solidFill>
                <a:srgbClr val="C7FE02"/>
              </a:solidFill>
              <a:ln>
                <a:noFill/>
              </a:ln>
              <a:effectLst/>
            </c:spPr>
            <c:extLst>
              <c:ext xmlns:c16="http://schemas.microsoft.com/office/drawing/2014/chart" uri="{C3380CC4-5D6E-409C-BE32-E72D297353CC}">
                <c16:uniqueId val="{00000007-6722-4C42-89B0-C96EAFF36FDB}"/>
              </c:ext>
            </c:extLst>
          </c:dPt>
          <c:dPt>
            <c:idx val="4"/>
            <c:bubble3D val="0"/>
            <c:spPr>
              <a:solidFill>
                <a:srgbClr val="00CA94"/>
              </a:solidFill>
              <a:ln>
                <a:noFill/>
              </a:ln>
              <a:effectLst/>
            </c:spPr>
            <c:extLst>
              <c:ext xmlns:c16="http://schemas.microsoft.com/office/drawing/2014/chart" uri="{C3380CC4-5D6E-409C-BE32-E72D297353CC}">
                <c16:uniqueId val="{00000009-6722-4C42-89B0-C96EAFF36FDB}"/>
              </c:ext>
            </c:extLst>
          </c:dPt>
          <c:dPt>
            <c:idx val="5"/>
            <c:bubble3D val="0"/>
            <c:spPr>
              <a:solidFill>
                <a:srgbClr val="465A63"/>
              </a:solidFill>
              <a:ln>
                <a:noFill/>
              </a:ln>
              <a:effectLst/>
            </c:spPr>
            <c:extLst>
              <c:ext xmlns:c16="http://schemas.microsoft.com/office/drawing/2014/chart" uri="{C3380CC4-5D6E-409C-BE32-E72D297353CC}">
                <c16:uniqueId val="{0000000B-6722-4C42-89B0-C96EAFF36FDB}"/>
              </c:ext>
            </c:extLst>
          </c:dPt>
          <c:dPt>
            <c:idx val="6"/>
            <c:bubble3D val="0"/>
            <c:spPr>
              <a:solidFill>
                <a:srgbClr val="B0BEC5"/>
              </a:solidFill>
              <a:ln>
                <a:noFill/>
              </a:ln>
              <a:effectLst/>
            </c:spPr>
            <c:extLst>
              <c:ext xmlns:c16="http://schemas.microsoft.com/office/drawing/2014/chart" uri="{C3380CC4-5D6E-409C-BE32-E72D297353CC}">
                <c16:uniqueId val="{0000000D-6722-4C42-89B0-C96EAFF36FDB}"/>
              </c:ext>
            </c:extLst>
          </c:dPt>
          <c:dPt>
            <c:idx val="7"/>
            <c:bubble3D val="0"/>
            <c:spPr>
              <a:solidFill>
                <a:srgbClr val="F19375"/>
              </a:solidFill>
              <a:ln>
                <a:noFill/>
              </a:ln>
              <a:effectLst/>
            </c:spPr>
            <c:extLst>
              <c:ext xmlns:c16="http://schemas.microsoft.com/office/drawing/2014/chart" uri="{C3380CC4-5D6E-409C-BE32-E72D297353CC}">
                <c16:uniqueId val="{0000000F-6722-4C42-89B0-C96EAFF36FDB}"/>
              </c:ext>
            </c:extLst>
          </c:dPt>
          <c:dPt>
            <c:idx val="8"/>
            <c:bubble3D val="0"/>
            <c:spPr>
              <a:solidFill>
                <a:srgbClr val="E3F982"/>
              </a:solidFill>
              <a:ln>
                <a:noFill/>
              </a:ln>
              <a:effectLst/>
            </c:spPr>
            <c:extLst>
              <c:ext xmlns:c16="http://schemas.microsoft.com/office/drawing/2014/chart" uri="{C3380CC4-5D6E-409C-BE32-E72D297353CC}">
                <c16:uniqueId val="{00000011-6722-4C42-89B0-C96EAFF36FDB}"/>
              </c:ext>
            </c:extLst>
          </c:dPt>
          <c:dPt>
            <c:idx val="9"/>
            <c:bubble3D val="0"/>
            <c:spPr>
              <a:solidFill>
                <a:srgbClr val="80D4C1"/>
              </a:solidFill>
              <a:ln>
                <a:noFill/>
              </a:ln>
              <a:effectLst/>
            </c:spPr>
            <c:extLst>
              <c:ext xmlns:c16="http://schemas.microsoft.com/office/drawing/2014/chart" uri="{C3380CC4-5D6E-409C-BE32-E72D297353CC}">
                <c16:uniqueId val="{00000013-6722-4C42-89B0-C96EAFF36FDB}"/>
              </c:ext>
            </c:extLst>
          </c:dPt>
          <c:dLbls>
            <c:dLbl>
              <c:idx val="0"/>
              <c:tx>
                <c:rich>
                  <a:bodyPr/>
                  <a:lstStyle/>
                  <a:p>
                    <a:fld id="{3E5284CC-660E-49ED-85B9-069BAD0855A1}" type="CELLRANGE">
                      <a:rPr lang="en-SG"/>
                      <a:pPr/>
                      <a:t>[CELLRANGE]</a:t>
                    </a:fld>
                    <a:r>
                      <a:rPr lang="en-SG" baseline="0"/>
                      <a:t>, </a:t>
                    </a:r>
                    <a:fld id="{EC9A9143-15FD-4A83-A222-E9D57B548AA0}" type="VALUE">
                      <a:rPr lang="en-SG" baseline="0"/>
                      <a:pPr/>
                      <a:t>[VALUE]</a:t>
                    </a:fld>
                    <a:endParaRPr lang="en-SG" baseline="0"/>
                  </a:p>
                </c:rich>
              </c:tx>
              <c:dLblPos val="ctr"/>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722-4C42-89B0-C96EAFF36FDB}"/>
                </c:ext>
              </c:extLst>
            </c:dLbl>
            <c:dLbl>
              <c:idx val="1"/>
              <c:tx>
                <c:rich>
                  <a:bodyPr/>
                  <a:lstStyle/>
                  <a:p>
                    <a:fld id="{62EE5CCA-009E-49A3-8ACB-E9A06860E687}" type="CELLRANGE">
                      <a:rPr lang="en-SG"/>
                      <a:pPr/>
                      <a:t>[CELLRANGE]</a:t>
                    </a:fld>
                    <a:r>
                      <a:rPr lang="en-SG" baseline="0"/>
                      <a:t>, </a:t>
                    </a:r>
                    <a:fld id="{D4DE7EE6-7BDF-4E23-9CD9-58C2C16745DE}" type="VALUE">
                      <a:rPr lang="en-SG" baseline="0"/>
                      <a:pPr/>
                      <a:t>[VALUE]</a:t>
                    </a:fld>
                    <a:endParaRPr lang="en-SG" baseline="0"/>
                  </a:p>
                </c:rich>
              </c:tx>
              <c:dLblPos val="ctr"/>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722-4C42-89B0-C96EAFF36FDB}"/>
                </c:ext>
              </c:extLst>
            </c:dLbl>
            <c:dLbl>
              <c:idx val="2"/>
              <c:tx>
                <c:rich>
                  <a:bodyPr/>
                  <a:lstStyle/>
                  <a:p>
                    <a:fld id="{944D5D70-30E9-406C-96B6-BDD81918DD29}" type="CELLRANGE">
                      <a:rPr lang="en-SG"/>
                      <a:pPr/>
                      <a:t>[CELLRANGE]</a:t>
                    </a:fld>
                    <a:r>
                      <a:rPr lang="en-SG" baseline="0"/>
                      <a:t>, </a:t>
                    </a:r>
                    <a:fld id="{578219E8-0964-4629-BE36-859EA0B2B4B8}" type="VALUE">
                      <a:rPr lang="en-SG" baseline="0"/>
                      <a:pPr/>
                      <a:t>[VALUE]</a:t>
                    </a:fld>
                    <a:endParaRPr lang="en-SG" baseline="0"/>
                  </a:p>
                </c:rich>
              </c:tx>
              <c:dLblPos val="ctr"/>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722-4C42-89B0-C96EAFF36FDB}"/>
                </c:ext>
              </c:extLst>
            </c:dLbl>
            <c:dLbl>
              <c:idx val="3"/>
              <c:tx>
                <c:rich>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Roboto" pitchFamily="2" charset="0"/>
                        <a:ea typeface="Roboto" pitchFamily="2" charset="0"/>
                        <a:cs typeface="+mn-cs"/>
                      </a:defRPr>
                    </a:pPr>
                    <a:fld id="{71FAF2C5-BFC1-4DA6-A852-B399BE767966}" type="CELLRANGE">
                      <a:rPr lang="en-SG"/>
                      <a:pPr>
                        <a:defRPr sz="800">
                          <a:solidFill>
                            <a:sysClr val="windowText" lastClr="000000"/>
                          </a:solidFill>
                          <a:latin typeface="Roboto" pitchFamily="2" charset="0"/>
                          <a:ea typeface="Roboto" pitchFamily="2" charset="0"/>
                        </a:defRPr>
                      </a:pPr>
                      <a:t>[CELLRANGE]</a:t>
                    </a:fld>
                    <a:r>
                      <a:rPr lang="en-SG" baseline="0"/>
                      <a:t>, </a:t>
                    </a:r>
                    <a:fld id="{CB19449F-7A80-4472-800C-0092CF542E80}" type="VALUE">
                      <a:rPr lang="en-SG" baseline="0"/>
                      <a:pPr>
                        <a:defRPr sz="800">
                          <a:solidFill>
                            <a:sysClr val="windowText" lastClr="000000"/>
                          </a:solidFill>
                          <a:latin typeface="Roboto" pitchFamily="2" charset="0"/>
                          <a:ea typeface="Roboto" pitchFamily="2" charset="0"/>
                        </a:defRPr>
                      </a:pPr>
                      <a:t>[VALUE]</a:t>
                    </a:fld>
                    <a:endParaRPr lang="en-SG" baseline="0"/>
                  </a:p>
                </c:rich>
              </c:tx>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Roboto" pitchFamily="2" charset="0"/>
                      <a:ea typeface="Roboto" pitchFamily="2" charset="0"/>
                      <a:cs typeface="+mn-cs"/>
                    </a:defRPr>
                  </a:pPr>
                  <a:endParaRPr lang="en-SG"/>
                </a:p>
              </c:txPr>
              <c:dLblPos val="ctr"/>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722-4C42-89B0-C96EAFF36FDB}"/>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722-4C42-89B0-C96EAFF36FD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'Merger workings'!$B$66:$B$69</c:f>
              <c:strCache>
                <c:ptCount val="4"/>
                <c:pt idx="0">
                  <c:v>Telkomsel (Indihome)</c:v>
                </c:pt>
                <c:pt idx="1">
                  <c:v>Indosat</c:v>
                </c:pt>
                <c:pt idx="2">
                  <c:v>XLSmart</c:v>
                </c:pt>
                <c:pt idx="3">
                  <c:v>Others</c:v>
                </c:pt>
              </c:strCache>
            </c:strRef>
          </c:cat>
          <c:val>
            <c:numRef>
              <c:f>'Merger workings'!$E$66:$E$69</c:f>
              <c:numCache>
                <c:formatCode>0.0</c:formatCode>
                <c:ptCount val="4"/>
                <c:pt idx="0">
                  <c:v>11.031000000000001</c:v>
                </c:pt>
                <c:pt idx="1">
                  <c:v>0.35</c:v>
                </c:pt>
                <c:pt idx="2">
                  <c:v>1.02</c:v>
                </c:pt>
                <c:pt idx="3">
                  <c:v>3.1989999999999998</c:v>
                </c:pt>
              </c:numCache>
            </c:numRef>
          </c:val>
          <c:extLst>
            <c:ext xmlns:c15="http://schemas.microsoft.com/office/drawing/2012/chart" uri="{02D57815-91ED-43cb-92C2-25804820EDAC}">
              <c15:datalabelsRange>
                <c15:f>'Merger workings'!$F$66:$F$69</c15:f>
                <c15:dlblRangeCache>
                  <c:ptCount val="4"/>
                  <c:pt idx="0">
                    <c:v>71%</c:v>
                  </c:pt>
                  <c:pt idx="1">
                    <c:v>2%</c:v>
                  </c:pt>
                  <c:pt idx="2">
                    <c:v>7%</c:v>
                  </c:pt>
                  <c:pt idx="3">
                    <c:v>21%</c:v>
                  </c:pt>
                </c15:dlblRangeCache>
              </c15:datalabelsRange>
            </c:ext>
            <c:ext xmlns:c16="http://schemas.microsoft.com/office/drawing/2014/chart" uri="{C3380CC4-5D6E-409C-BE32-E72D297353CC}">
              <c16:uniqueId val="{00000014-6722-4C42-89B0-C96EAFF36FDB}"/>
            </c:ext>
          </c:extLst>
        </c:ser>
        <c:ser>
          <c:idx val="1"/>
          <c:order val="1"/>
          <c:dPt>
            <c:idx val="0"/>
            <c:bubble3D val="0"/>
            <c:spPr>
              <a:solidFill>
                <a:schemeClr val="accent1"/>
              </a:solidFill>
              <a:ln>
                <a:noFill/>
              </a:ln>
              <a:effectLst/>
            </c:spPr>
            <c:extLst xmlns:c15="http://schemas.microsoft.com/office/drawing/2012/chart">
              <c:ext xmlns:c16="http://schemas.microsoft.com/office/drawing/2014/chart" uri="{C3380CC4-5D6E-409C-BE32-E72D297353CC}">
                <c16:uniqueId val="{00000016-6722-4C42-89B0-C96EAFF36FDB}"/>
              </c:ext>
            </c:extLst>
          </c:dPt>
          <c:dPt>
            <c:idx val="1"/>
            <c:bubble3D val="0"/>
            <c:spPr>
              <a:solidFill>
                <a:schemeClr val="accent2"/>
              </a:solidFill>
              <a:ln>
                <a:noFill/>
              </a:ln>
              <a:effectLst/>
            </c:spPr>
            <c:extLst xmlns:c15="http://schemas.microsoft.com/office/drawing/2012/chart">
              <c:ext xmlns:c16="http://schemas.microsoft.com/office/drawing/2014/chart" uri="{C3380CC4-5D6E-409C-BE32-E72D297353CC}">
                <c16:uniqueId val="{00000018-6722-4C42-89B0-C96EAFF36FDB}"/>
              </c:ext>
            </c:extLst>
          </c:dPt>
          <c:dPt>
            <c:idx val="2"/>
            <c:bubble3D val="0"/>
            <c:spPr>
              <a:solidFill>
                <a:schemeClr val="accent3"/>
              </a:solidFill>
              <a:ln>
                <a:noFill/>
              </a:ln>
              <a:effectLst/>
            </c:spPr>
            <c:extLst xmlns:c15="http://schemas.microsoft.com/office/drawing/2012/chart">
              <c:ext xmlns:c16="http://schemas.microsoft.com/office/drawing/2014/chart" uri="{C3380CC4-5D6E-409C-BE32-E72D297353CC}">
                <c16:uniqueId val="{0000001A-6722-4C42-89B0-C96EAFF36FDB}"/>
              </c:ext>
            </c:extLst>
          </c:dPt>
          <c:dPt>
            <c:idx val="3"/>
            <c:bubble3D val="0"/>
            <c:spPr>
              <a:solidFill>
                <a:schemeClr val="accent4"/>
              </a:solidFill>
              <a:ln>
                <a:noFill/>
              </a:ln>
              <a:effectLst/>
            </c:spPr>
            <c:extLst xmlns:c15="http://schemas.microsoft.com/office/drawing/2012/chart">
              <c:ext xmlns:c16="http://schemas.microsoft.com/office/drawing/2014/chart" uri="{C3380CC4-5D6E-409C-BE32-E72D297353CC}">
                <c16:uniqueId val="{0000001C-6722-4C42-89B0-C96EAFF36FDB}"/>
              </c:ext>
            </c:extLst>
          </c:dPt>
          <c:dPt>
            <c:idx val="4"/>
            <c:bubble3D val="0"/>
            <c:spPr>
              <a:solidFill>
                <a:schemeClr val="accent5"/>
              </a:solidFill>
              <a:ln>
                <a:noFill/>
              </a:ln>
              <a:effectLst/>
            </c:spPr>
            <c:extLst xmlns:c15="http://schemas.microsoft.com/office/drawing/2012/chart">
              <c:ext xmlns:c16="http://schemas.microsoft.com/office/drawing/2014/chart" uri="{C3380CC4-5D6E-409C-BE32-E72D297353CC}">
                <c16:uniqueId val="{0000001E-6722-4C42-89B0-C96EAFF36FDB}"/>
              </c:ext>
            </c:extLst>
          </c:dPt>
          <c:dPt>
            <c:idx val="5"/>
            <c:bubble3D val="0"/>
            <c:spPr>
              <a:solidFill>
                <a:schemeClr val="accent6"/>
              </a:solidFill>
              <a:ln>
                <a:noFill/>
              </a:ln>
              <a:effectLst/>
            </c:spPr>
            <c:extLst xmlns:c15="http://schemas.microsoft.com/office/drawing/2012/chart">
              <c:ext xmlns:c16="http://schemas.microsoft.com/office/drawing/2014/chart" uri="{C3380CC4-5D6E-409C-BE32-E72D297353CC}">
                <c16:uniqueId val="{00000020-6722-4C42-89B0-C96EAFF36FDB}"/>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22-6722-4C42-89B0-C96EAFF36FDB}"/>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24-6722-4C42-89B0-C96EAFF36FDB}"/>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26-6722-4C42-89B0-C96EAFF36FDB}"/>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28-6722-4C42-89B0-C96EAFF36FDB}"/>
              </c:ext>
            </c:extLst>
          </c:dPt>
          <c:dLbls>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D4D4D"/>
                      </a:solidFill>
                      <a:latin typeface="Helvetica Neue" panose="020B0403020202020204" pitchFamily="2" charset="0"/>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22-6722-4C42-89B0-C96EAFF36FD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Helvetica Neue" panose="020B0403020202020204" pitchFamily="2" charset="0"/>
                    <a:ea typeface="+mn-ea"/>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'Merger workings'!$B$66:$B$69</c:f>
              <c:strCache>
                <c:ptCount val="4"/>
                <c:pt idx="0">
                  <c:v>Telkomsel (Indihome)</c:v>
                </c:pt>
                <c:pt idx="1">
                  <c:v>Indosat</c:v>
                </c:pt>
                <c:pt idx="2">
                  <c:v>XLSmart</c:v>
                </c:pt>
                <c:pt idx="3">
                  <c:v>Others</c:v>
                </c:pt>
              </c:strCache>
            </c:strRef>
          </c:cat>
          <c:val>
            <c:numRef>
              <c:f>'Merger workings'!$F$66:$F$69</c:f>
              <c:numCache>
                <c:formatCode>0%</c:formatCode>
                <c:ptCount val="4"/>
                <c:pt idx="0">
                  <c:v>0.7071153846153847</c:v>
                </c:pt>
                <c:pt idx="1">
                  <c:v>2.2435897435897436E-2</c:v>
                </c:pt>
                <c:pt idx="2">
                  <c:v>6.5384615384615388E-2</c:v>
                </c:pt>
                <c:pt idx="3">
                  <c:v>0.20506410256410257</c:v>
                </c:pt>
              </c:numCache>
            </c:numRef>
          </c:val>
          <c:extLst xmlns:c15="http://schemas.microsoft.com/office/drawing/2012/chart">
            <c:ext xmlns:c16="http://schemas.microsoft.com/office/drawing/2014/chart" uri="{C3380CC4-5D6E-409C-BE32-E72D297353CC}">
              <c16:uniqueId val="{00000029-6722-4C42-89B0-C96EAFF36FDB}"/>
            </c:ext>
          </c:extLst>
        </c:ser>
        <c:dLbls>
          <c:showLegendKey val="0"/>
          <c:showVal val="0"/>
          <c:showCatName val="0"/>
          <c:showSerName val="0"/>
          <c:showPercent val="0"/>
          <c:showBubbleSize val="0"/>
          <c:showLeaderLines val="1"/>
        </c:dLbls>
        <c:firstSliceAng val="0"/>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'Merger workings'!$J$33</c:f>
              <c:strCache>
                <c:ptCount val="1"/>
                <c:pt idx="0">
                  <c:v>Telkomsel</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workings'!$I$34:$I$36</c:f>
              <c:strCache>
                <c:ptCount val="3"/>
                <c:pt idx="0">
                  <c:v>Labour costs</c:v>
                </c:pt>
                <c:pt idx="1">
                  <c:v>G&amp;A costs</c:v>
                </c:pt>
                <c:pt idx="2">
                  <c:v>Sales and marketing</c:v>
                </c:pt>
              </c:strCache>
            </c:strRef>
          </c:cat>
          <c:val>
            <c:numRef>
              <c:f>'Merger workings'!$J$34:$J$36</c:f>
              <c:numCache>
                <c:formatCode>0.0%</c:formatCode>
                <c:ptCount val="3"/>
                <c:pt idx="0">
                  <c:v>405705.4926009234</c:v>
                </c:pt>
                <c:pt idx="1">
                  <c:v>18708.124304486799</c:v>
                </c:pt>
                <c:pt idx="2">
                  <c:v>81948.155913342009</c:v>
                </c:pt>
              </c:numCache>
            </c:numRef>
          </c:val>
          <c:extLst>
            <c:ext xmlns:c16="http://schemas.microsoft.com/office/drawing/2014/chart" uri="{C3380CC4-5D6E-409C-BE32-E72D297353CC}">
              <c16:uniqueId val="{00000000-3847-4986-8373-DD0E19E8F0E7}"/>
            </c:ext>
          </c:extLst>
        </c:ser>
        <c:ser>
          <c:idx val="1"/>
          <c:order val="1"/>
          <c:tx>
            <c:strRef>
              <c:f>'Merger workings'!$K$33</c:f>
              <c:strCache>
                <c:ptCount val="1"/>
                <c:pt idx="0">
                  <c:v>Indosat</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workings'!$I$34:$I$36</c:f>
              <c:strCache>
                <c:ptCount val="3"/>
                <c:pt idx="0">
                  <c:v>Labour costs</c:v>
                </c:pt>
                <c:pt idx="1">
                  <c:v>G&amp;A costs</c:v>
                </c:pt>
                <c:pt idx="2">
                  <c:v>Sales and marketing</c:v>
                </c:pt>
              </c:strCache>
            </c:strRef>
          </c:cat>
          <c:val>
            <c:numRef>
              <c:f>'Merger workings'!$K$34:$K$36</c:f>
              <c:numCache>
                <c:formatCode>0.0%</c:formatCode>
                <c:ptCount val="3"/>
                <c:pt idx="0">
                  <c:v>6.9599494693747543E-2</c:v>
                </c:pt>
                <c:pt idx="1">
                  <c:v>1.5903548058668487E-2</c:v>
                </c:pt>
                <c:pt idx="2">
                  <c:v>3.5661308821924281E-2</c:v>
                </c:pt>
              </c:numCache>
            </c:numRef>
          </c:val>
          <c:extLst>
            <c:ext xmlns:c16="http://schemas.microsoft.com/office/drawing/2014/chart" uri="{C3380CC4-5D6E-409C-BE32-E72D297353CC}">
              <c16:uniqueId val="{00000002-3847-4986-8373-DD0E19E8F0E7}"/>
            </c:ext>
          </c:extLst>
        </c:ser>
        <c:ser>
          <c:idx val="2"/>
          <c:order val="2"/>
          <c:tx>
            <c:strRef>
              <c:f>'Merger workings'!$L$33</c:f>
              <c:strCache>
                <c:ptCount val="1"/>
                <c:pt idx="0">
                  <c:v>XLSmart</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workings'!$I$34:$I$36</c:f>
              <c:strCache>
                <c:ptCount val="3"/>
                <c:pt idx="0">
                  <c:v>Labour costs</c:v>
                </c:pt>
                <c:pt idx="1">
                  <c:v>G&amp;A costs</c:v>
                </c:pt>
                <c:pt idx="2">
                  <c:v>Sales and marketing</c:v>
                </c:pt>
              </c:strCache>
            </c:strRef>
          </c:cat>
          <c:val>
            <c:numRef>
              <c:f>'Merger workings'!$L$34:$L$36</c:f>
              <c:numCache>
                <c:formatCode>0.0%</c:formatCode>
                <c:ptCount val="3"/>
                <c:pt idx="0">
                  <c:v>5.35770611465873E-2</c:v>
                </c:pt>
                <c:pt idx="1">
                  <c:v>1.3229685146636255E-2</c:v>
                </c:pt>
                <c:pt idx="2">
                  <c:v>8.0688721447505926E-2</c:v>
                </c:pt>
              </c:numCache>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'Merger workings'!$J$33</c:f>
              <c:strCache>
                <c:ptCount val="1"/>
                <c:pt idx="0">
                  <c:v>Telkomsel</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workings'!$I$37</c:f>
              <c:strCache>
                <c:ptCount val="1"/>
                <c:pt idx="0">
                  <c:v>Lease payment as % of sales</c:v>
                </c:pt>
              </c:strCache>
            </c:strRef>
          </c:cat>
          <c:val>
            <c:numRef>
              <c:f>'Merger workings'!$J$37</c:f>
              <c:numCache>
                <c:formatCode>0.0%</c:formatCode>
                <c:ptCount val="1"/>
                <c:pt idx="0">
                  <c:v>75849.019888717885</c:v>
                </c:pt>
              </c:numCache>
            </c:numRef>
          </c:val>
          <c:extLst>
            <c:ext xmlns:c16="http://schemas.microsoft.com/office/drawing/2014/chart" uri="{C3380CC4-5D6E-409C-BE32-E72D297353CC}">
              <c16:uniqueId val="{00000000-3847-4986-8373-DD0E19E8F0E7}"/>
            </c:ext>
          </c:extLst>
        </c:ser>
        <c:ser>
          <c:idx val="1"/>
          <c:order val="1"/>
          <c:tx>
            <c:strRef>
              <c:f>'Merger workings'!$K$33</c:f>
              <c:strCache>
                <c:ptCount val="1"/>
                <c:pt idx="0">
                  <c:v>Indosat</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workings'!$I$37</c:f>
              <c:strCache>
                <c:ptCount val="1"/>
                <c:pt idx="0">
                  <c:v>Lease payment as % of sales</c:v>
                </c:pt>
              </c:strCache>
            </c:strRef>
          </c:cat>
          <c:val>
            <c:numRef>
              <c:f>'Merger workings'!$K$37</c:f>
              <c:numCache>
                <c:formatCode>0.0%</c:formatCode>
                <c:ptCount val="1"/>
                <c:pt idx="0">
                  <c:v>9.1113856735657195E-2</c:v>
                </c:pt>
              </c:numCache>
            </c:numRef>
          </c:val>
          <c:extLst>
            <c:ext xmlns:c16="http://schemas.microsoft.com/office/drawing/2014/chart" uri="{C3380CC4-5D6E-409C-BE32-E72D297353CC}">
              <c16:uniqueId val="{00000002-3847-4986-8373-DD0E19E8F0E7}"/>
            </c:ext>
          </c:extLst>
        </c:ser>
        <c:ser>
          <c:idx val="2"/>
          <c:order val="2"/>
          <c:tx>
            <c:strRef>
              <c:f>'Merger workings'!$L$33</c:f>
              <c:strCache>
                <c:ptCount val="1"/>
                <c:pt idx="0">
                  <c:v>XLSmart</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workings'!$I$37</c:f>
              <c:strCache>
                <c:ptCount val="1"/>
                <c:pt idx="0">
                  <c:v>Lease payment as % of sales</c:v>
                </c:pt>
              </c:strCache>
            </c:strRef>
          </c:cat>
          <c:val>
            <c:numRef>
              <c:f>'Merger workings'!$L$37</c:f>
              <c:numCache>
                <c:formatCode>0.0%</c:formatCode>
                <c:ptCount val="1"/>
                <c:pt idx="0">
                  <c:v>0.15337942004817062</c:v>
                </c:pt>
              </c:numCache>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2378312693278"/>
          <c:y val="7.0904730125795248E-2"/>
          <c:w val="0.87702403959350916"/>
          <c:h val="0.74572216166784655"/>
        </c:manualLayout>
      </c:layout>
      <c:barChart>
        <c:barDir val="col"/>
        <c:grouping val="clustered"/>
        <c:varyColors val="0"/>
        <c:ser>
          <c:idx val="0"/>
          <c:order val="1"/>
          <c:spPr>
            <a:solidFill>
              <a:srgbClr val="9999FF"/>
            </a:solidFill>
            <a:ln w="3175">
              <a:solidFill>
                <a:srgbClr val="C0C0C0"/>
              </a:solidFill>
              <a:prstDash val="solid"/>
            </a:ln>
          </c:spPr>
          <c:invertIfNegative val="0"/>
          <c:val>
            <c:numRef>
              <c:f>[19]MASTER!$BL$144:$BT$144</c:f>
              <c:numCache>
                <c:formatCode>General</c:formatCode>
                <c:ptCount val="9"/>
                <c:pt idx="0">
                  <c:v>0</c:v>
                </c:pt>
                <c:pt idx="1">
                  <c:v>0</c:v>
                </c:pt>
                <c:pt idx="2">
                  <c:v>0</c:v>
                </c:pt>
                <c:pt idx="3">
                  <c:v>0</c:v>
                </c:pt>
                <c:pt idx="4">
                  <c:v>0</c:v>
                </c:pt>
                <c:pt idx="5">
                  <c:v>0</c:v>
                </c:pt>
                <c:pt idx="6">
                  <c:v>0</c:v>
                </c:pt>
                <c:pt idx="7">
                  <c:v>0</c:v>
                </c:pt>
                <c:pt idx="8">
                  <c:v>0</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[19]MASTER!$BJ$144:$BK$144</c15:sqref>
                        </c15:formulaRef>
                      </c:ext>
                    </c:extLst>
                    <c:strCache>
                      <c:ptCount val="1"/>
                      <c:pt idx="0">
                        <c:v>#REF! #REF!</c:v>
                      </c:pt>
                    </c:strCache>
                  </c:strRef>
                </c15:tx>
              </c15:filteredSeriesTitle>
            </c:ext>
            <c:ext xmlns:c15="http://schemas.microsoft.com/office/drawing/2012/chart" uri="{02D57815-91ED-43cb-92C2-25804820EDAC}">
              <c15:filteredCategoryTitle>
                <c15:cat>
                  <c:numRef>
                    <c:extLst>
                      <c:ext uri="{02D57815-91ED-43cb-92C2-25804820EDAC}">
                        <c15:formulaRef>
                          <c15:sqref>[19]MASTER!$BL$142:$BT$142</c15:sqref>
                        </c15:formulaRef>
                      </c:ext>
                    </c:extLst>
                    <c:numCache>
                      <c:formatCode>General</c:formatCode>
                      <c:ptCount val="9"/>
                      <c:pt idx="0">
                        <c:v>0</c:v>
                      </c:pt>
                      <c:pt idx="1">
                        <c:v>0</c:v>
                      </c:pt>
                      <c:pt idx="2">
                        <c:v>0</c:v>
                      </c:pt>
                      <c:pt idx="3">
                        <c:v>0</c:v>
                      </c:pt>
                      <c:pt idx="4">
                        <c:v>0</c:v>
                      </c:pt>
                      <c:pt idx="5">
                        <c:v>0</c:v>
                      </c:pt>
                      <c:pt idx="6">
                        <c:v>0</c:v>
                      </c:pt>
                      <c:pt idx="7">
                        <c:v>0</c:v>
                      </c:pt>
                    </c:numCache>
                  </c:numRef>
                </c15:cat>
              </c15:filteredCategoryTitle>
            </c:ext>
            <c:ext xmlns:c16="http://schemas.microsoft.com/office/drawing/2014/chart" uri="{C3380CC4-5D6E-409C-BE32-E72D297353CC}">
              <c16:uniqueId val="{00000000-0F9C-4B73-8DE7-6B7A7D8C8C2C}"/>
            </c:ext>
          </c:extLst>
        </c:ser>
        <c:dLbls>
          <c:showLegendKey val="0"/>
          <c:showVal val="0"/>
          <c:showCatName val="0"/>
          <c:showSerName val="0"/>
          <c:showPercent val="0"/>
          <c:showBubbleSize val="0"/>
        </c:dLbls>
        <c:gapWidth val="150"/>
        <c:axId val="924592440"/>
        <c:axId val="924592832"/>
      </c:barChart>
      <c:lineChart>
        <c:grouping val="standard"/>
        <c:varyColors val="0"/>
        <c:ser>
          <c:idx val="1"/>
          <c:order val="0"/>
          <c:spPr>
            <a:ln w="38100">
              <a:solidFill>
                <a:srgbClr val="000080"/>
              </a:solidFill>
              <a:prstDash val="solid"/>
            </a:ln>
          </c:spPr>
          <c:marker>
            <c:symbol val="none"/>
          </c:marker>
          <c:val>
            <c:numRef>
              <c:f>[19]MASTER!$BL$143:$BT$143</c:f>
              <c:numCache>
                <c:formatCode>General</c:formatCode>
                <c:ptCount val="9"/>
                <c:pt idx="0">
                  <c:v>0</c:v>
                </c:pt>
                <c:pt idx="1">
                  <c:v>0</c:v>
                </c:pt>
                <c:pt idx="2">
                  <c:v>0</c:v>
                </c:pt>
                <c:pt idx="3">
                  <c:v>0</c:v>
                </c:pt>
                <c:pt idx="4">
                  <c:v>0</c:v>
                </c:pt>
                <c:pt idx="5">
                  <c:v>0</c:v>
                </c:pt>
                <c:pt idx="6">
                  <c:v>0</c:v>
                </c:pt>
                <c:pt idx="7">
                  <c:v>0</c:v>
                </c:pt>
                <c:pt idx="8">
                  <c:v>0</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[19]MASTER!$BJ$143:$BK$143</c15:sqref>
                        </c15:formulaRef>
                      </c:ext>
                    </c:extLst>
                    <c:strCache>
                      <c:ptCount val="1"/>
                      <c:pt idx="0">
                        <c:v>#REF! #REF!</c:v>
                      </c:pt>
                    </c:strCache>
                  </c:strRef>
                </c15:tx>
              </c15:filteredSeriesTitle>
            </c:ext>
            <c:ext xmlns:c15="http://schemas.microsoft.com/office/drawing/2012/chart" uri="{02D57815-91ED-43cb-92C2-25804820EDAC}">
              <c15:filteredCategoryTitle>
                <c15:cat>
                  <c:numRef>
                    <c:extLst>
                      <c:ext uri="{02D57815-91ED-43cb-92C2-25804820EDAC}">
                        <c15:formulaRef>
                          <c15:sqref>[19]MASTER!$BL$142:$BT$142</c15:sqref>
                        </c15:formulaRef>
                      </c:ext>
                    </c:extLst>
                    <c:numCache>
                      <c:formatCode>General</c:formatCode>
                      <c:ptCount val="9"/>
                      <c:pt idx="0">
                        <c:v>0</c:v>
                      </c:pt>
                      <c:pt idx="1">
                        <c:v>0</c:v>
                      </c:pt>
                      <c:pt idx="2">
                        <c:v>0</c:v>
                      </c:pt>
                      <c:pt idx="3">
                        <c:v>0</c:v>
                      </c:pt>
                      <c:pt idx="4">
                        <c:v>0</c:v>
                      </c:pt>
                      <c:pt idx="5">
                        <c:v>0</c:v>
                      </c:pt>
                      <c:pt idx="6">
                        <c:v>0</c:v>
                      </c:pt>
                      <c:pt idx="7">
                        <c:v>0</c:v>
                      </c:pt>
                    </c:numCache>
                  </c:numRef>
                </c15:cat>
              </c15:filteredCategoryTitle>
            </c:ext>
            <c:ext xmlns:c16="http://schemas.microsoft.com/office/drawing/2014/chart" uri="{C3380CC4-5D6E-409C-BE32-E72D297353CC}">
              <c16:uniqueId val="{00000001-0F9C-4B73-8DE7-6B7A7D8C8C2C}"/>
            </c:ext>
          </c:extLst>
        </c:ser>
        <c:dLbls>
          <c:showLegendKey val="0"/>
          <c:showVal val="0"/>
          <c:showCatName val="0"/>
          <c:showSerName val="0"/>
          <c:showPercent val="0"/>
          <c:showBubbleSize val="0"/>
        </c:dLbls>
        <c:marker val="1"/>
        <c:smooth val="0"/>
        <c:axId val="924592440"/>
        <c:axId val="924592832"/>
      </c:lineChart>
      <c:catAx>
        <c:axId val="924592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24592832"/>
        <c:crosses val="autoZero"/>
        <c:auto val="0"/>
        <c:lblAlgn val="ctr"/>
        <c:lblOffset val="100"/>
        <c:tickLblSkip val="1"/>
        <c:tickMarkSkip val="1"/>
        <c:noMultiLvlLbl val="0"/>
      </c:catAx>
      <c:valAx>
        <c:axId val="92459283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24592440"/>
        <c:crosses val="autoZero"/>
        <c:crossBetween val="between"/>
      </c:valAx>
      <c:spPr>
        <a:noFill/>
        <a:ln w="25400">
          <a:noFill/>
        </a:ln>
      </c:spPr>
    </c:plotArea>
    <c:legend>
      <c:legendPos val="b"/>
      <c:layout>
        <c:manualLayout>
          <c:xMode val="edge"/>
          <c:yMode val="edge"/>
          <c:x val="0.28640827663532348"/>
          <c:y val="0.93154136906480822"/>
          <c:w val="0.50485521834042602"/>
          <c:h val="5.3789731051344769E-2"/>
        </c:manualLayout>
      </c:layout>
      <c:overlay val="0"/>
      <c:spPr>
        <a:solidFill>
          <a:srgbClr val="FFFFFF"/>
        </a:solidFill>
        <a:ln w="25400">
          <a:noFill/>
        </a:ln>
      </c:spPr>
      <c:txPr>
        <a:bodyPr/>
        <a:lstStyle/>
        <a:p>
          <a:pPr>
            <a:defRPr sz="675"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'XLSmart-Proforma'!$C$60</c:f>
              <c:strCache>
                <c:ptCount val="1"/>
                <c:pt idx="0">
                  <c:v>Net debt</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'XLSmart-Proforma'!$B$61:$B$63</c:f>
              <c:strCache>
                <c:ptCount val="3"/>
                <c:pt idx="0">
                  <c:v>Telkomsel</c:v>
                </c:pt>
                <c:pt idx="1">
                  <c:v>Indosat</c:v>
                </c:pt>
                <c:pt idx="2">
                  <c:v>XLSmart</c:v>
                </c:pt>
              </c:strCache>
            </c:strRef>
          </c:cat>
          <c:val>
            <c:numRef>
              <c:f>'XLSmart-Proforma'!$C$61:$C$63</c:f>
              <c:numCache>
                <c:formatCode>0.0</c:formatCode>
                <c:ptCount val="3"/>
                <c:pt idx="0">
                  <c:v>50.08</c:v>
                </c:pt>
                <c:pt idx="1">
                  <c:v>49.805</c:v>
                </c:pt>
                <c:pt idx="2">
                  <c:v>60.122999999999998</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axId val="1495160607"/>
        <c:axId val="1495161855"/>
      </c:barChart>
      <c:lineChart>
        <c:grouping val="standard"/>
        <c:varyColors val="0"/>
        <c:ser>
          <c:idx val="1"/>
          <c:order val="1"/>
          <c:tx>
            <c:strRef>
              <c:f>'XLSmart-Proforma'!$E$60</c:f>
              <c:strCache>
                <c:ptCount val="1"/>
                <c:pt idx="0">
                  <c:v>Net debt/EBITDA</c:v>
                </c:pt>
              </c:strCache>
            </c:strRef>
          </c:tx>
          <c:spPr>
            <a:ln w="28575" cap="rnd">
              <a:solidFill>
                <a:srgbClr val="799098"/>
              </a:solidFill>
              <a:round/>
            </a:ln>
            <a:effectLst/>
          </c:spPr>
          <c:marker>
            <c:symbol val="none"/>
          </c:marker>
          <c:dLbls>
            <c:spPr>
              <a:solidFill>
                <a:srgbClr val="799098"/>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'XLSmart-Proforma'!$E$61:$E$63</c:f>
              <c:numCache>
                <c:formatCode>0.0</c:formatCode>
                <c:ptCount val="3"/>
                <c:pt idx="0">
                  <c:v>0.95290647892683855</c:v>
                </c:pt>
                <c:pt idx="1">
                  <c:v>1.8814218797219702</c:v>
                </c:pt>
                <c:pt idx="2">
                  <c:v>2.6742201759043791</c:v>
                </c:pt>
              </c:numCache>
            </c:numRef>
          </c:val>
          <c:smooth val="0"/>
          <c:extLst>
            <c:ext xmlns:c16="http://schemas.microsoft.com/office/drawing/2014/chart" uri="{C3380CC4-5D6E-409C-BE32-E72D297353CC}">
              <c16:uniqueId val="{0000000B-812E-469A-BBC9-D05775C671F8}"/>
            </c:ext>
          </c:extLst>
        </c:ser>
        <c:dLbls>
          <c:showLegendKey val="0"/>
          <c:showVal val="0"/>
          <c:showCatName val="0"/>
          <c:showSerName val="0"/>
          <c:showPercent val="0"/>
          <c:showBubbleSize val="0"/>
        </c:dLbls>
        <c:marker val="1"/>
        <c:smooth val="0"/>
        <c:axId val="481164288"/>
        <c:axId val="481167168"/>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SG"/>
                  <a:t>IDR tn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481167168"/>
        <c:scaling>
          <c:orientation val="minMax"/>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1164288"/>
        <c:crosses val="max"/>
        <c:crossBetween val="between"/>
      </c:valAx>
      <c:catAx>
        <c:axId val="481164288"/>
        <c:scaling>
          <c:orientation val="minMax"/>
        </c:scaling>
        <c:delete val="1"/>
        <c:axPos val="t"/>
        <c:majorTickMark val="out"/>
        <c:minorTickMark val="none"/>
        <c:tickLblPos val="nextTo"/>
        <c:crossAx val="481167168"/>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XLSmart!$B$576</c:f>
              <c:strCache>
                <c:ptCount val="1"/>
                <c:pt idx="0">
                  <c:v>EBITDA margin</c:v>
                </c:pt>
              </c:strCache>
            </c:strRef>
          </c:tx>
          <c:spPr>
            <a:ln w="28575"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XLSmart!$I$4:$T$4</c:f>
              <c:numCache>
                <c:formatCode>General</c:formatCode>
                <c:ptCount val="8"/>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numCache>
            </c:numRef>
          </c:cat>
          <c:val>
            <c:numRef>
              <c:f>XLSmart!$I$576:$T$576</c:f>
              <c:numCache>
                <c:formatCode>0.0%</c:formatCode>
                <c:ptCount val="8"/>
                <c:pt idx="0">
                  <c:v>0.49145102609312574</c:v>
                </c:pt>
                <c:pt idx="1">
                  <c:v>0.51986536129741223</c:v>
                </c:pt>
                <c:pt idx="2">
                  <c:v>0.49830731206176931</c:v>
                </c:pt>
                <c:pt idx="3">
                  <c:v>0.48886003815035889</c:v>
                </c:pt>
                <c:pt idx="4">
                  <c:v>0.49969413550108011</c:v>
                </c:pt>
                <c:pt idx="5">
                  <c:v>0.5185707944357657</c:v>
                </c:pt>
                <c:pt idx="6">
                  <c:v>0.52328426835339792</c:v>
                </c:pt>
                <c:pt idx="7">
                  <c:v>0.52601607891011681</c:v>
                </c:pt>
              </c:numCache>
            </c:numRef>
          </c:val>
          <c:smooth val="0"/>
          <c:extLst>
            <c:ext xmlns:c16="http://schemas.microsoft.com/office/drawing/2014/chart" uri="{C3380CC4-5D6E-409C-BE32-E72D297353CC}">
              <c16:uniqueId val="{00000003-57B5-4865-8EA9-E2D53FF1EBBD}"/>
            </c:ext>
          </c:extLst>
        </c:ser>
        <c:ser>
          <c:idx val="0"/>
          <c:order val="1"/>
          <c:tx>
            <c:strRef>
              <c:f>XLSmart!$B$578</c:f>
              <c:strCache>
                <c:ptCount val="1"/>
                <c:pt idx="0">
                  <c:v>Capex/sales</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XLSmart!$I$4:$T$4</c:f>
              <c:numCache>
                <c:formatCode>General</c:formatCode>
                <c:ptCount val="8"/>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numCache>
            </c:numRef>
          </c:cat>
          <c:val>
            <c:numRef>
              <c:f>XLSmart!$I$578:$T$578</c:f>
              <c:numCache>
                <c:formatCode>0.0%</c:formatCode>
                <c:ptCount val="8"/>
                <c:pt idx="0">
                  <c:v>0.22145460779191653</c:v>
                </c:pt>
                <c:pt idx="1">
                  <c:v>0.21464545540005017</c:v>
                </c:pt>
                <c:pt idx="2">
                  <c:v>0.219759533859058</c:v>
                </c:pt>
                <c:pt idx="3">
                  <c:v>0.2112689310315021</c:v>
                </c:pt>
                <c:pt idx="4">
                  <c:v>0.19001335887512341</c:v>
                </c:pt>
                <c:pt idx="5">
                  <c:v>0.16235758371634551</c:v>
                </c:pt>
                <c:pt idx="6">
                  <c:v>0.15947180879389752</c:v>
                </c:pt>
                <c:pt idx="7">
                  <c:v>0.16121007746452481</c:v>
                </c:pt>
              </c:numCache>
            </c:numRef>
          </c:val>
          <c:smooth val="0"/>
          <c:extLst>
            <c:ext xmlns:c16="http://schemas.microsoft.com/office/drawing/2014/chart" uri="{C3380CC4-5D6E-409C-BE32-E72D297353CC}">
              <c16:uniqueId val="{00000001-57B5-4865-8EA9-E2D53FF1EBBD}"/>
            </c:ext>
          </c:extLst>
        </c:ser>
        <c:dLbls>
          <c:showLegendKey val="0"/>
          <c:showVal val="1"/>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297195991267064"/>
          <c:y val="5.1264982714123046E-2"/>
          <c:w val="0.76454700090310479"/>
          <c:h val="0.66751814732682657"/>
        </c:manualLayout>
      </c:layout>
      <c:barChart>
        <c:barDir val="col"/>
        <c:grouping val="clustered"/>
        <c:varyColors val="0"/>
        <c:ser>
          <c:idx val="0"/>
          <c:order val="0"/>
          <c:tx>
            <c:strRef>
              <c:f>XLSmart!$B$552</c:f>
              <c:strCache>
                <c:ptCount val="1"/>
                <c:pt idx="0">
                  <c:v>Revenue</c:v>
                </c:pt>
              </c:strCache>
            </c:strRef>
          </c:tx>
          <c:spPr>
            <a:solidFill>
              <a:srgbClr val="263238"/>
            </a:solidFill>
            <a:ln>
              <a:noFill/>
            </a:ln>
            <a:effectLst/>
          </c:spPr>
          <c:invertIfNegative val="0"/>
          <c:cat>
            <c:numRef>
              <c:f>XLSmart!$I$4:$T$4</c:f>
              <c:numCache>
                <c:formatCode>General</c:formatCode>
                <c:ptCount val="8"/>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numCache>
            </c:numRef>
          </c:cat>
          <c:val>
            <c:numRef>
              <c:f>XLSmart!$I$552:$T$552</c:f>
              <c:numCache>
                <c:formatCode>#,##0_);\(#,##0\)_);"-"_)</c:formatCode>
                <c:ptCount val="8"/>
                <c:pt idx="0">
                  <c:v>32322.651000000005</c:v>
                </c:pt>
                <c:pt idx="1">
                  <c:v>34391.597000000002</c:v>
                </c:pt>
                <c:pt idx="2">
                  <c:v>41495.908510024659</c:v>
                </c:pt>
                <c:pt idx="3">
                  <c:v>48717.819545967293</c:v>
                </c:pt>
                <c:pt idx="4">
                  <c:v>50082.407782619586</c:v>
                </c:pt>
                <c:pt idx="5">
                  <c:v>51279.775198841642</c:v>
                </c:pt>
                <c:pt idx="6">
                  <c:v>52515.314727160716</c:v>
                </c:pt>
                <c:pt idx="7">
                  <c:v>53789.923919043686</c:v>
                </c:pt>
              </c:numCache>
            </c:numRef>
          </c:val>
          <c:extLst>
            <c:ext xmlns:c16="http://schemas.microsoft.com/office/drawing/2014/chart" uri="{C3380CC4-5D6E-409C-BE32-E72D297353CC}">
              <c16:uniqueId val="{00000000-A85B-42B6-894F-34644AA5E28D}"/>
            </c:ext>
          </c:extLst>
        </c:ser>
        <c:ser>
          <c:idx val="1"/>
          <c:order val="1"/>
          <c:tx>
            <c:strRef>
              <c:f>XLSmart!$B$553</c:f>
              <c:strCache>
                <c:ptCount val="1"/>
                <c:pt idx="0">
                  <c:v>EBITDA</c:v>
                </c:pt>
              </c:strCache>
            </c:strRef>
          </c:tx>
          <c:spPr>
            <a:solidFill>
              <a:srgbClr val="799098"/>
            </a:solidFill>
            <a:ln>
              <a:noFill/>
            </a:ln>
            <a:effectLst/>
          </c:spPr>
          <c:invertIfNegative val="0"/>
          <c:cat>
            <c:numRef>
              <c:f>XLSmart!$I$4:$T$4</c:f>
              <c:numCache>
                <c:formatCode>General</c:formatCode>
                <c:ptCount val="8"/>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numCache>
            </c:numRef>
          </c:cat>
          <c:val>
            <c:numRef>
              <c:f>XLSmart!$I$553:$T$553</c:f>
              <c:numCache>
                <c:formatCode>#,##0_);\(#,##0\)_);"-"_)</c:formatCode>
                <c:ptCount val="8"/>
                <c:pt idx="0">
                  <c:v>15885</c:v>
                </c:pt>
                <c:pt idx="1">
                  <c:v>17879</c:v>
                </c:pt>
                <c:pt idx="2">
                  <c:v>20677.714631191488</c:v>
                </c:pt>
                <c:pt idx="3">
                  <c:v>23816.19512184387</c:v>
                </c:pt>
                <c:pt idx="4">
                  <c:v>25025.885460748661</c:v>
                </c:pt>
                <c:pt idx="5">
                  <c:v>26592.193763350788</c:v>
                </c:pt>
                <c:pt idx="6">
                  <c:v>27480.438044350718</c:v>
                </c:pt>
                <c:pt idx="7">
                  <c:v>28294.364864768864</c:v>
                </c:pt>
              </c:numCache>
            </c:numRef>
          </c:val>
          <c:extLst>
            <c:ext xmlns:c16="http://schemas.microsoft.com/office/drawing/2014/chart" uri="{C3380CC4-5D6E-409C-BE32-E72D297353CC}">
              <c16:uniqueId val="{00000001-A85B-42B6-894F-34644AA5E28D}"/>
            </c:ext>
          </c:extLst>
        </c:ser>
        <c:ser>
          <c:idx val="2"/>
          <c:order val="2"/>
          <c:tx>
            <c:strRef>
              <c:f>XLSmart!$B$567</c:f>
              <c:strCache>
                <c:ptCount val="1"/>
                <c:pt idx="0">
                  <c:v>Capex</c:v>
                </c:pt>
              </c:strCache>
            </c:strRef>
          </c:tx>
          <c:spPr>
            <a:solidFill>
              <a:srgbClr val="F9663E"/>
            </a:solidFill>
            <a:ln>
              <a:noFill/>
            </a:ln>
            <a:effectLst/>
          </c:spPr>
          <c:invertIfNegative val="0"/>
          <c:cat>
            <c:numRef>
              <c:f>XLSmart!$I$4:$T$4</c:f>
              <c:numCache>
                <c:formatCode>General</c:formatCode>
                <c:ptCount val="8"/>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numCache>
            </c:numRef>
          </c:cat>
          <c:val>
            <c:numRef>
              <c:f>XLSmart!$I$567:$T$567</c:f>
              <c:numCache>
                <c:formatCode>#,##0_);\(#,##0\)_);"-"_)</c:formatCode>
                <c:ptCount val="8"/>
                <c:pt idx="0">
                  <c:v>7158</c:v>
                </c:pt>
                <c:pt idx="1">
                  <c:v>7382</c:v>
                </c:pt>
                <c:pt idx="2">
                  <c:v>9119.1215112211376</c:v>
                </c:pt>
                <c:pt idx="3">
                  <c:v>10292.561657662129</c:v>
                </c:pt>
                <c:pt idx="4">
                  <c:v>9516.3265233291695</c:v>
                </c:pt>
                <c:pt idx="5">
                  <c:v>8325.6603948013108</c:v>
                </c:pt>
                <c:pt idx="6">
                  <c:v>8374.7122289211238</c:v>
                </c:pt>
                <c:pt idx="7">
                  <c:v>8671.4778017999288</c:v>
                </c:pt>
              </c:numCache>
            </c:numRef>
          </c:val>
          <c:extLst>
            <c:ext xmlns:c16="http://schemas.microsoft.com/office/drawing/2014/chart" uri="{C3380CC4-5D6E-409C-BE32-E72D297353CC}">
              <c16:uniqueId val="{00000002-A85B-42B6-894F-34644AA5E28D}"/>
            </c:ext>
          </c:extLst>
        </c:ser>
        <c:dLbls>
          <c:showLegendKey val="0"/>
          <c:showVal val="0"/>
          <c:showCatName val="0"/>
          <c:showSerName val="0"/>
          <c:showPercent val="0"/>
          <c:showBubbleSize val="0"/>
        </c:dLbls>
        <c:gapWidth val="200"/>
        <c:axId val="1495160607"/>
        <c:axId val="1495161855"/>
      </c:barChart>
      <c:lineChart>
        <c:grouping val="standard"/>
        <c:varyColors val="0"/>
        <c:ser>
          <c:idx val="3"/>
          <c:order val="3"/>
          <c:tx>
            <c:strRef>
              <c:f>XLSmart!$B$572</c:f>
              <c:strCache>
                <c:ptCount val="1"/>
                <c:pt idx="0">
                  <c:v>Revenue growth</c:v>
                </c:pt>
              </c:strCache>
            </c:strRef>
          </c:tx>
          <c:spPr>
            <a:ln w="28575" cap="rnd">
              <a:solidFill>
                <a:srgbClr val="263238"/>
              </a:solidFill>
              <a:prstDash val="dash"/>
              <a:round/>
            </a:ln>
            <a:effectLst/>
          </c:spPr>
          <c:marker>
            <c:symbol val="none"/>
          </c:marker>
          <c:cat>
            <c:numRef>
              <c:f>XLSmart!$I$4:$T$4</c:f>
              <c:numCache>
                <c:formatCode>General</c:formatCode>
                <c:ptCount val="8"/>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numCache>
            </c:numRef>
          </c:cat>
          <c:val>
            <c:numRef>
              <c:f>XLSmart!$I$572:$T$572</c:f>
              <c:numCache>
                <c:formatCode>0.0%</c:formatCode>
                <c:ptCount val="8"/>
                <c:pt idx="1">
                  <c:v>6.4009168059884658E-2</c:v>
                </c:pt>
                <c:pt idx="2">
                  <c:v>0.20657114323666503</c:v>
                </c:pt>
                <c:pt idx="3">
                  <c:v>0.17403911121015581</c:v>
                </c:pt>
                <c:pt idx="4">
                  <c:v>2.8010043334651957E-2</c:v>
                </c:pt>
                <c:pt idx="5">
                  <c:v>2.3907944310888052E-2</c:v>
                </c:pt>
                <c:pt idx="6">
                  <c:v>2.4094090185227346E-2</c:v>
                </c:pt>
                <c:pt idx="7">
                  <c:v>2.427119019480517E-2</c:v>
                </c:pt>
              </c:numCache>
            </c:numRef>
          </c:val>
          <c:smooth val="0"/>
          <c:extLst>
            <c:ext xmlns:c16="http://schemas.microsoft.com/office/drawing/2014/chart" uri="{C3380CC4-5D6E-409C-BE32-E72D297353CC}">
              <c16:uniqueId val="{00000003-A85B-42B6-894F-34644AA5E28D}"/>
            </c:ext>
          </c:extLst>
        </c:ser>
        <c:ser>
          <c:idx val="4"/>
          <c:order val="4"/>
          <c:tx>
            <c:strRef>
              <c:f>XLSmart!$B$573</c:f>
              <c:strCache>
                <c:ptCount val="1"/>
                <c:pt idx="0">
                  <c:v>EBITDA growth</c:v>
                </c:pt>
              </c:strCache>
            </c:strRef>
          </c:tx>
          <c:spPr>
            <a:ln w="28575" cap="rnd">
              <a:solidFill>
                <a:srgbClr val="799098"/>
              </a:solidFill>
              <a:prstDash val="dash"/>
              <a:round/>
            </a:ln>
            <a:effectLst/>
          </c:spPr>
          <c:marker>
            <c:symbol val="none"/>
          </c:marker>
          <c:cat>
            <c:numRef>
              <c:f>XLSmart!$I$4:$T$4</c:f>
              <c:numCache>
                <c:formatCode>General</c:formatCode>
                <c:ptCount val="8"/>
                <c:pt idx="0">
                  <c:v>2023</c:v>
                </c:pt>
                <c:pt idx="1">
                  <c:v>2024</c:v>
                </c:pt>
                <c:pt idx="2" formatCode="####&quot;E&quot;">
                  <c:v>2025</c:v>
                </c:pt>
                <c:pt idx="3" formatCode="####&quot;E&quot;">
                  <c:v>2026</c:v>
                </c:pt>
                <c:pt idx="4" formatCode="####&quot;E&quot;">
                  <c:v>2027</c:v>
                </c:pt>
                <c:pt idx="5" formatCode="####&quot;E&quot;">
                  <c:v>2028</c:v>
                </c:pt>
                <c:pt idx="6" formatCode="####&quot;E&quot;">
                  <c:v>2029</c:v>
                </c:pt>
                <c:pt idx="7" formatCode="####&quot;E&quot;">
                  <c:v>2030</c:v>
                </c:pt>
              </c:numCache>
            </c:numRef>
          </c:cat>
          <c:val>
            <c:numRef>
              <c:f>XLSmart!$I$573:$T$573</c:f>
              <c:numCache>
                <c:formatCode>0.0%</c:formatCode>
                <c:ptCount val="8"/>
                <c:pt idx="1">
                  <c:v>0.12552722694365759</c:v>
                </c:pt>
                <c:pt idx="2">
                  <c:v>0.15653641877014857</c:v>
                </c:pt>
                <c:pt idx="3">
                  <c:v>0.15178082039676255</c:v>
                </c:pt>
                <c:pt idx="4">
                  <c:v>5.0792762349989307E-2</c:v>
                </c:pt>
                <c:pt idx="5">
                  <c:v>6.2587527824291112E-2</c:v>
                </c:pt>
                <c:pt idx="6">
                  <c:v>3.3402444676230658E-2</c:v>
                </c:pt>
                <c:pt idx="7">
                  <c:v>2.9618407796285773E-2</c:v>
                </c:pt>
              </c:numCache>
            </c:numRef>
          </c:val>
          <c:smooth val="0"/>
          <c:extLst>
            <c:ext xmlns:c16="http://schemas.microsoft.com/office/drawing/2014/chart" uri="{C3380CC4-5D6E-409C-BE32-E72D297353CC}">
              <c16:uniqueId val="{00000004-A85B-42B6-894F-34644AA5E28D}"/>
            </c:ext>
          </c:extLst>
        </c:ser>
        <c:dLbls>
          <c:showLegendKey val="0"/>
          <c:showVal val="0"/>
          <c:showCatName val="0"/>
          <c:showSerName val="0"/>
          <c:showPercent val="0"/>
          <c:showBubbleSize val="0"/>
        </c:dLbls>
        <c:marker val="1"/>
        <c:smooth val="0"/>
        <c:axId val="1685632175"/>
        <c:axId val="1685628335"/>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SG"/>
                  <a:t>IDR tn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_);\(#,##0\)_);&quot;-&quot;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dispUnits>
          <c:builtInUnit val="thousands"/>
        </c:dispUnits>
      </c:valAx>
      <c:valAx>
        <c:axId val="1685628335"/>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5632175"/>
        <c:crosses val="max"/>
        <c:crossBetween val="between"/>
      </c:valAx>
      <c:catAx>
        <c:axId val="1685632175"/>
        <c:scaling>
          <c:orientation val="minMax"/>
        </c:scaling>
        <c:delete val="1"/>
        <c:axPos val="b"/>
        <c:numFmt formatCode="General" sourceLinked="1"/>
        <c:majorTickMark val="out"/>
        <c:minorTickMark val="none"/>
        <c:tickLblPos val="nextTo"/>
        <c:crossAx val="168562833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XLSmart!$B$431</c:f>
              <c:strCache>
                <c:ptCount val="1"/>
                <c:pt idx="0">
                  <c:v>FCFE yield</c:v>
                </c:pt>
              </c:strCache>
            </c:strRef>
          </c:tx>
          <c:spPr>
            <a:ln w="28575" cap="rnd">
              <a:solidFill>
                <a:srgbClr val="F9663E"/>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XLSmart!$N$4:$T$4</c:f>
              <c:numCache>
                <c:formatCode>####"E"</c:formatCode>
                <c:ptCount val="7"/>
                <c:pt idx="0" formatCode="General">
                  <c:v>2024</c:v>
                </c:pt>
                <c:pt idx="1">
                  <c:v>2025</c:v>
                </c:pt>
                <c:pt idx="2">
                  <c:v>2026</c:v>
                </c:pt>
                <c:pt idx="3">
                  <c:v>2027</c:v>
                </c:pt>
                <c:pt idx="4">
                  <c:v>2028</c:v>
                </c:pt>
                <c:pt idx="5">
                  <c:v>2029</c:v>
                </c:pt>
                <c:pt idx="6">
                  <c:v>2030</c:v>
                </c:pt>
              </c:numCache>
            </c:numRef>
          </c:cat>
          <c:val>
            <c:numRef>
              <c:f>XLSmart!$N$431:$T$431</c:f>
              <c:numCache>
                <c:formatCode>0.0%</c:formatCode>
                <c:ptCount val="7"/>
                <c:pt idx="0">
                  <c:v>3.6404621586645501E-2</c:v>
                </c:pt>
                <c:pt idx="1">
                  <c:v>2.1022528753435462E-2</c:v>
                </c:pt>
                <c:pt idx="2">
                  <c:v>1.1357996927096265E-2</c:v>
                </c:pt>
                <c:pt idx="3">
                  <c:v>3.8636309901736034E-2</c:v>
                </c:pt>
                <c:pt idx="4">
                  <c:v>8.3575552681668705E-2</c:v>
                </c:pt>
                <c:pt idx="5">
                  <c:v>0.10029521793072549</c:v>
                </c:pt>
                <c:pt idx="6">
                  <c:v>0.11242052088662757</c:v>
                </c:pt>
              </c:numCache>
            </c:numRef>
          </c:val>
          <c:smooth val="0"/>
          <c:extLst>
            <c:ext xmlns:c16="http://schemas.microsoft.com/office/drawing/2014/chart" uri="{C3380CC4-5D6E-409C-BE32-E72D297353CC}">
              <c16:uniqueId val="{00000000-96AF-4D4E-A9CA-D5AA75EDF64E}"/>
            </c:ext>
          </c:extLst>
        </c:ser>
        <c:ser>
          <c:idx val="1"/>
          <c:order val="1"/>
          <c:tx>
            <c:strRef>
              <c:f>XLSmart!$B$435</c:f>
              <c:strCache>
                <c:ptCount val="1"/>
                <c:pt idx="0">
                  <c:v>Dividend yield</c:v>
                </c:pt>
              </c:strCache>
            </c:strRef>
          </c:tx>
          <c:spPr>
            <a:ln w="28575" cap="rnd">
              <a:solidFill>
                <a:srgbClr val="263238"/>
              </a:solidFill>
              <a:round/>
            </a:ln>
            <a:effectLst/>
          </c:spPr>
          <c:marker>
            <c:symbol val="none"/>
          </c:marker>
          <c:dLbls>
            <c:dLbl>
              <c:idx val="1"/>
              <c:layout>
                <c:manualLayout>
                  <c:x val="-9.0034776902887165E-2"/>
                  <c:y val="-3.1705330785455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88-4D65-81DD-A4A63F763099}"/>
                </c:ext>
              </c:extLst>
            </c:dLbl>
            <c:dLbl>
              <c:idx val="2"/>
              <c:layout>
                <c:manualLayout>
                  <c:x val="1.2742998087708153E-2"/>
                  <c:y val="-2.6133552926860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C1-4E86-BF65-CA5C1085AE63}"/>
                </c:ext>
              </c:extLst>
            </c:dLbl>
            <c:dLbl>
              <c:idx val="3"/>
              <c:layout>
                <c:manualLayout>
                  <c:x val="-9.8368088720890534E-2"/>
                  <c:y val="-1.18594741294497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C1-4E86-BF65-CA5C1085AE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XLSmart!$N$4:$T$4</c:f>
              <c:numCache>
                <c:formatCode>####"E"</c:formatCode>
                <c:ptCount val="7"/>
                <c:pt idx="0" formatCode="General">
                  <c:v>2024</c:v>
                </c:pt>
                <c:pt idx="1">
                  <c:v>2025</c:v>
                </c:pt>
                <c:pt idx="2">
                  <c:v>2026</c:v>
                </c:pt>
                <c:pt idx="3">
                  <c:v>2027</c:v>
                </c:pt>
                <c:pt idx="4">
                  <c:v>2028</c:v>
                </c:pt>
                <c:pt idx="5">
                  <c:v>2029</c:v>
                </c:pt>
                <c:pt idx="6">
                  <c:v>2030</c:v>
                </c:pt>
              </c:numCache>
            </c:numRef>
          </c:cat>
          <c:val>
            <c:numRef>
              <c:f>XLSmart!$N$435:$T$435</c:f>
              <c:numCache>
                <c:formatCode>0.0%</c:formatCode>
                <c:ptCount val="7"/>
                <c:pt idx="1">
                  <c:v>0</c:v>
                </c:pt>
                <c:pt idx="2">
                  <c:v>0</c:v>
                </c:pt>
                <c:pt idx="3">
                  <c:v>2.8230179755334851E-2</c:v>
                </c:pt>
                <c:pt idx="4">
                  <c:v>4.3456966768515307E-2</c:v>
                </c:pt>
                <c:pt idx="5">
                  <c:v>5.0100122824967015E-2</c:v>
                </c:pt>
                <c:pt idx="6">
                  <c:v>5.6538313716885995E-2</c:v>
                </c:pt>
              </c:numCache>
            </c:numRef>
          </c:val>
          <c:smooth val="0"/>
          <c:extLst>
            <c:ext xmlns:c16="http://schemas.microsoft.com/office/drawing/2014/chart" uri="{C3380CC4-5D6E-409C-BE32-E72D297353CC}">
              <c16:uniqueId val="{00000016-2FBC-4748-91C0-3E412E9D6254}"/>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tx>
            <c:strRef>
              <c:f>XLSmart!$B$525</c:f>
              <c:strCache>
                <c:ptCount val="1"/>
                <c:pt idx="0">
                  <c:v>Net debt/EBITDA</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XLSmart!$N$4:$T$4</c:f>
              <c:numCache>
                <c:formatCode>####"E"</c:formatCode>
                <c:ptCount val="7"/>
                <c:pt idx="0" formatCode="General">
                  <c:v>2024</c:v>
                </c:pt>
                <c:pt idx="1">
                  <c:v>2025</c:v>
                </c:pt>
                <c:pt idx="2">
                  <c:v>2026</c:v>
                </c:pt>
                <c:pt idx="3">
                  <c:v>2027</c:v>
                </c:pt>
                <c:pt idx="4">
                  <c:v>2028</c:v>
                </c:pt>
                <c:pt idx="5">
                  <c:v>2029</c:v>
                </c:pt>
                <c:pt idx="6">
                  <c:v>2030</c:v>
                </c:pt>
              </c:numCache>
            </c:numRef>
          </c:cat>
          <c:val>
            <c:numRef>
              <c:f>XLSmart!$N$513:$T$513</c:f>
              <c:numCache>
                <c:formatCode>#,##0.00_);\(#,##0.00\)_);"-"_)</c:formatCode>
                <c:ptCount val="7"/>
                <c:pt idx="0">
                  <c:v>2.7905435280245294</c:v>
                </c:pt>
                <c:pt idx="1">
                  <c:v>2.5282614995491022</c:v>
                </c:pt>
                <c:pt idx="2">
                  <c:v>2.5755422711551059</c:v>
                </c:pt>
                <c:pt idx="3">
                  <c:v>2.2300114879380821</c:v>
                </c:pt>
                <c:pt idx="4">
                  <c:v>1.8111602174670929</c:v>
                </c:pt>
                <c:pt idx="5">
                  <c:v>1.435769083252227</c:v>
                </c:pt>
                <c:pt idx="6">
                  <c:v>1.0565717936324703</c:v>
                </c:pt>
              </c:numCache>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0_);\(#,##0.00\)_);&quot;-&quot;_)"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'Comps with other mergers'!$X$25</c:f>
              <c:strCache>
                <c:ptCount val="1"/>
                <c:pt idx="0">
                  <c:v>Lease payment as % of sales</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'Comps with other mergers'!$AA$19:$AC$19</c:f>
              <c:strCache>
                <c:ptCount val="3"/>
                <c:pt idx="0">
                  <c:v>Proforma - 2021</c:v>
                </c:pt>
                <c:pt idx="1">
                  <c:v>2022</c:v>
                </c:pt>
                <c:pt idx="2">
                  <c:v>2024</c:v>
                </c:pt>
              </c:strCache>
            </c:strRef>
          </c:cat>
          <c:val>
            <c:numRef>
              <c:f>'Comps with other mergers'!$AA$25:$AC$25</c:f>
              <c:numCache>
                <c:formatCode>0.0%</c:formatCode>
                <c:ptCount val="3"/>
                <c:pt idx="0">
                  <c:v>8.1713487267336973E-2</c:v>
                </c:pt>
                <c:pt idx="1">
                  <c:v>9.9137044115788706E-2</c:v>
                </c:pt>
                <c:pt idx="2">
                  <c:v>9.1113856735657195E-2</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'Comps with other mergers'!$X$26</c:f>
              <c:strCache>
                <c:ptCount val="1"/>
                <c:pt idx="0">
                  <c:v>Lease payment as % of opex+capex</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'Comps with other mergers'!$AA$19:$AC$19</c:f>
              <c:strCache>
                <c:ptCount val="3"/>
                <c:pt idx="0">
                  <c:v>Proforma - 2021</c:v>
                </c:pt>
                <c:pt idx="1">
                  <c:v>2022</c:v>
                </c:pt>
                <c:pt idx="2">
                  <c:v>2024</c:v>
                </c:pt>
              </c:strCache>
            </c:strRef>
          </c:cat>
          <c:val>
            <c:numRef>
              <c:f>'Comps with other mergers'!$AA$26:$AC$26</c:f>
              <c:numCache>
                <c:formatCode>0.0%</c:formatCode>
                <c:ptCount val="3"/>
                <c:pt idx="0">
                  <c:v>9.0643833946913013E-2</c:v>
                </c:pt>
                <c:pt idx="1">
                  <c:v>0.12051665863761904</c:v>
                </c:pt>
                <c:pt idx="2">
                  <c:v>0.129077389383842</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min val="0"/>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ROIC!$B$61</c:f>
              <c:strCache>
                <c:ptCount val="1"/>
                <c:pt idx="0">
                  <c:v>PT Telkom</c:v>
                </c:pt>
              </c:strCache>
            </c:strRef>
          </c:tx>
          <c:spPr>
            <a:ln w="28575" cap="rnd">
              <a:solidFill>
                <a:srgbClr val="263238"/>
              </a:solidFill>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ROIC!$H$61:$R$61</c:f>
              <c:numCache>
                <c:formatCode>0.0%</c:formatCode>
                <c:ptCount val="11"/>
                <c:pt idx="0">
                  <c:v>0.23373799834220771</c:v>
                </c:pt>
                <c:pt idx="1">
                  <c:v>0.25521029568196629</c:v>
                </c:pt>
                <c:pt idx="2">
                  <c:v>0.27884013939773034</c:v>
                </c:pt>
                <c:pt idx="3">
                  <c:v>0.27126734355406334</c:v>
                </c:pt>
                <c:pt idx="4">
                  <c:v>0.19409824046920821</c:v>
                </c:pt>
                <c:pt idx="5">
                  <c:v>0.19436543654365437</c:v>
                </c:pt>
                <c:pt idx="6">
                  <c:v>0.19759480491979742</c:v>
                </c:pt>
                <c:pt idx="7">
                  <c:v>0.23403507666456946</c:v>
                </c:pt>
                <c:pt idx="8">
                  <c:v>0.25804961483715966</c:v>
                </c:pt>
                <c:pt idx="9">
                  <c:v>0.28069198656944216</c:v>
                </c:pt>
                <c:pt idx="10">
                  <c:v>0.29303871599218601</c:v>
                </c:pt>
              </c:numCache>
            </c:numRef>
          </c:val>
          <c:smooth val="0"/>
          <c:extLst>
            <c:ext xmlns:c16="http://schemas.microsoft.com/office/drawing/2014/chart" uri="{C3380CC4-5D6E-409C-BE32-E72D297353CC}">
              <c16:uniqueId val="{00000001-57B5-4865-8EA9-E2D53FF1EBBD}"/>
            </c:ext>
          </c:extLst>
        </c:ser>
        <c:ser>
          <c:idx val="1"/>
          <c:order val="1"/>
          <c:tx>
            <c:strRef>
              <c:f>ROIC!$B$62</c:f>
              <c:strCache>
                <c:ptCount val="1"/>
                <c:pt idx="0">
                  <c:v>Indosat</c:v>
                </c:pt>
              </c:strCache>
            </c:strRef>
          </c:tx>
          <c:spPr>
            <a:ln w="28575" cap="rnd">
              <a:solidFill>
                <a:srgbClr val="799098"/>
              </a:solidFill>
              <a:prstDash val="solid"/>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ROIC!$H$62:$R$62</c:f>
              <c:numCache>
                <c:formatCode>0.0%</c:formatCode>
                <c:ptCount val="11"/>
                <c:pt idx="0">
                  <c:v>5.6242720062122102E-2</c:v>
                </c:pt>
                <c:pt idx="1">
                  <c:v>8.0741775724206627E-2</c:v>
                </c:pt>
                <c:pt idx="2">
                  <c:v>8.1402439024390247E-2</c:v>
                </c:pt>
                <c:pt idx="3">
                  <c:v>0.10265441975416544</c:v>
                </c:pt>
                <c:pt idx="4">
                  <c:v>5.2412305446829449E-3</c:v>
                </c:pt>
                <c:pt idx="5">
                  <c:v>2.5228075401097082E-2</c:v>
                </c:pt>
                <c:pt idx="6">
                  <c:v>6.4539574992660498E-2</c:v>
                </c:pt>
                <c:pt idx="7">
                  <c:v>0.12765769085704487</c:v>
                </c:pt>
                <c:pt idx="8">
                  <c:v>0.15688297334170381</c:v>
                </c:pt>
                <c:pt idx="9">
                  <c:v>0.19788916574435078</c:v>
                </c:pt>
                <c:pt idx="10">
                  <c:v>0.22999013165110838</c:v>
                </c:pt>
              </c:numCache>
            </c:numRef>
          </c:val>
          <c:smooth val="0"/>
          <c:extLst>
            <c:ext xmlns:c16="http://schemas.microsoft.com/office/drawing/2014/chart" uri="{C3380CC4-5D6E-409C-BE32-E72D297353CC}">
              <c16:uniqueId val="{00000003-57B5-4865-8EA9-E2D53FF1EBBD}"/>
            </c:ext>
          </c:extLst>
        </c:ser>
        <c:ser>
          <c:idx val="2"/>
          <c:order val="2"/>
          <c:tx>
            <c:strRef>
              <c:f>ROIC!$B$63</c:f>
              <c:strCache>
                <c:ptCount val="1"/>
                <c:pt idx="0">
                  <c:v>XL Axiata</c:v>
                </c:pt>
              </c:strCache>
            </c:strRef>
          </c:tx>
          <c:spPr>
            <a:ln w="28575" cap="rnd">
              <a:solidFill>
                <a:srgbClr val="F9663E"/>
              </a:solidFill>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ROIC!$H$63:$R$63</c:f>
              <c:numCache>
                <c:formatCode>0.0%</c:formatCode>
                <c:ptCount val="11"/>
                <c:pt idx="0">
                  <c:v>2.6703082104548158E-2</c:v>
                </c:pt>
                <c:pt idx="1">
                  <c:v>2.3986044483209769E-4</c:v>
                </c:pt>
                <c:pt idx="2">
                  <c:v>2.397544960538233E-2</c:v>
                </c:pt>
                <c:pt idx="3">
                  <c:v>-8.6338756020320664E-2</c:v>
                </c:pt>
                <c:pt idx="4">
                  <c:v>6.2501263815473329E-2</c:v>
                </c:pt>
                <c:pt idx="5">
                  <c:v>1.3606945656754132E-2</c:v>
                </c:pt>
                <c:pt idx="6">
                  <c:v>5.8868687268709564E-2</c:v>
                </c:pt>
                <c:pt idx="7">
                  <c:v>6.1481343451799536E-2</c:v>
                </c:pt>
                <c:pt idx="8">
                  <c:v>7.7801758059712608E-2</c:v>
                </c:pt>
                <c:pt idx="9">
                  <c:v>0.10088752028780967</c:v>
                </c:pt>
                <c:pt idx="10">
                  <c:v>9.6131467646443924E-2</c:v>
                </c:pt>
              </c:numCache>
            </c:numRef>
          </c:val>
          <c:smooth val="0"/>
          <c:extLst>
            <c:ext xmlns:c16="http://schemas.microsoft.com/office/drawing/2014/chart" uri="{C3380CC4-5D6E-409C-BE32-E72D297353CC}">
              <c16:uniqueId val="{00000005-57B5-4865-8EA9-E2D53FF1EBBD}"/>
            </c:ext>
          </c:extLst>
        </c:ser>
        <c:ser>
          <c:idx val="3"/>
          <c:order val="3"/>
          <c:tx>
            <c:strRef>
              <c:f>ROIC!$B$64</c:f>
              <c:strCache>
                <c:ptCount val="1"/>
                <c:pt idx="0">
                  <c:v>Industry</c:v>
                </c:pt>
              </c:strCache>
            </c:strRef>
          </c:tx>
          <c:spPr>
            <a:ln w="28575" cap="rnd">
              <a:solidFill>
                <a:srgbClr val="C7FE02"/>
              </a:solidFill>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ROIC!$H$64:$R$64</c:f>
              <c:numCache>
                <c:formatCode>0.0%</c:formatCode>
                <c:ptCount val="11"/>
                <c:pt idx="0">
                  <c:v>0.1562053484251146</c:v>
                </c:pt>
                <c:pt idx="1">
                  <c:v>0.17625065331472017</c:v>
                </c:pt>
                <c:pt idx="2">
                  <c:v>0.20430539823536426</c:v>
                </c:pt>
                <c:pt idx="3">
                  <c:v>0.19260765520661347</c:v>
                </c:pt>
                <c:pt idx="4">
                  <c:v>0.14330554433294859</c:v>
                </c:pt>
                <c:pt idx="5">
                  <c:v>0.14003947320004448</c:v>
                </c:pt>
                <c:pt idx="6">
                  <c:v>0.15404342008630145</c:v>
                </c:pt>
                <c:pt idx="7">
                  <c:v>0.18758036820666849</c:v>
                </c:pt>
                <c:pt idx="8">
                  <c:v>0.21082234230917396</c:v>
                </c:pt>
                <c:pt idx="9">
                  <c:v>0.23746642125361817</c:v>
                </c:pt>
                <c:pt idx="10">
                  <c:v>0.24420276501574908</c:v>
                </c:pt>
              </c:numCache>
            </c:numRef>
          </c:val>
          <c:smooth val="0"/>
          <c:extLst>
            <c:ext xmlns:c16="http://schemas.microsoft.com/office/drawing/2014/chart" uri="{C3380CC4-5D6E-409C-BE32-E72D297353CC}">
              <c16:uniqueId val="{00000007-57B5-4865-8EA9-E2D53FF1EBBD}"/>
            </c:ext>
          </c:extLst>
        </c:ser>
        <c:dLbls>
          <c:showLegendKey val="0"/>
          <c:showVal val="0"/>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ROIC!$B$69</c:f>
              <c:strCache>
                <c:ptCount val="1"/>
                <c:pt idx="0">
                  <c:v>PT Telkom</c:v>
                </c:pt>
              </c:strCache>
            </c:strRef>
          </c:tx>
          <c:spPr>
            <a:ln w="28575" cap="rnd">
              <a:solidFill>
                <a:srgbClr val="263238"/>
              </a:solidFill>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ROIC!$H$69:$R$69</c:f>
              <c:numCache>
                <c:formatCode>0.0%</c:formatCode>
                <c:ptCount val="11"/>
                <c:pt idx="0">
                  <c:v>0.11800722911143849</c:v>
                </c:pt>
                <c:pt idx="1">
                  <c:v>0.13947952645119707</c:v>
                </c:pt>
                <c:pt idx="2">
                  <c:v>0.16310937016696112</c:v>
                </c:pt>
                <c:pt idx="3">
                  <c:v>0.15553657432329412</c:v>
                </c:pt>
                <c:pt idx="4">
                  <c:v>7.8367471238438985E-2</c:v>
                </c:pt>
                <c:pt idx="5">
                  <c:v>7.8634667312885154E-2</c:v>
                </c:pt>
                <c:pt idx="6">
                  <c:v>8.1864035689028197E-2</c:v>
                </c:pt>
                <c:pt idx="7">
                  <c:v>0.11830430743380024</c:v>
                </c:pt>
                <c:pt idx="8">
                  <c:v>0.14231884560639044</c:v>
                </c:pt>
                <c:pt idx="9">
                  <c:v>0.16496121733867294</c:v>
                </c:pt>
                <c:pt idx="10">
                  <c:v>0.17730794676141678</c:v>
                </c:pt>
              </c:numCache>
            </c:numRef>
          </c:val>
          <c:smooth val="0"/>
          <c:extLst>
            <c:ext xmlns:c16="http://schemas.microsoft.com/office/drawing/2014/chart" uri="{C3380CC4-5D6E-409C-BE32-E72D297353CC}">
              <c16:uniqueId val="{00000001-57B5-4865-8EA9-E2D53FF1EBBD}"/>
            </c:ext>
          </c:extLst>
        </c:ser>
        <c:ser>
          <c:idx val="1"/>
          <c:order val="1"/>
          <c:tx>
            <c:strRef>
              <c:f>ROIC!$B$70</c:f>
              <c:strCache>
                <c:ptCount val="1"/>
                <c:pt idx="0">
                  <c:v>Indosat</c:v>
                </c:pt>
              </c:strCache>
            </c:strRef>
          </c:tx>
          <c:spPr>
            <a:ln w="28575" cap="rnd">
              <a:solidFill>
                <a:srgbClr val="799098"/>
              </a:solidFill>
              <a:prstDash val="solid"/>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ROIC!$H$70:$R$70</c:f>
              <c:numCache>
                <c:formatCode>0.0%</c:formatCode>
                <c:ptCount val="11"/>
                <c:pt idx="0">
                  <c:v>-5.9488049168647118E-2</c:v>
                </c:pt>
                <c:pt idx="1">
                  <c:v>-3.4988993506562593E-2</c:v>
                </c:pt>
                <c:pt idx="2">
                  <c:v>-3.4328330206378974E-2</c:v>
                </c:pt>
                <c:pt idx="3">
                  <c:v>-1.3076349476603785E-2</c:v>
                </c:pt>
                <c:pt idx="4">
                  <c:v>-0.11048953868608627</c:v>
                </c:pt>
                <c:pt idx="5">
                  <c:v>-9.0502693829672132E-2</c:v>
                </c:pt>
                <c:pt idx="6">
                  <c:v>-5.1191194238108723E-2</c:v>
                </c:pt>
                <c:pt idx="7">
                  <c:v>1.1926921626275649E-2</c:v>
                </c:pt>
                <c:pt idx="8">
                  <c:v>4.1152204110934593E-2</c:v>
                </c:pt>
                <c:pt idx="9">
                  <c:v>8.2158396513581561E-2</c:v>
                </c:pt>
                <c:pt idx="10">
                  <c:v>0.11425936242033916</c:v>
                </c:pt>
              </c:numCache>
            </c:numRef>
          </c:val>
          <c:smooth val="0"/>
          <c:extLst>
            <c:ext xmlns:c16="http://schemas.microsoft.com/office/drawing/2014/chart" uri="{C3380CC4-5D6E-409C-BE32-E72D297353CC}">
              <c16:uniqueId val="{00000003-57B5-4865-8EA9-E2D53FF1EBBD}"/>
            </c:ext>
          </c:extLst>
        </c:ser>
        <c:ser>
          <c:idx val="2"/>
          <c:order val="2"/>
          <c:tx>
            <c:strRef>
              <c:f>ROIC!$B$71</c:f>
              <c:strCache>
                <c:ptCount val="1"/>
                <c:pt idx="0">
                  <c:v>XL Axiata</c:v>
                </c:pt>
              </c:strCache>
            </c:strRef>
          </c:tx>
          <c:spPr>
            <a:ln w="28575" cap="rnd">
              <a:solidFill>
                <a:srgbClr val="F9663E"/>
              </a:solidFill>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ROIC!$H$71:$R$71</c:f>
              <c:numCache>
                <c:formatCode>0.0%</c:formatCode>
                <c:ptCount val="11"/>
                <c:pt idx="0">
                  <c:v>-8.9027687126221056E-2</c:v>
                </c:pt>
                <c:pt idx="1">
                  <c:v>-0.11549090878593712</c:v>
                </c:pt>
                <c:pt idx="2">
                  <c:v>-9.1755319625386883E-2</c:v>
                </c:pt>
                <c:pt idx="3">
                  <c:v>-0.2020695252510899</c:v>
                </c:pt>
                <c:pt idx="4">
                  <c:v>-5.3229505415295891E-2</c:v>
                </c:pt>
                <c:pt idx="5">
                  <c:v>-0.10212382357401509</c:v>
                </c:pt>
                <c:pt idx="6">
                  <c:v>-5.6862081962059656E-2</c:v>
                </c:pt>
                <c:pt idx="7">
                  <c:v>-5.4249425778969684E-2</c:v>
                </c:pt>
                <c:pt idx="8">
                  <c:v>-3.7929011171056612E-2</c:v>
                </c:pt>
                <c:pt idx="9">
                  <c:v>-1.4843248942959547E-2</c:v>
                </c:pt>
                <c:pt idx="10">
                  <c:v>-1.9599301584325296E-2</c:v>
                </c:pt>
              </c:numCache>
            </c:numRef>
          </c:val>
          <c:smooth val="0"/>
          <c:extLst>
            <c:ext xmlns:c16="http://schemas.microsoft.com/office/drawing/2014/chart" uri="{C3380CC4-5D6E-409C-BE32-E72D297353CC}">
              <c16:uniqueId val="{00000005-57B5-4865-8EA9-E2D53FF1EBBD}"/>
            </c:ext>
          </c:extLst>
        </c:ser>
        <c:ser>
          <c:idx val="3"/>
          <c:order val="3"/>
          <c:tx>
            <c:strRef>
              <c:f>ROIC!$B$72</c:f>
              <c:strCache>
                <c:ptCount val="1"/>
                <c:pt idx="0">
                  <c:v>Industry</c:v>
                </c:pt>
              </c:strCache>
            </c:strRef>
          </c:tx>
          <c:spPr>
            <a:ln w="28575" cap="rnd">
              <a:solidFill>
                <a:srgbClr val="C7FE02"/>
              </a:solidFill>
              <a:round/>
            </a:ln>
            <a:effectLst/>
          </c:spPr>
          <c:marker>
            <c:symbol val="none"/>
          </c:marker>
          <c:cat>
            <c:numRef>
              <c:f>ROIC!$H$2:$R$2</c:f>
              <c:numCache>
                <c:formatCode>General</c:formatCode>
                <c:ptCount val="11"/>
                <c:pt idx="0">
                  <c:v>2015</c:v>
                </c:pt>
                <c:pt idx="1">
                  <c:v>2016</c:v>
                </c:pt>
                <c:pt idx="2">
                  <c:v>2017</c:v>
                </c:pt>
                <c:pt idx="3">
                  <c:v>2018</c:v>
                </c:pt>
                <c:pt idx="4">
                  <c:v>2019</c:v>
                </c:pt>
                <c:pt idx="5">
                  <c:v>2020</c:v>
                </c:pt>
                <c:pt idx="6">
                  <c:v>2021</c:v>
                </c:pt>
                <c:pt idx="7" formatCode="####&quot;E&quot;">
                  <c:v>2022</c:v>
                </c:pt>
                <c:pt idx="8" formatCode="####&quot;E&quot;">
                  <c:v>2023</c:v>
                </c:pt>
                <c:pt idx="9" formatCode="####&quot;E&quot;">
                  <c:v>2024</c:v>
                </c:pt>
                <c:pt idx="10" formatCode="####&quot;E&quot;">
                  <c:v>2025</c:v>
                </c:pt>
              </c:numCache>
            </c:numRef>
          </c:cat>
          <c:val>
            <c:numRef>
              <c:f>ROIC!$H$72:$R$72</c:f>
              <c:numCache>
                <c:formatCode>0.0%</c:formatCode>
                <c:ptCount val="11"/>
                <c:pt idx="0">
                  <c:v>4.0474579194345384E-2</c:v>
                </c:pt>
                <c:pt idx="1">
                  <c:v>6.0519884083950953E-2</c:v>
                </c:pt>
                <c:pt idx="2">
                  <c:v>8.8574629004595035E-2</c:v>
                </c:pt>
                <c:pt idx="3">
                  <c:v>7.6876885975844245E-2</c:v>
                </c:pt>
                <c:pt idx="4">
                  <c:v>2.7574775102179372E-2</c:v>
                </c:pt>
                <c:pt idx="5">
                  <c:v>2.4308703969275258E-2</c:v>
                </c:pt>
                <c:pt idx="6">
                  <c:v>3.8312650855532232E-2</c:v>
                </c:pt>
                <c:pt idx="7">
                  <c:v>7.1849598975899265E-2</c:v>
                </c:pt>
                <c:pt idx="8">
                  <c:v>9.509157307840474E-2</c:v>
                </c:pt>
                <c:pt idx="9">
                  <c:v>0.12173565202284894</c:v>
                </c:pt>
                <c:pt idx="10">
                  <c:v>0.12847199578497986</c:v>
                </c:pt>
              </c:numCache>
            </c:numRef>
          </c:val>
          <c:smooth val="0"/>
          <c:extLst>
            <c:ext xmlns:c16="http://schemas.microsoft.com/office/drawing/2014/chart" uri="{C3380CC4-5D6E-409C-BE32-E72D297353CC}">
              <c16:uniqueId val="{00000007-57B5-4865-8EA9-E2D53FF1EBBD}"/>
            </c:ext>
          </c:extLst>
        </c:ser>
        <c:dLbls>
          <c:showLegendKey val="0"/>
          <c:showVal val="0"/>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777439257970953E-2"/>
          <c:y val="5.0925925925925923E-2"/>
          <c:w val="0.80206937834159042"/>
          <c:h val="0.72268546084058838"/>
        </c:manualLayout>
      </c:layout>
      <c:barChart>
        <c:barDir val="col"/>
        <c:grouping val="clustered"/>
        <c:varyColors val="0"/>
        <c:ser>
          <c:idx val="0"/>
          <c:order val="0"/>
          <c:spPr>
            <a:solidFill>
              <a:srgbClr val="000080"/>
            </a:solidFill>
            <a:ln w="25400">
              <a:noFill/>
            </a:ln>
          </c:spPr>
          <c:invertIfNegative val="0"/>
          <c:val>
            <c:numRef>
              <c:f>'[24]Forecasts for snaps'!$J$33:$W$33</c:f>
              <c:numCache>
                <c:formatCode>General</c:formatCode>
                <c:ptCount val="14"/>
                <c:pt idx="0">
                  <c:v>7.2</c:v>
                </c:pt>
                <c:pt idx="1">
                  <c:v>7.8</c:v>
                </c:pt>
                <c:pt idx="2">
                  <c:v>8.6999999999999993</c:v>
                </c:pt>
                <c:pt idx="3">
                  <c:v>9.9</c:v>
                </c:pt>
                <c:pt idx="4">
                  <c:v>12.1</c:v>
                </c:pt>
                <c:pt idx="5">
                  <c:v>14.65</c:v>
                </c:pt>
                <c:pt idx="6">
                  <c:v>16.3</c:v>
                </c:pt>
                <c:pt idx="7">
                  <c:v>19.899999999999999</c:v>
                </c:pt>
                <c:pt idx="8">
                  <c:v>23</c:v>
                </c:pt>
                <c:pt idx="9">
                  <c:v>25.5</c:v>
                </c:pt>
                <c:pt idx="10">
                  <c:v>26.5</c:v>
                </c:pt>
                <c:pt idx="11">
                  <c:v>29.080502950987942</c:v>
                </c:pt>
                <c:pt idx="12">
                  <c:v>37.402985246743512</c:v>
                </c:pt>
                <c:pt idx="13">
                  <c:v>52.73130125898431</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'[24]Forecasts for snaps'!$H$33</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'[24]Forecasts for snaps'!$J$32:$W$32</c15:sqref>
                        </c15:formulaRef>
                      </c:ext>
                    </c:extLst>
                    <c:strCache>
                      <c:ptCount val="14"/>
                      <c:pt idx="0">
                        <c:v>Q2 13</c:v>
                      </c:pt>
                      <c:pt idx="1">
                        <c:v>Q3 13</c:v>
                      </c:pt>
                      <c:pt idx="2">
                        <c:v>Q4 13</c:v>
                      </c:pt>
                      <c:pt idx="3">
                        <c:v>Q1 14</c:v>
                      </c:pt>
                      <c:pt idx="4">
                        <c:v>Q2 14</c:v>
                      </c:pt>
                      <c:pt idx="5">
                        <c:v>Q3 14</c:v>
                      </c:pt>
                      <c:pt idx="6">
                        <c:v>Q4 14</c:v>
                      </c:pt>
                      <c:pt idx="7">
                        <c:v>Q1 15</c:v>
                      </c:pt>
                      <c:pt idx="8">
                        <c:v>Q2 15</c:v>
                      </c:pt>
                      <c:pt idx="9">
                        <c:v>Q3 15</c:v>
                      </c:pt>
                      <c:pt idx="10">
                        <c:v>Q4 15</c:v>
                      </c:pt>
                      <c:pt idx="11">
                        <c:v>Q1 16</c:v>
                      </c:pt>
                      <c:pt idx="12">
                        <c:v>Q2 16</c:v>
                      </c:pt>
                      <c:pt idx="13">
                        <c:v>Q3 16</c:v>
                      </c:pt>
                    </c:strCache>
                  </c:strRef>
                </c15:cat>
              </c15:filteredCategoryTitle>
            </c:ext>
            <c:ext xmlns:c16="http://schemas.microsoft.com/office/drawing/2014/chart" uri="{C3380CC4-5D6E-409C-BE32-E72D297353CC}">
              <c16:uniqueId val="{00000000-3496-4904-A1D6-96294B50251B}"/>
            </c:ext>
          </c:extLst>
        </c:ser>
        <c:dLbls>
          <c:showLegendKey val="0"/>
          <c:showVal val="0"/>
          <c:showCatName val="0"/>
          <c:showSerName val="0"/>
          <c:showPercent val="0"/>
          <c:showBubbleSize val="0"/>
        </c:dLbls>
        <c:gapWidth val="150"/>
        <c:axId val="924599104"/>
        <c:axId val="924602632"/>
      </c:barChart>
      <c:lineChart>
        <c:grouping val="standard"/>
        <c:varyColors val="0"/>
        <c:ser>
          <c:idx val="1"/>
          <c:order val="1"/>
          <c:spPr>
            <a:ln w="25400">
              <a:solidFill>
                <a:schemeClr val="accent1">
                  <a:lumMod val="60000"/>
                  <a:lumOff val="40000"/>
                </a:schemeClr>
              </a:solidFill>
              <a:prstDash val="solid"/>
            </a:ln>
            <a:effectLst/>
          </c:spPr>
          <c:marker>
            <c:symbol val="none"/>
          </c:marker>
          <c:val>
            <c:numRef>
              <c:f>'[24]Forecasts for snaps'!$J$34:$W$34</c:f>
              <c:numCache>
                <c:formatCode>General</c:formatCode>
                <c:ptCount val="14"/>
                <c:pt idx="0">
                  <c:v>40.694444444444443</c:v>
                </c:pt>
                <c:pt idx="1">
                  <c:v>41.025641025641029</c:v>
                </c:pt>
                <c:pt idx="2">
                  <c:v>40</c:v>
                </c:pt>
                <c:pt idx="3">
                  <c:v>37.777777777777779</c:v>
                </c:pt>
                <c:pt idx="4">
                  <c:v>33.801652892561982</c:v>
                </c:pt>
                <c:pt idx="5">
                  <c:v>30.648464163822524</c:v>
                </c:pt>
                <c:pt idx="6">
                  <c:v>29.447852760736193</c:v>
                </c:pt>
                <c:pt idx="7">
                  <c:v>25.376884422110553</c:v>
                </c:pt>
                <c:pt idx="8">
                  <c:v>22.043478260869566</c:v>
                </c:pt>
                <c:pt idx="9">
                  <c:v>20.784313725490197</c:v>
                </c:pt>
                <c:pt idx="10">
                  <c:v>20.188679245283019</c:v>
                </c:pt>
                <c:pt idx="11">
                  <c:v>18.534755086885067</c:v>
                </c:pt>
                <c:pt idx="12">
                  <c:v>15.025538637960201</c:v>
                </c:pt>
                <c:pt idx="13">
                  <c:v>11.321548790686892</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'[24]Forecasts for snaps'!$H$34</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'[24]Forecasts for snaps'!$J$32:$W$32</c15:sqref>
                        </c15:formulaRef>
                      </c:ext>
                    </c:extLst>
                    <c:strCache>
                      <c:ptCount val="14"/>
                      <c:pt idx="0">
                        <c:v>Q2 13</c:v>
                      </c:pt>
                      <c:pt idx="1">
                        <c:v>Q3 13</c:v>
                      </c:pt>
                      <c:pt idx="2">
                        <c:v>Q4 13</c:v>
                      </c:pt>
                      <c:pt idx="3">
                        <c:v>Q1 14</c:v>
                      </c:pt>
                      <c:pt idx="4">
                        <c:v>Q2 14</c:v>
                      </c:pt>
                      <c:pt idx="5">
                        <c:v>Q3 14</c:v>
                      </c:pt>
                      <c:pt idx="6">
                        <c:v>Q4 14</c:v>
                      </c:pt>
                      <c:pt idx="7">
                        <c:v>Q1 15</c:v>
                      </c:pt>
                      <c:pt idx="8">
                        <c:v>Q2 15</c:v>
                      </c:pt>
                      <c:pt idx="9">
                        <c:v>Q3 15</c:v>
                      </c:pt>
                      <c:pt idx="10">
                        <c:v>Q4 15</c:v>
                      </c:pt>
                      <c:pt idx="11">
                        <c:v>Q1 16</c:v>
                      </c:pt>
                      <c:pt idx="12">
                        <c:v>Q2 16</c:v>
                      </c:pt>
                      <c:pt idx="13">
                        <c:v>Q3 16</c:v>
                      </c:pt>
                    </c:strCache>
                  </c:strRef>
                </c15:cat>
              </c15:filteredCategoryTitle>
            </c:ext>
            <c:ext xmlns:c16="http://schemas.microsoft.com/office/drawing/2014/chart" uri="{C3380CC4-5D6E-409C-BE32-E72D297353CC}">
              <c16:uniqueId val="{00000001-3496-4904-A1D6-96294B50251B}"/>
            </c:ext>
          </c:extLst>
        </c:ser>
        <c:dLbls>
          <c:showLegendKey val="0"/>
          <c:showVal val="0"/>
          <c:showCatName val="0"/>
          <c:showSerName val="0"/>
          <c:showPercent val="0"/>
          <c:showBubbleSize val="0"/>
        </c:dLbls>
        <c:marker val="1"/>
        <c:smooth val="0"/>
        <c:axId val="924599496"/>
        <c:axId val="924604592"/>
      </c:lineChart>
      <c:catAx>
        <c:axId val="9245991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rebuchet MS"/>
                <a:ea typeface="Trebuchet MS"/>
                <a:cs typeface="Trebuchet MS"/>
              </a:defRPr>
            </a:pPr>
            <a:endParaRPr lang="en-US"/>
          </a:p>
        </c:txPr>
        <c:crossAx val="924602632"/>
        <c:crosses val="autoZero"/>
        <c:auto val="1"/>
        <c:lblAlgn val="ctr"/>
        <c:lblOffset val="100"/>
        <c:noMultiLvlLbl val="0"/>
      </c:catAx>
      <c:valAx>
        <c:axId val="924602632"/>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Trebuchet MS"/>
                <a:ea typeface="Trebuchet MS"/>
                <a:cs typeface="Trebuchet MS"/>
              </a:defRPr>
            </a:pPr>
            <a:endParaRPr lang="en-US"/>
          </a:p>
        </c:txPr>
        <c:crossAx val="924599104"/>
        <c:crosses val="autoZero"/>
        <c:crossBetween val="between"/>
      </c:valAx>
      <c:catAx>
        <c:axId val="924599496"/>
        <c:scaling>
          <c:orientation val="minMax"/>
        </c:scaling>
        <c:delete val="1"/>
        <c:axPos val="b"/>
        <c:numFmt formatCode="General" sourceLinked="1"/>
        <c:majorTickMark val="out"/>
        <c:minorTickMark val="none"/>
        <c:tickLblPos val="nextTo"/>
        <c:crossAx val="924604592"/>
        <c:crosses val="autoZero"/>
        <c:auto val="1"/>
        <c:lblAlgn val="ctr"/>
        <c:lblOffset val="100"/>
        <c:noMultiLvlLbl val="0"/>
      </c:catAx>
      <c:valAx>
        <c:axId val="924604592"/>
        <c:scaling>
          <c:orientation val="minMax"/>
          <c:max val="50"/>
        </c:scaling>
        <c:delete val="0"/>
        <c:axPos val="r"/>
        <c:numFmt formatCode="General" sourceLinked="1"/>
        <c:majorTickMark val="out"/>
        <c:minorTickMark val="none"/>
        <c:tickLblPos val="nextTo"/>
        <c:txPr>
          <a:bodyPr rot="0" vert="horz"/>
          <a:lstStyle/>
          <a:p>
            <a:pPr>
              <a:defRPr sz="1000" b="0" i="0" u="none" strike="noStrike" baseline="0">
                <a:solidFill>
                  <a:srgbClr val="000000"/>
                </a:solidFill>
                <a:latin typeface="Trebuchet MS"/>
                <a:ea typeface="Trebuchet MS"/>
                <a:cs typeface="Trebuchet MS"/>
              </a:defRPr>
            </a:pPr>
            <a:endParaRPr lang="en-US"/>
          </a:p>
        </c:txPr>
        <c:crossAx val="924599496"/>
        <c:crosses val="max"/>
        <c:crossBetween val="between"/>
      </c:valAx>
      <c:spPr>
        <a:noFill/>
        <a:ln w="25400">
          <a:noFill/>
        </a:ln>
      </c:spPr>
    </c:plotArea>
    <c:legend>
      <c:legendPos val="b"/>
      <c:layout>
        <c:manualLayout>
          <c:xMode val="edge"/>
          <c:yMode val="edge"/>
          <c:x val="0.3182840320635596"/>
          <c:y val="0.9264576531592088"/>
          <c:w val="0.36343211321557778"/>
          <c:h val="6.175148838102551E-2"/>
        </c:manualLayout>
      </c:layout>
      <c:overlay val="0"/>
      <c:spPr>
        <a:ln w="25400">
          <a:noFill/>
        </a:ln>
      </c:spPr>
      <c:txPr>
        <a:bodyPr/>
        <a:lstStyle/>
        <a:p>
          <a:pPr>
            <a:defRPr sz="595" b="0" i="0" u="none" strike="noStrike" baseline="0">
              <a:solidFill>
                <a:srgbClr val="000000"/>
              </a:solidFill>
              <a:latin typeface="Trebuchet MS"/>
              <a:ea typeface="Trebuchet MS"/>
              <a:cs typeface="Trebuchet MS"/>
            </a:defRPr>
          </a:pPr>
          <a:endParaRPr lang="en-US"/>
        </a:p>
      </c:txPr>
    </c:legend>
    <c:plotVisOnly val="1"/>
    <c:dispBlanksAs val="gap"/>
    <c:showDLblsOverMax val="0"/>
  </c:chart>
  <c:spPr>
    <a:ln w="25400">
      <a:noFill/>
    </a:ln>
    <a:effectLst/>
  </c:spPr>
  <c:txPr>
    <a:bodyPr/>
    <a:lstStyle/>
    <a:p>
      <a:pPr>
        <a:defRPr sz="1000" b="0" i="0" u="none" strike="noStrike" baseline="0">
          <a:solidFill>
            <a:srgbClr val="000000"/>
          </a:solidFill>
          <a:latin typeface="Trebuchet MS"/>
          <a:ea typeface="Trebuchet MS"/>
          <a:cs typeface="Trebuchet M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rebuchet MS"/>
                <a:ea typeface="Trebuchet MS"/>
                <a:cs typeface="Trebuchet MS"/>
              </a:defRPr>
            </a:pPr>
            <a:r>
              <a:rPr lang="en-GB"/>
              <a:t>BB ARPU/sub/month</a:t>
            </a:r>
          </a:p>
        </c:rich>
      </c:tx>
      <c:layout>
        <c:manualLayout>
          <c:xMode val="edge"/>
          <c:yMode val="edge"/>
          <c:x val="0.39225659923822648"/>
          <c:y val="3.2911392405063293E-2"/>
        </c:manualLayout>
      </c:layout>
      <c:overlay val="0"/>
      <c:spPr>
        <a:noFill/>
        <a:ln w="25400">
          <a:noFill/>
        </a:ln>
      </c:spPr>
    </c:title>
    <c:autoTitleDeleted val="0"/>
    <c:plotArea>
      <c:layout>
        <c:manualLayout>
          <c:layoutTarget val="inner"/>
          <c:xMode val="edge"/>
          <c:yMode val="edge"/>
          <c:x val="7.2390691404098609E-2"/>
          <c:y val="0.18734177215189873"/>
          <c:w val="0.90404189032560356"/>
          <c:h val="0.6860759493670886"/>
        </c:manualLayout>
      </c:layout>
      <c:barChart>
        <c:barDir val="col"/>
        <c:grouping val="clustered"/>
        <c:varyColors val="0"/>
        <c:ser>
          <c:idx val="0"/>
          <c:order val="0"/>
          <c:spPr>
            <a:solidFill>
              <a:srgbClr val="000080"/>
            </a:solidFill>
            <a:ln w="25400">
              <a:noFill/>
            </a:ln>
          </c:spPr>
          <c:invertIfNegative val="0"/>
          <c:val>
            <c:numRef>
              <c:f>[19]MASTER!$AG$161:$AQ$161</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5="http://schemas.microsoft.com/office/drawing/2012/chart" uri="{02D57815-91ED-43cb-92C2-25804820EDAC}">
              <c15:filteredSeriesTitle>
                <c15:tx>
                  <c:strRef>
                    <c:extLst xmlns:c16="http://schemas.microsoft.com/office/drawing/2014/chart">
                      <c:ext uri="{02D57815-91ED-43cb-92C2-25804820EDAC}">
                        <c15:formulaRef>
                          <c15:sqref>[19]MASTER!$AF$161</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[19]MASTER!$AG$160:$AQ$160</c15:sqref>
                        </c15:formulaRef>
                      </c:ext>
                    </c:extLst>
                    <c:numCache>
                      <c:formatCode>General</c:formatCode>
                      <c:ptCount val="11"/>
                      <c:pt idx="0">
                        <c:v>0</c:v>
                      </c:pt>
                      <c:pt idx="1">
                        <c:v>0</c:v>
                      </c:pt>
                      <c:pt idx="2">
                        <c:v>0</c:v>
                      </c:pt>
                      <c:pt idx="3">
                        <c:v>0</c:v>
                      </c:pt>
                      <c:pt idx="4">
                        <c:v>0</c:v>
                      </c:pt>
                      <c:pt idx="5">
                        <c:v>0</c:v>
                      </c:pt>
                      <c:pt idx="6">
                        <c:v>0</c:v>
                      </c:pt>
                    </c:numCache>
                  </c:numRef>
                </c15:cat>
              </c15:filteredCategoryTitle>
            </c:ext>
            <c:ext xmlns:c16="http://schemas.microsoft.com/office/drawing/2014/chart" uri="{C3380CC4-5D6E-409C-BE32-E72D297353CC}">
              <c16:uniqueId val="{00000000-2261-4D6E-8888-8D6E3CBCEE6E}"/>
            </c:ext>
          </c:extLst>
        </c:ser>
        <c:dLbls>
          <c:showLegendKey val="0"/>
          <c:showVal val="0"/>
          <c:showCatName val="0"/>
          <c:showSerName val="0"/>
          <c:showPercent val="0"/>
          <c:showBubbleSize val="0"/>
        </c:dLbls>
        <c:gapWidth val="150"/>
        <c:axId val="924588128"/>
        <c:axId val="924581856"/>
      </c:barChart>
      <c:catAx>
        <c:axId val="924588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24581856"/>
        <c:crosses val="autoZero"/>
        <c:auto val="1"/>
        <c:lblAlgn val="ctr"/>
        <c:lblOffset val="100"/>
        <c:tickLblSkip val="1"/>
        <c:tickMarkSkip val="1"/>
        <c:noMultiLvlLbl val="0"/>
      </c:catAx>
      <c:valAx>
        <c:axId val="924581856"/>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2458812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a:solidFill>
                <a:srgbClr val="333399"/>
              </a:solidFill>
              <a:prstDash val="solid"/>
            </a:ln>
          </c:spPr>
          <c:marker>
            <c:symbol val="none"/>
          </c:marker>
          <c:val>
            <c:numRef>
              <c:f>'[24]Forecasts for snaps'!$I$62:$W$62</c:f>
              <c:numCache>
                <c:formatCode>General</c:formatCode>
                <c:ptCount val="15"/>
                <c:pt idx="0">
                  <c:v>0.43715846994535518</c:v>
                </c:pt>
                <c:pt idx="1">
                  <c:v>0.4519056261343013</c:v>
                </c:pt>
                <c:pt idx="2">
                  <c:v>0.45058823529411762</c:v>
                </c:pt>
                <c:pt idx="3">
                  <c:v>0.46739757645701097</c:v>
                </c:pt>
                <c:pt idx="4">
                  <c:v>0.45285215366705472</c:v>
                </c:pt>
                <c:pt idx="5">
                  <c:v>0.45532646048109965</c:v>
                </c:pt>
                <c:pt idx="6">
                  <c:v>0.44931662870159456</c:v>
                </c:pt>
                <c:pt idx="7">
                  <c:v>0.44534638051818082</c:v>
                </c:pt>
                <c:pt idx="8">
                  <c:v>0.43271915131211613</c:v>
                </c:pt>
                <c:pt idx="9">
                  <c:v>0.45734184561810798</c:v>
                </c:pt>
                <c:pt idx="10">
                  <c:v>0.4292537313432836</c:v>
                </c:pt>
                <c:pt idx="11">
                  <c:v>0.40637681159420291</c:v>
                </c:pt>
                <c:pt idx="12">
                  <c:v>0.42589231699939506</c:v>
                </c:pt>
                <c:pt idx="13">
                  <c:v>0.44410876132930516</c:v>
                </c:pt>
                <c:pt idx="14">
                  <c:v>0.47869054972205066</c:v>
                </c:pt>
              </c:numCache>
            </c:numRef>
          </c:val>
          <c:smooth val="0"/>
          <c:extLst>
            <c:ext xmlns:c15="http://schemas.microsoft.com/office/drawing/2012/chart" uri="{02D57815-91ED-43cb-92C2-25804820EDAC}">
              <c15:filteredSeriesTitle>
                <c15:tx>
                  <c:strRef>
                    <c:extLst xmlns:c16="http://schemas.microsoft.com/office/drawing/2014/chart">
                      <c:ext uri="{02D57815-91ED-43cb-92C2-25804820EDAC}">
                        <c15:formulaRef>
                          <c15:sqref>'[24]Forecasts for snaps'!$H$62</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'[24]Forecasts for snaps'!$I$61:$W$61</c15:sqref>
                        </c15:formulaRef>
                      </c:ext>
                    </c:extLst>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strCache>
                  </c:strRef>
                </c15:cat>
              </c15:filteredCategoryTitle>
            </c:ext>
            <c:ext xmlns:c16="http://schemas.microsoft.com/office/drawing/2014/chart" uri="{C3380CC4-5D6E-409C-BE32-E72D297353CC}">
              <c16:uniqueId val="{00000000-BF01-4333-AF67-4105139163E8}"/>
            </c:ext>
          </c:extLst>
        </c:ser>
        <c:dLbls>
          <c:showLegendKey val="0"/>
          <c:showVal val="0"/>
          <c:showCatName val="0"/>
          <c:showSerName val="0"/>
          <c:showPercent val="0"/>
          <c:showBubbleSize val="0"/>
        </c:dLbls>
        <c:smooth val="0"/>
        <c:axId val="924594008"/>
        <c:axId val="924596360"/>
      </c:lineChart>
      <c:catAx>
        <c:axId val="924594008"/>
        <c:scaling>
          <c:orientation val="minMax"/>
        </c:scaling>
        <c:delete val="0"/>
        <c:axPos val="b"/>
        <c:numFmt formatCode="General" sourceLinked="1"/>
        <c:majorTickMark val="out"/>
        <c:minorTickMark val="none"/>
        <c:tickLblPos val="low"/>
        <c:txPr>
          <a:bodyPr rot="0" vert="horz"/>
          <a:lstStyle/>
          <a:p>
            <a:pPr>
              <a:defRPr sz="1000" b="0" i="0" u="none" strike="noStrike" baseline="0">
                <a:solidFill>
                  <a:srgbClr val="000000"/>
                </a:solidFill>
                <a:latin typeface="Trebuchet MS"/>
                <a:ea typeface="Trebuchet MS"/>
                <a:cs typeface="Trebuchet MS"/>
              </a:defRPr>
            </a:pPr>
            <a:endParaRPr lang="en-US"/>
          </a:p>
        </c:txPr>
        <c:crossAx val="924596360"/>
        <c:crosses val="autoZero"/>
        <c:auto val="1"/>
        <c:lblAlgn val="ctr"/>
        <c:lblOffset val="100"/>
        <c:noMultiLvlLbl val="0"/>
      </c:catAx>
      <c:valAx>
        <c:axId val="924596360"/>
        <c:scaling>
          <c:orientation val="minMax"/>
          <c:max val="0.5"/>
          <c:min val="0.36000000000000004"/>
        </c:scaling>
        <c:delete val="0"/>
        <c:axPos val="l"/>
        <c:majorGridlines>
          <c:spPr>
            <a:ln w="3175">
              <a:solidFill>
                <a:srgbClr val="C0C0C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Trebuchet MS"/>
                <a:ea typeface="Trebuchet MS"/>
                <a:cs typeface="Trebuchet MS"/>
              </a:defRPr>
            </a:pPr>
            <a:endParaRPr lang="en-US"/>
          </a:p>
        </c:txPr>
        <c:crossAx val="924594008"/>
        <c:crosses val="autoZero"/>
        <c:crossBetween val="between"/>
      </c:valAx>
      <c:spPr>
        <a:noFill/>
        <a:ln w="25400">
          <a:noFill/>
        </a:ln>
      </c:spPr>
    </c:plotArea>
    <c:plotVisOnly val="1"/>
    <c:dispBlanksAs val="gap"/>
    <c:showDLblsOverMax val="0"/>
  </c:chart>
  <c:spPr>
    <a:ln w="25400">
      <a:noFill/>
    </a:ln>
    <a:effectLst/>
  </c:spPr>
  <c:txPr>
    <a:bodyPr/>
    <a:lstStyle/>
    <a:p>
      <a:pPr>
        <a:defRPr sz="1000" b="0" i="0" u="none" strike="noStrike" baseline="0">
          <a:solidFill>
            <a:srgbClr val="000000"/>
          </a:solidFill>
          <a:latin typeface="Trebuchet MS"/>
          <a:ea typeface="Trebuchet MS"/>
          <a:cs typeface="Trebuchet M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'Snap charts'!$H$48</c:f>
              <c:strCache>
                <c:ptCount val="1"/>
                <c:pt idx="0">
                  <c:v>Voice</c:v>
                </c:pt>
              </c:strCache>
            </c:strRef>
          </c:tx>
          <c:spPr>
            <a:solidFill>
              <a:srgbClr val="000080"/>
            </a:solidFill>
            <a:ln w="25400">
              <a:noFill/>
            </a:ln>
            <a:effectLst/>
          </c:spPr>
          <c:invertIfNegative val="0"/>
          <c:cat>
            <c:strRef>
              <c:f>'Snap charts'!$I$47:$X$47</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charts'!$I$48:$X$48</c:f>
              <c:numCache>
                <c:formatCode>General</c:formatCode>
                <c:ptCount val="16"/>
                <c:pt idx="0">
                  <c:v>1814</c:v>
                </c:pt>
                <c:pt idx="1">
                  <c:v>1925</c:v>
                </c:pt>
                <c:pt idx="2">
                  <c:v>1983</c:v>
                </c:pt>
                <c:pt idx="3">
                  <c:v>1966</c:v>
                </c:pt>
                <c:pt idx="4">
                  <c:v>1875</c:v>
                </c:pt>
                <c:pt idx="5">
                  <c:v>2055</c:v>
                </c:pt>
                <c:pt idx="6">
                  <c:v>2013</c:v>
                </c:pt>
                <c:pt idx="7">
                  <c:v>1994</c:v>
                </c:pt>
                <c:pt idx="8">
                  <c:v>1869</c:v>
                </c:pt>
                <c:pt idx="9">
                  <c:v>1995</c:v>
                </c:pt>
                <c:pt idx="10">
                  <c:v>2220</c:v>
                </c:pt>
                <c:pt idx="11">
                  <c:v>2192</c:v>
                </c:pt>
                <c:pt idx="12">
                  <c:v>2006</c:v>
                </c:pt>
              </c:numCache>
            </c:numRef>
          </c:val>
          <c:extLst>
            <c:ext xmlns:c16="http://schemas.microsoft.com/office/drawing/2014/chart" uri="{C3380CC4-5D6E-409C-BE32-E72D297353CC}">
              <c16:uniqueId val="{00000000-F04C-4627-8A56-E5E859E86F72}"/>
            </c:ext>
          </c:extLst>
        </c:ser>
        <c:ser>
          <c:idx val="1"/>
          <c:order val="1"/>
          <c:tx>
            <c:strRef>
              <c:f>'Snap charts'!$H$49</c:f>
              <c:strCache>
                <c:ptCount val="1"/>
                <c:pt idx="0">
                  <c:v>Data </c:v>
                </c:pt>
              </c:strCache>
            </c:strRef>
          </c:tx>
          <c:spPr>
            <a:solidFill>
              <a:srgbClr val="9999FF"/>
            </a:solidFill>
            <a:ln w="25400">
              <a:noFill/>
            </a:ln>
            <a:effectLst/>
          </c:spPr>
          <c:invertIfNegative val="0"/>
          <c:cat>
            <c:strRef>
              <c:f>'Snap charts'!$I$47:$X$47</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charts'!$I$49:$X$49</c:f>
              <c:numCache>
                <c:formatCode>General</c:formatCode>
                <c:ptCount val="16"/>
                <c:pt idx="0">
                  <c:v>861</c:v>
                </c:pt>
                <c:pt idx="1">
                  <c:v>920</c:v>
                </c:pt>
                <c:pt idx="2">
                  <c:v>1013</c:v>
                </c:pt>
                <c:pt idx="3">
                  <c:v>1066</c:v>
                </c:pt>
                <c:pt idx="4">
                  <c:v>1122</c:v>
                </c:pt>
                <c:pt idx="5">
                  <c:v>1425</c:v>
                </c:pt>
                <c:pt idx="6">
                  <c:v>1451</c:v>
                </c:pt>
                <c:pt idx="7">
                  <c:v>1466</c:v>
                </c:pt>
                <c:pt idx="8">
                  <c:v>1447</c:v>
                </c:pt>
                <c:pt idx="9">
                  <c:v>1468</c:v>
                </c:pt>
                <c:pt idx="10">
                  <c:v>1536</c:v>
                </c:pt>
                <c:pt idx="11">
                  <c:v>1765</c:v>
                </c:pt>
                <c:pt idx="12">
                  <c:v>1782</c:v>
                </c:pt>
              </c:numCache>
            </c:numRef>
          </c:val>
          <c:extLst>
            <c:ext xmlns:c16="http://schemas.microsoft.com/office/drawing/2014/chart" uri="{C3380CC4-5D6E-409C-BE32-E72D297353CC}">
              <c16:uniqueId val="{00000001-F04C-4627-8A56-E5E859E86F72}"/>
            </c:ext>
          </c:extLst>
        </c:ser>
        <c:ser>
          <c:idx val="2"/>
          <c:order val="2"/>
          <c:tx>
            <c:strRef>
              <c:f>'Snap charts'!$H$50</c:f>
              <c:strCache>
                <c:ptCount val="1"/>
                <c:pt idx="0">
                  <c:v>SMS</c:v>
                </c:pt>
              </c:strCache>
            </c:strRef>
          </c:tx>
          <c:spPr>
            <a:solidFill>
              <a:srgbClr val="3366FF"/>
            </a:solidFill>
            <a:ln w="25400">
              <a:noFill/>
            </a:ln>
            <a:effectLst/>
          </c:spPr>
          <c:invertIfNegative val="0"/>
          <c:cat>
            <c:strRef>
              <c:f>'Snap charts'!$I$47:$X$47</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charts'!$I$50:$X$50</c:f>
              <c:numCache>
                <c:formatCode>General</c:formatCode>
                <c:ptCount val="16"/>
                <c:pt idx="0">
                  <c:v>1076</c:v>
                </c:pt>
                <c:pt idx="1">
                  <c:v>1142</c:v>
                </c:pt>
                <c:pt idx="2">
                  <c:v>1206</c:v>
                </c:pt>
                <c:pt idx="3">
                  <c:v>1120</c:v>
                </c:pt>
                <c:pt idx="4">
                  <c:v>1097</c:v>
                </c:pt>
                <c:pt idx="5">
                  <c:v>1225</c:v>
                </c:pt>
                <c:pt idx="6">
                  <c:v>1224</c:v>
                </c:pt>
                <c:pt idx="7">
                  <c:v>1150</c:v>
                </c:pt>
                <c:pt idx="8">
                  <c:v>1005</c:v>
                </c:pt>
                <c:pt idx="9">
                  <c:v>983</c:v>
                </c:pt>
                <c:pt idx="10">
                  <c:v>994</c:v>
                </c:pt>
                <c:pt idx="11">
                  <c:v>908</c:v>
                </c:pt>
                <c:pt idx="12">
                  <c:v>828</c:v>
                </c:pt>
              </c:numCache>
            </c:numRef>
          </c:val>
          <c:extLst>
            <c:ext xmlns:c16="http://schemas.microsoft.com/office/drawing/2014/chart" uri="{C3380CC4-5D6E-409C-BE32-E72D297353CC}">
              <c16:uniqueId val="{00000002-F04C-4627-8A56-E5E859E86F72}"/>
            </c:ext>
          </c:extLst>
        </c:ser>
        <c:ser>
          <c:idx val="3"/>
          <c:order val="3"/>
          <c:tx>
            <c:strRef>
              <c:f>'Snap charts'!$H$51</c:f>
              <c:strCache>
                <c:ptCount val="1"/>
                <c:pt idx="0">
                  <c:v>VAS</c:v>
                </c:pt>
              </c:strCache>
            </c:strRef>
          </c:tx>
          <c:spPr>
            <a:solidFill>
              <a:srgbClr val="CCCCFF"/>
            </a:solidFill>
            <a:ln w="25400">
              <a:noFill/>
            </a:ln>
            <a:effectLst/>
          </c:spPr>
          <c:invertIfNegative val="0"/>
          <c:cat>
            <c:strRef>
              <c:f>'Snap charts'!$I$47:$X$47</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charts'!$I$51:$X$51</c:f>
              <c:numCache>
                <c:formatCode>General</c:formatCode>
                <c:ptCount val="16"/>
                <c:pt idx="0">
                  <c:v>861</c:v>
                </c:pt>
                <c:pt idx="1">
                  <c:v>920</c:v>
                </c:pt>
                <c:pt idx="2">
                  <c:v>1013</c:v>
                </c:pt>
                <c:pt idx="3">
                  <c:v>1066</c:v>
                </c:pt>
                <c:pt idx="4">
                  <c:v>150</c:v>
                </c:pt>
                <c:pt idx="5">
                  <c:v>203</c:v>
                </c:pt>
                <c:pt idx="6">
                  <c:v>215</c:v>
                </c:pt>
                <c:pt idx="7">
                  <c:v>243</c:v>
                </c:pt>
                <c:pt idx="8">
                  <c:v>221</c:v>
                </c:pt>
                <c:pt idx="9">
                  <c:v>239</c:v>
                </c:pt>
                <c:pt idx="10">
                  <c:v>184</c:v>
                </c:pt>
                <c:pt idx="11">
                  <c:v>167</c:v>
                </c:pt>
                <c:pt idx="12">
                  <c:v>165</c:v>
                </c:pt>
              </c:numCache>
            </c:numRef>
          </c:val>
          <c:extLst>
            <c:ext xmlns:c16="http://schemas.microsoft.com/office/drawing/2014/chart" uri="{C3380CC4-5D6E-409C-BE32-E72D297353CC}">
              <c16:uniqueId val="{00000003-F04C-4627-8A56-E5E859E86F72}"/>
            </c:ext>
          </c:extLst>
        </c:ser>
        <c:ser>
          <c:idx val="4"/>
          <c:order val="4"/>
          <c:tx>
            <c:strRef>
              <c:f>'Snap charts'!$H$52</c:f>
              <c:strCache>
                <c:ptCount val="1"/>
                <c:pt idx="0">
                  <c:v>Equipment</c:v>
                </c:pt>
              </c:strCache>
            </c:strRef>
          </c:tx>
          <c:spPr>
            <a:solidFill>
              <a:srgbClr val="969696"/>
            </a:solidFill>
            <a:ln w="25400">
              <a:noFill/>
            </a:ln>
            <a:effectLst/>
          </c:spPr>
          <c:invertIfNegative val="0"/>
          <c:cat>
            <c:strRef>
              <c:f>'Snap charts'!$I$47:$X$47</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charts'!$I$52:$X$52</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4-F04C-4627-8A56-E5E859E86F72}"/>
            </c:ext>
          </c:extLst>
        </c:ser>
        <c:ser>
          <c:idx val="5"/>
          <c:order val="5"/>
          <c:tx>
            <c:strRef>
              <c:f>'Snap charts'!$H$53</c:f>
              <c:strCache>
                <c:ptCount val="1"/>
                <c:pt idx="0">
                  <c:v>Consensus</c:v>
                </c:pt>
              </c:strCache>
            </c:strRef>
          </c:tx>
          <c:spPr>
            <a:solidFill>
              <a:schemeClr val="accent1">
                <a:lumMod val="60000"/>
                <a:lumOff val="40000"/>
              </a:schemeClr>
            </a:solidFill>
            <a:ln w="25400">
              <a:solidFill>
                <a:schemeClr val="accent5">
                  <a:lumMod val="75000"/>
                </a:schemeClr>
              </a:solidFill>
            </a:ln>
            <a:effectLst/>
          </c:spPr>
          <c:invertIfNegative val="0"/>
          <c:cat>
            <c:strRef>
              <c:f>'Snap charts'!$I$47:$X$47</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charts'!$I$53:$X$53</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5-F04C-4627-8A56-E5E859E86F72}"/>
            </c:ext>
          </c:extLst>
        </c:ser>
        <c:dLbls>
          <c:showLegendKey val="0"/>
          <c:showVal val="0"/>
          <c:showCatName val="0"/>
          <c:showSerName val="0"/>
          <c:showPercent val="0"/>
          <c:showBubbleSize val="0"/>
        </c:dLbls>
        <c:gapWidth val="150"/>
        <c:overlap val="100"/>
        <c:axId val="924600672"/>
        <c:axId val="924603416"/>
      </c:barChart>
      <c:catAx>
        <c:axId val="924600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603416"/>
        <c:crosses val="autoZero"/>
        <c:auto val="1"/>
        <c:lblAlgn val="ctr"/>
        <c:lblOffset val="100"/>
        <c:noMultiLvlLbl val="0"/>
      </c:catAx>
      <c:valAx>
        <c:axId val="924603416"/>
        <c:scaling>
          <c:orientation val="minMax"/>
          <c:max val="2000"/>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60067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'Snap charts'!$H$62</c:f>
              <c:strCache>
                <c:ptCount val="1"/>
                <c:pt idx="0">
                  <c:v>Margins</c:v>
                </c:pt>
              </c:strCache>
            </c:strRef>
          </c:tx>
          <c:spPr>
            <a:ln w="25400" cap="rnd">
              <a:solidFill>
                <a:srgbClr val="333399"/>
              </a:solidFill>
              <a:prstDash val="solid"/>
              <a:round/>
            </a:ln>
            <a:effectLst/>
          </c:spPr>
          <c:marker>
            <c:symbol val="none"/>
          </c:marker>
          <c:cat>
            <c:strRef>
              <c:f>'Snap charts'!$I$61:$W$61</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charts'!$I$62:$W$62</c:f>
              <c:numCache>
                <c:formatCode>#,##0.0%;[Red]\-#,##0.0%;0.0%;@_)</c:formatCode>
                <c:ptCount val="15"/>
                <c:pt idx="0">
                  <c:v>0.35168461271274748</c:v>
                </c:pt>
                <c:pt idx="1">
                  <c:v>0.3532617671345995</c:v>
                </c:pt>
                <c:pt idx="2">
                  <c:v>0.35300563556668751</c:v>
                </c:pt>
                <c:pt idx="3">
                  <c:v>0.35093216355945478</c:v>
                </c:pt>
                <c:pt idx="4">
                  <c:v>0.39967314327219899</c:v>
                </c:pt>
                <c:pt idx="5">
                  <c:v>0.34116868068200629</c:v>
                </c:pt>
                <c:pt idx="6">
                  <c:v>0.34315684315684314</c:v>
                </c:pt>
                <c:pt idx="7">
                  <c:v>0.38943447341686421</c:v>
                </c:pt>
                <c:pt idx="8">
                  <c:v>0.34245575624885971</c:v>
                </c:pt>
                <c:pt idx="9">
                  <c:v>0.35644270183567989</c:v>
                </c:pt>
                <c:pt idx="10">
                  <c:v>0.37667238421955401</c:v>
                </c:pt>
                <c:pt idx="11">
                  <c:v>0.3884145320609409</c:v>
                </c:pt>
                <c:pt idx="12">
                  <c:v>0.3903133903133903</c:v>
                </c:pt>
              </c:numCache>
            </c:numRef>
          </c:val>
          <c:smooth val="0"/>
          <c:extLst>
            <c:ext xmlns:c16="http://schemas.microsoft.com/office/drawing/2014/chart" uri="{C3380CC4-5D6E-409C-BE32-E72D297353CC}">
              <c16:uniqueId val="{00000000-E1C9-46B1-846D-559F1E185E11}"/>
            </c:ext>
          </c:extLst>
        </c:ser>
        <c:ser>
          <c:idx val="1"/>
          <c:order val="1"/>
          <c:tx>
            <c:strRef>
              <c:f>'Snap charts'!$H$63</c:f>
              <c:strCache>
                <c:ptCount val="1"/>
                <c:pt idx="0">
                  <c:v>Service rev margins</c:v>
                </c:pt>
              </c:strCache>
            </c:strRef>
          </c:tx>
          <c:spPr>
            <a:ln w="25400" cap="rnd">
              <a:solidFill>
                <a:srgbClr val="99CCFF"/>
              </a:solidFill>
              <a:prstDash val="solid"/>
              <a:round/>
            </a:ln>
            <a:effectLst/>
          </c:spPr>
          <c:marker>
            <c:symbol val="none"/>
          </c:marker>
          <c:cat>
            <c:strRef>
              <c:f>'Snap charts'!$I$61:$W$61</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charts'!$I$63:$W$63</c:f>
              <c:numCache>
                <c:formatCode>#,##0.0%;[Red]\-#,##0.0%;0.0%;@_)</c:formatCode>
                <c:ptCount val="15"/>
                <c:pt idx="0">
                  <c:v>0.35168461271274748</c:v>
                </c:pt>
                <c:pt idx="1">
                  <c:v>0.3532617671345995</c:v>
                </c:pt>
                <c:pt idx="2">
                  <c:v>0.35300563556668751</c:v>
                </c:pt>
                <c:pt idx="3">
                  <c:v>0.35093216355945478</c:v>
                </c:pt>
                <c:pt idx="4">
                  <c:v>0.39967314327219899</c:v>
                </c:pt>
                <c:pt idx="5">
                  <c:v>0.34116868068200629</c:v>
                </c:pt>
                <c:pt idx="6">
                  <c:v>0.34315684315684314</c:v>
                </c:pt>
                <c:pt idx="7">
                  <c:v>0.38943447341686421</c:v>
                </c:pt>
                <c:pt idx="8">
                  <c:v>0.34245575624885971</c:v>
                </c:pt>
                <c:pt idx="9">
                  <c:v>0.35644270183567989</c:v>
                </c:pt>
                <c:pt idx="10">
                  <c:v>0.37667238421955401</c:v>
                </c:pt>
                <c:pt idx="11">
                  <c:v>0.3884145320609409</c:v>
                </c:pt>
                <c:pt idx="12">
                  <c:v>0.3903133903133903</c:v>
                </c:pt>
              </c:numCache>
            </c:numRef>
          </c:val>
          <c:smooth val="0"/>
          <c:extLst>
            <c:ext xmlns:c16="http://schemas.microsoft.com/office/drawing/2014/chart" uri="{C3380CC4-5D6E-409C-BE32-E72D297353CC}">
              <c16:uniqueId val="{00000001-E1C9-46B1-846D-559F1E185E11}"/>
            </c:ext>
          </c:extLst>
        </c:ser>
        <c:dLbls>
          <c:showLegendKey val="0"/>
          <c:showVal val="0"/>
          <c:showCatName val="0"/>
          <c:showSerName val="0"/>
          <c:showPercent val="0"/>
          <c:showBubbleSize val="0"/>
        </c:dLbls>
        <c:smooth val="0"/>
        <c:axId val="924600280"/>
        <c:axId val="924603808"/>
      </c:lineChart>
      <c:catAx>
        <c:axId val="9246002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603808"/>
        <c:crosses val="autoZero"/>
        <c:auto val="1"/>
        <c:lblAlgn val="ctr"/>
        <c:lblOffset val="100"/>
        <c:noMultiLvlLbl val="0"/>
      </c:catAx>
      <c:valAx>
        <c:axId val="924603808"/>
        <c:scaling>
          <c:orientation val="minMax"/>
          <c:min val="0.4"/>
        </c:scaling>
        <c:delete val="0"/>
        <c:axPos val="l"/>
        <c:majorGridlines>
          <c:spPr>
            <a:ln w="3175" cap="flat" cmpd="sng" algn="ctr">
              <a:solidFill>
                <a:srgbClr val="C0C0C0"/>
              </a:solidFill>
              <a:prstDash val="solid"/>
              <a:round/>
            </a:ln>
            <a:effectLst/>
          </c:spPr>
        </c:majorGridlines>
        <c:numFmt formatCode="#,##0.0%;[Red]\-#,##0.0%;0.0%;@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6002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'Snap charts'!$H$103</c:f>
              <c:strCache>
                <c:ptCount val="1"/>
                <c:pt idx="0">
                  <c:v>Voice</c:v>
                </c:pt>
              </c:strCache>
            </c:strRef>
          </c:tx>
          <c:spPr>
            <a:solidFill>
              <a:srgbClr val="000080"/>
            </a:solidFill>
            <a:ln w="25400">
              <a:noFill/>
            </a:ln>
            <a:effectLst/>
          </c:spPr>
          <c:invertIfNegative val="0"/>
          <c:cat>
            <c:strRef>
              <c:f>'Snap charts'!$I$102:$U$102</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charts'!$I$103:$U$103</c:f>
              <c:numCache>
                <c:formatCode>#,##0.0_);[Red]\-#,##0.0_);0.0_);@_)</c:formatCode>
                <c:ptCount val="13"/>
                <c:pt idx="0">
                  <c:v>12.743238496663153</c:v>
                </c:pt>
                <c:pt idx="1">
                  <c:v>12.423362374959664</c:v>
                </c:pt>
                <c:pt idx="2">
                  <c:v>11.772039180765807</c:v>
                </c:pt>
                <c:pt idx="3">
                  <c:v>11.051152332771219</c:v>
                </c:pt>
                <c:pt idx="4">
                  <c:v>9.6899224806201545</c:v>
                </c:pt>
                <c:pt idx="5">
                  <c:v>10.428719322818342</c:v>
                </c:pt>
                <c:pt idx="6">
                  <c:v>11.079554836366038</c:v>
                </c:pt>
                <c:pt idx="7">
                  <c:v>11.279301294234772</c:v>
                </c:pt>
                <c:pt idx="8">
                  <c:v>11.154879140555058</c:v>
                </c:pt>
                <c:pt idx="9">
                  <c:v>13.557594291539246</c:v>
                </c:pt>
                <c:pt idx="10">
                  <c:v>16.914285714285715</c:v>
                </c:pt>
                <c:pt idx="11">
                  <c:v>17.500998003992017</c:v>
                </c:pt>
                <c:pt idx="12">
                  <c:v>15.826429980276133</c:v>
                </c:pt>
              </c:numCache>
            </c:numRef>
          </c:val>
          <c:extLst>
            <c:ext xmlns:c16="http://schemas.microsoft.com/office/drawing/2014/chart" uri="{C3380CC4-5D6E-409C-BE32-E72D297353CC}">
              <c16:uniqueId val="{00000000-13F9-499B-8D08-6F22340AB491}"/>
            </c:ext>
          </c:extLst>
        </c:ser>
        <c:ser>
          <c:idx val="1"/>
          <c:order val="1"/>
          <c:tx>
            <c:strRef>
              <c:f>'Snap charts'!$H$104</c:f>
              <c:strCache>
                <c:ptCount val="1"/>
                <c:pt idx="0">
                  <c:v>Data</c:v>
                </c:pt>
              </c:strCache>
            </c:strRef>
          </c:tx>
          <c:spPr>
            <a:solidFill>
              <a:srgbClr val="9999FF"/>
            </a:solidFill>
            <a:ln w="25400">
              <a:noFill/>
            </a:ln>
            <a:effectLst/>
          </c:spPr>
          <c:invertIfNegative val="0"/>
          <c:cat>
            <c:strRef>
              <c:f>'Snap charts'!$I$102:$U$102</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charts'!$I$104:$U$104</c:f>
              <c:numCache>
                <c:formatCode>#,##0.0_);[Red]\-#,##0.0_);0.0_);@_)</c:formatCode>
                <c:ptCount val="13"/>
                <c:pt idx="0">
                  <c:v>6.0484720758693369</c:v>
                </c:pt>
                <c:pt idx="1">
                  <c:v>5.9373991610196839</c:v>
                </c:pt>
                <c:pt idx="2">
                  <c:v>6.0136539032353822</c:v>
                </c:pt>
                <c:pt idx="3">
                  <c:v>5.992130410342889</c:v>
                </c:pt>
                <c:pt idx="4">
                  <c:v>5.7984496124031004</c:v>
                </c:pt>
                <c:pt idx="5">
                  <c:v>7.2315936910054193</c:v>
                </c:pt>
                <c:pt idx="6">
                  <c:v>7.9863060444943477</c:v>
                </c:pt>
                <c:pt idx="7">
                  <c:v>8.2926056656711022</c:v>
                </c:pt>
                <c:pt idx="8">
                  <c:v>8.6362279916442848</c:v>
                </c:pt>
                <c:pt idx="9">
                  <c:v>9.9762147468569484</c:v>
                </c:pt>
                <c:pt idx="10">
                  <c:v>11.702857142857143</c:v>
                </c:pt>
                <c:pt idx="11">
                  <c:v>14.091816367265467</c:v>
                </c:pt>
                <c:pt idx="12">
                  <c:v>14.059171597633137</c:v>
                </c:pt>
              </c:numCache>
            </c:numRef>
          </c:val>
          <c:extLst>
            <c:ext xmlns:c16="http://schemas.microsoft.com/office/drawing/2014/chart" uri="{C3380CC4-5D6E-409C-BE32-E72D297353CC}">
              <c16:uniqueId val="{00000001-13F9-499B-8D08-6F22340AB491}"/>
            </c:ext>
          </c:extLst>
        </c:ser>
        <c:ser>
          <c:idx val="2"/>
          <c:order val="2"/>
          <c:tx>
            <c:strRef>
              <c:f>'Snap charts'!$H$105</c:f>
              <c:strCache>
                <c:ptCount val="1"/>
                <c:pt idx="0">
                  <c:v>SMS</c:v>
                </c:pt>
              </c:strCache>
            </c:strRef>
          </c:tx>
          <c:spPr>
            <a:solidFill>
              <a:srgbClr val="3366FF"/>
            </a:solidFill>
            <a:ln w="25400">
              <a:noFill/>
            </a:ln>
            <a:effectLst/>
          </c:spPr>
          <c:invertIfNegative val="0"/>
          <c:cat>
            <c:strRef>
              <c:f>'Snap charts'!$I$102:$U$102</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charts'!$I$105:$U$105</c:f>
              <c:numCache>
                <c:formatCode>#,##0.0_);[Red]\-#,##0.0_);0.0_);@_)</c:formatCode>
                <c:ptCount val="13"/>
                <c:pt idx="0">
                  <c:v>7.5588338602037233</c:v>
                </c:pt>
                <c:pt idx="1">
                  <c:v>7.3701193933526943</c:v>
                </c:pt>
                <c:pt idx="2">
                  <c:v>7.1593944790739092</c:v>
                </c:pt>
                <c:pt idx="3">
                  <c:v>6.2956717256885888</c:v>
                </c:pt>
                <c:pt idx="4">
                  <c:v>5.6692506459948317</c:v>
                </c:pt>
                <c:pt idx="5">
                  <c:v>6.2166331729695719</c:v>
                </c:pt>
                <c:pt idx="6">
                  <c:v>6.7368977246458179</c:v>
                </c:pt>
                <c:pt idx="7">
                  <c:v>6.5051135849398136</c:v>
                </c:pt>
                <c:pt idx="8">
                  <c:v>5.998209489704565</c:v>
                </c:pt>
                <c:pt idx="9">
                  <c:v>6.6802582398912671</c:v>
                </c:pt>
                <c:pt idx="10">
                  <c:v>7.5733333333333333</c:v>
                </c:pt>
                <c:pt idx="11">
                  <c:v>7.2495009980039917</c:v>
                </c:pt>
                <c:pt idx="12">
                  <c:v>6.5325443786982254</c:v>
                </c:pt>
              </c:numCache>
            </c:numRef>
          </c:val>
          <c:extLst>
            <c:ext xmlns:c16="http://schemas.microsoft.com/office/drawing/2014/chart" uri="{C3380CC4-5D6E-409C-BE32-E72D297353CC}">
              <c16:uniqueId val="{00000002-13F9-499B-8D08-6F22340AB491}"/>
            </c:ext>
          </c:extLst>
        </c:ser>
        <c:ser>
          <c:idx val="3"/>
          <c:order val="3"/>
          <c:tx>
            <c:strRef>
              <c:f>'Snap charts'!$H$106</c:f>
              <c:strCache>
                <c:ptCount val="1"/>
                <c:pt idx="0">
                  <c:v>VAS</c:v>
                </c:pt>
              </c:strCache>
            </c:strRef>
          </c:tx>
          <c:spPr>
            <a:solidFill>
              <a:srgbClr val="CCCCFF"/>
            </a:solidFill>
            <a:ln w="25400">
              <a:noFill/>
            </a:ln>
            <a:effectLst/>
          </c:spPr>
          <c:invertIfNegative val="0"/>
          <c:cat>
            <c:strRef>
              <c:f>'Snap charts'!$I$102:$U$102</c:f>
              <c:strCache>
                <c:ptCount val="13"/>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strCache>
            </c:strRef>
          </c:cat>
          <c:val>
            <c:numRef>
              <c:f>'Snap charts'!$I$106:$U$106</c:f>
              <c:numCache>
                <c:formatCode>#,##0.0_);[Red]\-#,##0.0_);0.0_);@_)</c:formatCode>
                <c:ptCount val="13"/>
                <c:pt idx="0">
                  <c:v>6.0484720758693369</c:v>
                </c:pt>
                <c:pt idx="1">
                  <c:v>5.9373991610196839</c:v>
                </c:pt>
                <c:pt idx="2">
                  <c:v>6.0136539032353822</c:v>
                </c:pt>
                <c:pt idx="3">
                  <c:v>5.992130410342889</c:v>
                </c:pt>
                <c:pt idx="4">
                  <c:v>0.77519379844961245</c:v>
                </c:pt>
                <c:pt idx="5">
                  <c:v>1.0301849258063862</c:v>
                </c:pt>
                <c:pt idx="6">
                  <c:v>1.1833603029402375</c:v>
                </c:pt>
                <c:pt idx="7">
                  <c:v>1.3745587836003257</c:v>
                </c:pt>
                <c:pt idx="8">
                  <c:v>1.3190092509698597</c:v>
                </c:pt>
                <c:pt idx="9">
                  <c:v>1.6241930003397893</c:v>
                </c:pt>
                <c:pt idx="10">
                  <c:v>1.4019047619047618</c:v>
                </c:pt>
                <c:pt idx="11">
                  <c:v>1.3333333333333333</c:v>
                </c:pt>
                <c:pt idx="12">
                  <c:v>1.3017751479289941</c:v>
                </c:pt>
              </c:numCache>
            </c:numRef>
          </c:val>
          <c:extLst>
            <c:ext xmlns:c16="http://schemas.microsoft.com/office/drawing/2014/chart" uri="{C3380CC4-5D6E-409C-BE32-E72D297353CC}">
              <c16:uniqueId val="{00000003-13F9-499B-8D08-6F22340AB491}"/>
            </c:ext>
          </c:extLst>
        </c:ser>
        <c:dLbls>
          <c:showLegendKey val="0"/>
          <c:showVal val="0"/>
          <c:showCatName val="0"/>
          <c:showSerName val="0"/>
          <c:showPercent val="0"/>
          <c:showBubbleSize val="0"/>
        </c:dLbls>
        <c:gapWidth val="150"/>
        <c:overlap val="100"/>
        <c:axId val="924601456"/>
        <c:axId val="924594400"/>
      </c:barChart>
      <c:catAx>
        <c:axId val="92460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94400"/>
        <c:crosses val="autoZero"/>
        <c:auto val="1"/>
        <c:lblAlgn val="ctr"/>
        <c:lblOffset val="100"/>
        <c:noMultiLvlLbl val="0"/>
      </c:catAx>
      <c:valAx>
        <c:axId val="924594400"/>
        <c:scaling>
          <c:orientation val="minMax"/>
          <c:max val="50"/>
        </c:scaling>
        <c:delete val="0"/>
        <c:axPos val="l"/>
        <c:majorGridlines>
          <c:spPr>
            <a:ln w="3175" cap="flat" cmpd="sng" algn="ctr">
              <a:solidFill>
                <a:srgbClr val="C0C0C0"/>
              </a:solidFill>
              <a:prstDash val="solid"/>
              <a:round/>
            </a:ln>
            <a:effectLst/>
          </c:spPr>
        </c:majorGridlines>
        <c:numFmt formatCode="#,##0.0_);[Red]\-#,##0.0_);0.0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60145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'Snap charts'!$H$131</c:f>
              <c:strCache>
                <c:ptCount val="1"/>
                <c:pt idx="0">
                  <c:v>Subscribers</c:v>
                </c:pt>
              </c:strCache>
            </c:strRef>
          </c:tx>
          <c:spPr>
            <a:solidFill>
              <a:srgbClr val="000080"/>
            </a:solidFill>
            <a:ln w="25400">
              <a:noFill/>
            </a:ln>
            <a:effectLst/>
          </c:spPr>
          <c:invertIfNegative val="0"/>
          <c:cat>
            <c:strRef>
              <c:f>'Snap charts'!$I$130:$W$130</c:f>
              <c:strCache>
                <c:ptCount val="15"/>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0</c:v>
                </c:pt>
                <c:pt idx="14">
                  <c:v>0</c:v>
                </c:pt>
              </c:strCache>
            </c:strRef>
          </c:cat>
          <c:val>
            <c:numRef>
              <c:f>'Snap charts'!$I$131:$W$131</c:f>
              <c:numCache>
                <c:formatCode>#,##0_);[Red]\-#,##0_);0_);@_)</c:formatCode>
                <c:ptCount val="15"/>
                <c:pt idx="0">
                  <c:v>49100</c:v>
                </c:pt>
                <c:pt idx="1">
                  <c:v>54200</c:v>
                </c:pt>
                <c:pt idx="2">
                  <c:v>58100</c:v>
                </c:pt>
                <c:pt idx="3">
                  <c:v>60500</c:v>
                </c:pt>
                <c:pt idx="4">
                  <c:v>68500</c:v>
                </c:pt>
                <c:pt idx="5">
                  <c:v>62868</c:v>
                </c:pt>
                <c:pt idx="6">
                  <c:v>58256</c:v>
                </c:pt>
                <c:pt idx="7">
                  <c:v>59600</c:v>
                </c:pt>
                <c:pt idx="8">
                  <c:v>52100</c:v>
                </c:pt>
                <c:pt idx="9">
                  <c:v>46000</c:v>
                </c:pt>
                <c:pt idx="10">
                  <c:v>41500</c:v>
                </c:pt>
                <c:pt idx="11">
                  <c:v>42000</c:v>
                </c:pt>
                <c:pt idx="12">
                  <c:v>42500</c:v>
                </c:pt>
                <c:pt idx="13">
                  <c:v>44000</c:v>
                </c:pt>
                <c:pt idx="14">
                  <c:v>45000</c:v>
                </c:pt>
              </c:numCache>
            </c:numRef>
          </c:val>
          <c:extLst>
            <c:ext xmlns:c16="http://schemas.microsoft.com/office/drawing/2014/chart" uri="{C3380CC4-5D6E-409C-BE32-E72D297353CC}">
              <c16:uniqueId val="{00000000-B21B-4F5E-A7A5-F068EB84774A}"/>
            </c:ext>
          </c:extLst>
        </c:ser>
        <c:dLbls>
          <c:showLegendKey val="0"/>
          <c:showVal val="0"/>
          <c:showCatName val="0"/>
          <c:showSerName val="0"/>
          <c:showPercent val="0"/>
          <c:showBubbleSize val="0"/>
        </c:dLbls>
        <c:gapWidth val="219"/>
        <c:overlap val="-27"/>
        <c:axId val="924594792"/>
        <c:axId val="924598712"/>
      </c:barChart>
      <c:catAx>
        <c:axId val="924594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98712"/>
        <c:crosses val="autoZero"/>
        <c:auto val="1"/>
        <c:lblAlgn val="ctr"/>
        <c:lblOffset val="100"/>
        <c:noMultiLvlLbl val="0"/>
      </c:catAx>
      <c:valAx>
        <c:axId val="924598712"/>
        <c:scaling>
          <c:orientation val="minMax"/>
        </c:scaling>
        <c:delete val="0"/>
        <c:axPos val="l"/>
        <c:majorGridlines>
          <c:spPr>
            <a:ln w="3175" cap="flat" cmpd="sng" algn="ctr">
              <a:solidFill>
                <a:srgbClr val="C0C0C0"/>
              </a:solidFill>
              <a:prstDash val="solid"/>
              <a:round/>
            </a:ln>
            <a:effectLst/>
          </c:spPr>
        </c:majorGridlines>
        <c:numFmt formatCode="#,##0_);[Red]\-#,##0_);0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94792"/>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'Snap charts'!$A$193</c:f>
              <c:strCache>
                <c:ptCount val="1"/>
                <c:pt idx="0">
                  <c:v>Opex</c:v>
                </c:pt>
              </c:strCache>
            </c:strRef>
          </c:tx>
          <c:spPr>
            <a:solidFill>
              <a:srgbClr val="000080"/>
            </a:solidFill>
            <a:ln w="25400">
              <a:noFill/>
            </a:ln>
            <a:effectLst/>
          </c:spPr>
          <c:invertIfNegative val="0"/>
          <c:cat>
            <c:strRef>
              <c:f>'Snap charts'!$B$192:$H$192</c:f>
              <c:strCache>
                <c:ptCount val="7"/>
                <c:pt idx="0">
                  <c:v>2014</c:v>
                </c:pt>
                <c:pt idx="1">
                  <c:v>2015</c:v>
                </c:pt>
                <c:pt idx="2">
                  <c:v>2016</c:v>
                </c:pt>
                <c:pt idx="3">
                  <c:v>2017F</c:v>
                </c:pt>
                <c:pt idx="4">
                  <c:v>2018F</c:v>
                </c:pt>
                <c:pt idx="5">
                  <c:v>2019F</c:v>
                </c:pt>
                <c:pt idx="6">
                  <c:v>2020F</c:v>
                </c:pt>
              </c:strCache>
            </c:strRef>
          </c:cat>
          <c:val>
            <c:numRef>
              <c:f>'Snap charts'!$B$193:$H$193</c:f>
              <c:numCache>
                <c:formatCode>_-* #,##0_-;\-* #,##0_-;_-* "-"??_-;_-@_-</c:formatCode>
                <c:ptCount val="7"/>
                <c:pt idx="0">
                  <c:v>8229</c:v>
                </c:pt>
                <c:pt idx="1">
                  <c:v>9286</c:v>
                </c:pt>
                <c:pt idx="2">
                  <c:v>8269</c:v>
                </c:pt>
                <c:pt idx="3">
                  <c:v>8780.2494138384791</c:v>
                </c:pt>
                <c:pt idx="4">
                  <c:v>9882.9705497391569</c:v>
                </c:pt>
                <c:pt idx="5">
                  <c:v>11097.093765520809</c:v>
                </c:pt>
                <c:pt idx="6">
                  <c:v>12173.886329637553</c:v>
                </c:pt>
              </c:numCache>
            </c:numRef>
          </c:val>
          <c:extLst>
            <c:ext xmlns:c16="http://schemas.microsoft.com/office/drawing/2014/chart" uri="{C3380CC4-5D6E-409C-BE32-E72D297353CC}">
              <c16:uniqueId val="{00000000-90C3-4515-87B0-51E571A02E54}"/>
            </c:ext>
          </c:extLst>
        </c:ser>
        <c:ser>
          <c:idx val="1"/>
          <c:order val="1"/>
          <c:tx>
            <c:strRef>
              <c:f>'Snap charts'!$A$194</c:f>
              <c:strCache>
                <c:ptCount val="1"/>
                <c:pt idx="0">
                  <c:v>Capex</c:v>
                </c:pt>
              </c:strCache>
            </c:strRef>
          </c:tx>
          <c:spPr>
            <a:solidFill>
              <a:srgbClr val="9999FF"/>
            </a:solidFill>
            <a:ln w="25400">
              <a:noFill/>
            </a:ln>
            <a:effectLst/>
          </c:spPr>
          <c:invertIfNegative val="0"/>
          <c:cat>
            <c:strRef>
              <c:f>'Snap charts'!$B$192:$H$192</c:f>
              <c:strCache>
                <c:ptCount val="7"/>
                <c:pt idx="0">
                  <c:v>2014</c:v>
                </c:pt>
                <c:pt idx="1">
                  <c:v>2015</c:v>
                </c:pt>
                <c:pt idx="2">
                  <c:v>2016</c:v>
                </c:pt>
                <c:pt idx="3">
                  <c:v>2017F</c:v>
                </c:pt>
                <c:pt idx="4">
                  <c:v>2018F</c:v>
                </c:pt>
                <c:pt idx="5">
                  <c:v>2019F</c:v>
                </c:pt>
                <c:pt idx="6">
                  <c:v>2020F</c:v>
                </c:pt>
              </c:strCache>
            </c:strRef>
          </c:cat>
          <c:val>
            <c:numRef>
              <c:f>'Snap charts'!$B$194:$H$194</c:f>
              <c:numCache>
                <c:formatCode>_-* #,##0_-;\-* #,##0_-;_-* "-"??_-;_-@_-</c:formatCode>
                <c:ptCount val="7"/>
                <c:pt idx="0">
                  <c:v>5749</c:v>
                </c:pt>
                <c:pt idx="1">
                  <c:v>4848</c:v>
                </c:pt>
                <c:pt idx="2">
                  <c:v>6474</c:v>
                </c:pt>
                <c:pt idx="3">
                  <c:v>7418.2965344641943</c:v>
                </c:pt>
                <c:pt idx="4">
                  <c:v>7463.8752634577595</c:v>
                </c:pt>
                <c:pt idx="5">
                  <c:v>6772.3737809018357</c:v>
                </c:pt>
                <c:pt idx="6">
                  <c:v>6346.8283259900463</c:v>
                </c:pt>
              </c:numCache>
            </c:numRef>
          </c:val>
          <c:extLst>
            <c:ext xmlns:c16="http://schemas.microsoft.com/office/drawing/2014/chart" uri="{C3380CC4-5D6E-409C-BE32-E72D297353CC}">
              <c16:uniqueId val="{00000001-90C3-4515-87B0-51E571A02E54}"/>
            </c:ext>
          </c:extLst>
        </c:ser>
        <c:dLbls>
          <c:showLegendKey val="0"/>
          <c:showVal val="0"/>
          <c:showCatName val="0"/>
          <c:showSerName val="0"/>
          <c:showPercent val="0"/>
          <c:showBubbleSize val="0"/>
        </c:dLbls>
        <c:gapWidth val="150"/>
        <c:overlap val="100"/>
        <c:axId val="924605376"/>
        <c:axId val="924604984"/>
      </c:barChart>
      <c:catAx>
        <c:axId val="92460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604984"/>
        <c:crosses val="autoZero"/>
        <c:auto val="1"/>
        <c:lblAlgn val="ctr"/>
        <c:lblOffset val="100"/>
        <c:noMultiLvlLbl val="0"/>
      </c:catAx>
      <c:valAx>
        <c:axId val="924604984"/>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6053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333399"/>
              </a:solidFill>
              <a:prstDash val="solid"/>
              <a:round/>
            </a:ln>
            <a:effectLst/>
          </c:spPr>
          <c:marker>
            <c:symbol val="none"/>
          </c:marker>
          <c:cat>
            <c:strRef>
              <c:f>'Snap charts'!$B$192:$H$192</c:f>
              <c:strCache>
                <c:ptCount val="7"/>
                <c:pt idx="0">
                  <c:v>2014</c:v>
                </c:pt>
                <c:pt idx="1">
                  <c:v>2015</c:v>
                </c:pt>
                <c:pt idx="2">
                  <c:v>2016</c:v>
                </c:pt>
                <c:pt idx="3">
                  <c:v>2017F</c:v>
                </c:pt>
                <c:pt idx="4">
                  <c:v>2018F</c:v>
                </c:pt>
                <c:pt idx="5">
                  <c:v>2019F</c:v>
                </c:pt>
                <c:pt idx="6">
                  <c:v>2020F</c:v>
                </c:pt>
              </c:strCache>
            </c:strRef>
          </c:cat>
          <c:val>
            <c:numRef>
              <c:f>'Snap charts'!$B$197:$H$197</c:f>
              <c:numCache>
                <c:formatCode>0.0%</c:formatCode>
                <c:ptCount val="7"/>
                <c:pt idx="0">
                  <c:v>0.59582267689684565</c:v>
                </c:pt>
                <c:pt idx="1">
                  <c:v>0.61787978142076505</c:v>
                </c:pt>
                <c:pt idx="2">
                  <c:v>0.69079748852028866</c:v>
                </c:pt>
                <c:pt idx="3">
                  <c:v>0.70813315620995299</c:v>
                </c:pt>
                <c:pt idx="4">
                  <c:v>0.75622250242065348</c:v>
                </c:pt>
                <c:pt idx="5">
                  <c:v>0.71100038891020589</c:v>
                </c:pt>
                <c:pt idx="6">
                  <c:v>0.71208608587217659</c:v>
                </c:pt>
              </c:numCache>
            </c:numRef>
          </c:val>
          <c:smooth val="0"/>
          <c:extLst>
            <c:ext xmlns:c16="http://schemas.microsoft.com/office/drawing/2014/chart" uri="{C3380CC4-5D6E-409C-BE32-E72D297353CC}">
              <c16:uniqueId val="{00000000-7E98-443D-9D0F-D170631DE776}"/>
            </c:ext>
          </c:extLst>
        </c:ser>
        <c:dLbls>
          <c:showLegendKey val="0"/>
          <c:showVal val="0"/>
          <c:showCatName val="0"/>
          <c:showSerName val="0"/>
          <c:showPercent val="0"/>
          <c:showBubbleSize val="0"/>
        </c:dLbls>
        <c:smooth val="0"/>
        <c:axId val="924593224"/>
        <c:axId val="924595576"/>
      </c:lineChart>
      <c:catAx>
        <c:axId val="9245932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95576"/>
        <c:crosses val="autoZero"/>
        <c:auto val="1"/>
        <c:lblAlgn val="ctr"/>
        <c:lblOffset val="100"/>
        <c:noMultiLvlLbl val="0"/>
      </c:catAx>
      <c:valAx>
        <c:axId val="924595576"/>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93224"/>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tx>
            <c:strRef>
              <c:f>'Debt schedule'!$A$14</c:f>
              <c:strCache>
                <c:ptCount val="1"/>
                <c:pt idx="0">
                  <c:v>IDR</c:v>
                </c:pt>
              </c:strCache>
            </c:strRef>
          </c:tx>
          <c:spPr>
            <a:solidFill>
              <a:srgbClr val="000080"/>
            </a:solidFill>
            <a:ln w="25400">
              <a:noFill/>
            </a:ln>
          </c:spPr>
          <c:invertIfNegative val="0"/>
          <c:cat>
            <c:numRef>
              <c:f>'Debt schedule'!$C$12:$H$12</c:f>
              <c:numCache>
                <c:formatCode>General</c:formatCode>
                <c:ptCount val="6"/>
                <c:pt idx="0">
                  <c:v>2017</c:v>
                </c:pt>
                <c:pt idx="1">
                  <c:v>2018</c:v>
                </c:pt>
                <c:pt idx="2">
                  <c:v>2019</c:v>
                </c:pt>
                <c:pt idx="3">
                  <c:v>2020</c:v>
                </c:pt>
                <c:pt idx="4">
                  <c:v>2021</c:v>
                </c:pt>
                <c:pt idx="5">
                  <c:v>2022</c:v>
                </c:pt>
              </c:numCache>
            </c:numRef>
          </c:cat>
          <c:val>
            <c:numRef>
              <c:f>'Debt schedule'!$C$14:$H$14</c:f>
              <c:numCache>
                <c:formatCode>_-* #,##0_-;\-* #,##0_-;_-* "-"??_-;_-@_-</c:formatCode>
                <c:ptCount val="6"/>
                <c:pt idx="0">
                  <c:v>3050</c:v>
                </c:pt>
                <c:pt idx="1">
                  <c:v>2133</c:v>
                </c:pt>
                <c:pt idx="3">
                  <c:v>4323</c:v>
                </c:pt>
                <c:pt idx="5">
                  <c:v>425</c:v>
                </c:pt>
              </c:numCache>
            </c:numRef>
          </c:val>
          <c:extLst>
            <c:ext xmlns:c16="http://schemas.microsoft.com/office/drawing/2014/chart" uri="{C3380CC4-5D6E-409C-BE32-E72D297353CC}">
              <c16:uniqueId val="{00000001-971C-4F33-984F-E775E32EB061}"/>
            </c:ext>
          </c:extLst>
        </c:ser>
        <c:ser>
          <c:idx val="0"/>
          <c:order val="1"/>
          <c:tx>
            <c:strRef>
              <c:f>'Debt schedule'!$A$13</c:f>
              <c:strCache>
                <c:ptCount val="1"/>
                <c:pt idx="0">
                  <c:v>USD in IDR</c:v>
                </c:pt>
              </c:strCache>
            </c:strRef>
          </c:tx>
          <c:spPr>
            <a:solidFill>
              <a:srgbClr val="9999FF"/>
            </a:solidFill>
            <a:ln w="25400">
              <a:noFill/>
            </a:ln>
          </c:spPr>
          <c:invertIfNegative val="0"/>
          <c:cat>
            <c:numRef>
              <c:f>'Debt schedule'!$C$12:$H$12</c:f>
              <c:numCache>
                <c:formatCode>General</c:formatCode>
                <c:ptCount val="6"/>
                <c:pt idx="0">
                  <c:v>2017</c:v>
                </c:pt>
                <c:pt idx="1">
                  <c:v>2018</c:v>
                </c:pt>
                <c:pt idx="2">
                  <c:v>2019</c:v>
                </c:pt>
                <c:pt idx="3">
                  <c:v>2020</c:v>
                </c:pt>
                <c:pt idx="4">
                  <c:v>2021</c:v>
                </c:pt>
                <c:pt idx="5">
                  <c:v>2022</c:v>
                </c:pt>
              </c:numCache>
            </c:numRef>
          </c:cat>
          <c:val>
            <c:numRef>
              <c:f>'Debt schedule'!$C$13:$H$13</c:f>
              <c:numCache>
                <c:formatCode>_-* #,##0_-;\-* #,##0_-;_-* "-"??_-;_-@_-</c:formatCode>
                <c:ptCount val="6"/>
                <c:pt idx="1">
                  <c:v>667.5</c:v>
                </c:pt>
                <c:pt idx="2">
                  <c:v>4005</c:v>
                </c:pt>
              </c:numCache>
            </c:numRef>
          </c:val>
          <c:extLst>
            <c:ext xmlns:c16="http://schemas.microsoft.com/office/drawing/2014/chart" uri="{C3380CC4-5D6E-409C-BE32-E72D297353CC}">
              <c16:uniqueId val="{00000000-971C-4F33-984F-E775E32EB061}"/>
            </c:ext>
          </c:extLst>
        </c:ser>
        <c:dLbls>
          <c:showLegendKey val="0"/>
          <c:showVal val="0"/>
          <c:showCatName val="0"/>
          <c:showSerName val="0"/>
          <c:showPercent val="0"/>
          <c:showBubbleSize val="0"/>
        </c:dLbls>
        <c:gapWidth val="150"/>
        <c:overlap val="100"/>
        <c:axId val="924611648"/>
        <c:axId val="924609688"/>
      </c:barChart>
      <c:catAx>
        <c:axId val="924611648"/>
        <c:scaling>
          <c:orientation val="minMax"/>
        </c:scaling>
        <c:delete val="0"/>
        <c:axPos val="b"/>
        <c:numFmt formatCode="General" sourceLinked="1"/>
        <c:majorTickMark val="out"/>
        <c:minorTickMark val="none"/>
        <c:tickLblPos val="nextTo"/>
        <c:txPr>
          <a:bodyPr rot="0" vert="horz"/>
          <a:lstStyle/>
          <a:p>
            <a:pPr>
              <a:defRPr/>
            </a:pPr>
            <a:endParaRPr lang="en-US"/>
          </a:p>
        </c:txPr>
        <c:crossAx val="924609688"/>
        <c:crosses val="autoZero"/>
        <c:auto val="1"/>
        <c:lblAlgn val="ctr"/>
        <c:lblOffset val="100"/>
        <c:noMultiLvlLbl val="0"/>
      </c:catAx>
      <c:valAx>
        <c:axId val="924609688"/>
        <c:scaling>
          <c:orientation val="minMax"/>
        </c:scaling>
        <c:delete val="0"/>
        <c:axPos val="l"/>
        <c:majorGridlines>
          <c:spPr>
            <a:ln w="3175">
              <a:solidFill>
                <a:srgbClr val="C0C0C0"/>
              </a:solidFill>
              <a:prstDash val="solid"/>
            </a:ln>
          </c:spPr>
        </c:majorGridlines>
        <c:title>
          <c:tx>
            <c:rich>
              <a:bodyPr rot="0" vert="horz"/>
              <a:lstStyle/>
              <a:p>
                <a:pPr algn="ctr">
                  <a:defRPr/>
                </a:pPr>
                <a:r>
                  <a:rPr lang="en-GB"/>
                  <a:t>IDR Trn</a:t>
                </a:r>
              </a:p>
            </c:rich>
          </c:tx>
          <c:overlay val="0"/>
        </c:title>
        <c:numFmt formatCode="_-* #,##0_-;\-* #,##0_-;_-* &quot;-&quot;??_-;_-@_-" sourceLinked="1"/>
        <c:majorTickMark val="out"/>
        <c:minorTickMark val="none"/>
        <c:tickLblPos val="nextTo"/>
        <c:txPr>
          <a:bodyPr rot="0" vert="horz"/>
          <a:lstStyle/>
          <a:p>
            <a:pPr>
              <a:defRPr/>
            </a:pPr>
            <a:endParaRPr lang="en-US"/>
          </a:p>
        </c:txPr>
        <c:crossAx val="924611648"/>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'Income Statement'!$AR$503</c:f>
              <c:strCache>
                <c:ptCount val="1"/>
                <c:pt idx="0">
                  <c:v>Old</c:v>
                </c:pt>
              </c:strCache>
            </c:strRef>
          </c:tx>
          <c:spPr>
            <a:solidFill>
              <a:schemeClr val="accent1"/>
            </a:solidFill>
            <a:ln>
              <a:noFill/>
            </a:ln>
            <a:effectLst/>
          </c:spPr>
          <c:invertIfNegative val="0"/>
          <c:cat>
            <c:strRef>
              <c:f>'Income Statement'!$AQ$504:$AQ$506</c:f>
              <c:strCache>
                <c:ptCount val="3"/>
                <c:pt idx="0">
                  <c:v>PT Telkom</c:v>
                </c:pt>
                <c:pt idx="1">
                  <c:v>Indosat</c:v>
                </c:pt>
                <c:pt idx="2">
                  <c:v>XL Axiata</c:v>
                </c:pt>
              </c:strCache>
            </c:strRef>
          </c:cat>
          <c:val>
            <c:numRef>
              <c:f>'Income Statement'!$AR$504:$AR$506</c:f>
            </c:numRef>
          </c:val>
          <c:extLst>
            <c:ext xmlns:c16="http://schemas.microsoft.com/office/drawing/2014/chart" uri="{C3380CC4-5D6E-409C-BE32-E72D297353CC}">
              <c16:uniqueId val="{00000000-2D2E-45CC-B201-D1A81D59E923}"/>
            </c:ext>
          </c:extLst>
        </c:ser>
        <c:ser>
          <c:idx val="1"/>
          <c:order val="1"/>
          <c:tx>
            <c:strRef>
              <c:f>'Income Statement'!$AS$503</c:f>
              <c:strCache>
                <c:ptCount val="1"/>
                <c:pt idx="0">
                  <c:v>New</c:v>
                </c:pt>
              </c:strCache>
            </c:strRef>
          </c:tx>
          <c:spPr>
            <a:solidFill>
              <a:schemeClr val="accent2"/>
            </a:solidFill>
            <a:ln>
              <a:noFill/>
            </a:ln>
            <a:effectLst/>
          </c:spPr>
          <c:invertIfNegative val="0"/>
          <c:cat>
            <c:strRef>
              <c:f>'Income Statement'!$AQ$504:$AQ$506</c:f>
              <c:strCache>
                <c:ptCount val="3"/>
                <c:pt idx="0">
                  <c:v>PT Telkom</c:v>
                </c:pt>
                <c:pt idx="1">
                  <c:v>Indosat</c:v>
                </c:pt>
                <c:pt idx="2">
                  <c:v>XL Axiata</c:v>
                </c:pt>
              </c:strCache>
            </c:strRef>
          </c:cat>
          <c:val>
            <c:numRef>
              <c:f>'Income Statement'!$AS$504:$AS$506</c:f>
            </c:numRef>
          </c:val>
          <c:extLst>
            <c:ext xmlns:c16="http://schemas.microsoft.com/office/drawing/2014/chart" uri="{C3380CC4-5D6E-409C-BE32-E72D297353CC}">
              <c16:uniqueId val="{00000001-2D2E-45CC-B201-D1A81D59E923}"/>
            </c:ext>
          </c:extLst>
        </c:ser>
        <c:dLbls>
          <c:showLegendKey val="0"/>
          <c:showVal val="0"/>
          <c:showCatName val="0"/>
          <c:showSerName val="0"/>
          <c:showPercent val="0"/>
          <c:showBubbleSize val="0"/>
        </c:dLbls>
        <c:gapWidth val="219"/>
        <c:overlap val="-27"/>
        <c:axId val="924586952"/>
        <c:axId val="924587736"/>
      </c:barChart>
      <c:catAx>
        <c:axId val="924586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87736"/>
        <c:crosses val="autoZero"/>
        <c:auto val="1"/>
        <c:lblAlgn val="ctr"/>
        <c:lblOffset val="100"/>
        <c:noMultiLvlLbl val="0"/>
      </c:catAx>
      <c:valAx>
        <c:axId val="924587736"/>
        <c:scaling>
          <c:orientation val="minMax"/>
          <c:max val="50000"/>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8695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'Income Statement'!$DE$390</c:f>
              <c:strCache>
                <c:ptCount val="1"/>
                <c:pt idx="0">
                  <c:v>Network opex</c:v>
                </c:pt>
              </c:strCache>
            </c:strRef>
          </c:tx>
          <c:spPr>
            <a:solidFill>
              <a:srgbClr val="000080"/>
            </a:solidFill>
            <a:ln w="25400">
              <a:noFill/>
            </a:ln>
            <a:effectLst/>
          </c:spPr>
          <c:invertIfNegative val="0"/>
          <c:cat>
            <c:numRef>
              <c:f>'Income Statement'!$DF$393:$DK$393</c:f>
              <c:numCache>
                <c:formatCode>General</c:formatCode>
                <c:ptCount val="6"/>
                <c:pt idx="0">
                  <c:v>2011</c:v>
                </c:pt>
                <c:pt idx="1">
                  <c:v>2012</c:v>
                </c:pt>
                <c:pt idx="2">
                  <c:v>2013</c:v>
                </c:pt>
                <c:pt idx="3">
                  <c:v>2014</c:v>
                </c:pt>
                <c:pt idx="4">
                  <c:v>2015</c:v>
                </c:pt>
                <c:pt idx="5">
                  <c:v>2016</c:v>
                </c:pt>
              </c:numCache>
            </c:numRef>
          </c:cat>
          <c:val>
            <c:numRef>
              <c:f>'Income Statement'!$DF$390:$DK$390</c:f>
              <c:numCache>
                <c:formatCode>0.0%</c:formatCode>
                <c:ptCount val="6"/>
                <c:pt idx="0">
                  <c:v>0.21169641879312234</c:v>
                </c:pt>
                <c:pt idx="1">
                  <c:v>0.24827125757069959</c:v>
                </c:pt>
                <c:pt idx="2">
                  <c:v>0.28341013824884792</c:v>
                </c:pt>
                <c:pt idx="3">
                  <c:v>0.35076726342710995</c:v>
                </c:pt>
                <c:pt idx="4">
                  <c:v>0.40594535519125685</c:v>
                </c:pt>
                <c:pt idx="5">
                  <c:v>0.38745197263611658</c:v>
                </c:pt>
              </c:numCache>
            </c:numRef>
          </c:val>
          <c:extLst>
            <c:ext xmlns:c16="http://schemas.microsoft.com/office/drawing/2014/chart" uri="{C3380CC4-5D6E-409C-BE32-E72D297353CC}">
              <c16:uniqueId val="{00000001-8960-40B3-AA02-3D7968583D46}"/>
            </c:ext>
          </c:extLst>
        </c:ser>
        <c:ser>
          <c:idx val="0"/>
          <c:order val="1"/>
          <c:tx>
            <c:strRef>
              <c:f>'Income Statement'!$DE$394</c:f>
              <c:strCache>
                <c:ptCount val="1"/>
                <c:pt idx="0">
                  <c:v>Direct costs</c:v>
                </c:pt>
              </c:strCache>
            </c:strRef>
          </c:tx>
          <c:spPr>
            <a:solidFill>
              <a:srgbClr val="9999FF"/>
            </a:solidFill>
            <a:ln w="25400">
              <a:noFill/>
            </a:ln>
            <a:effectLst/>
          </c:spPr>
          <c:invertIfNegative val="0"/>
          <c:cat>
            <c:numRef>
              <c:f>'Income Statement'!$DF$393:$DK$393</c:f>
              <c:numCache>
                <c:formatCode>General</c:formatCode>
                <c:ptCount val="6"/>
                <c:pt idx="0">
                  <c:v>2011</c:v>
                </c:pt>
                <c:pt idx="1">
                  <c:v>2012</c:v>
                </c:pt>
                <c:pt idx="2">
                  <c:v>2013</c:v>
                </c:pt>
                <c:pt idx="3">
                  <c:v>2014</c:v>
                </c:pt>
                <c:pt idx="4">
                  <c:v>2015</c:v>
                </c:pt>
                <c:pt idx="5">
                  <c:v>2016</c:v>
                </c:pt>
              </c:numCache>
            </c:numRef>
          </c:cat>
          <c:val>
            <c:numRef>
              <c:f>'Income Statement'!$DF$394:$DK$394</c:f>
              <c:numCache>
                <c:formatCode>0.0%</c:formatCode>
                <c:ptCount val="6"/>
                <c:pt idx="0">
                  <c:v>0.11011937356258898</c:v>
                </c:pt>
                <c:pt idx="1">
                  <c:v>0.14769421527016072</c:v>
                </c:pt>
                <c:pt idx="2">
                  <c:v>0.17520925420859587</c:v>
                </c:pt>
                <c:pt idx="3">
                  <c:v>0.14305200341005966</c:v>
                </c:pt>
                <c:pt idx="4">
                  <c:v>0.10146448087431693</c:v>
                </c:pt>
                <c:pt idx="5">
                  <c:v>9.0291444100834034E-2</c:v>
                </c:pt>
              </c:numCache>
            </c:numRef>
          </c:val>
          <c:extLst>
            <c:ext xmlns:c16="http://schemas.microsoft.com/office/drawing/2014/chart" uri="{C3380CC4-5D6E-409C-BE32-E72D297353CC}">
              <c16:uniqueId val="{00000000-8960-40B3-AA02-3D7968583D46}"/>
            </c:ext>
          </c:extLst>
        </c:ser>
        <c:dLbls>
          <c:showLegendKey val="0"/>
          <c:showVal val="0"/>
          <c:showCatName val="0"/>
          <c:showSerName val="0"/>
          <c:showPercent val="0"/>
          <c:showBubbleSize val="0"/>
        </c:dLbls>
        <c:gapWidth val="219"/>
        <c:overlap val="-27"/>
        <c:axId val="924583032"/>
        <c:axId val="924588520"/>
      </c:barChart>
      <c:catAx>
        <c:axId val="924583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88520"/>
        <c:crosses val="autoZero"/>
        <c:auto val="1"/>
        <c:lblAlgn val="ctr"/>
        <c:lblOffset val="100"/>
        <c:noMultiLvlLbl val="0"/>
      </c:catAx>
      <c:valAx>
        <c:axId val="92458852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2458303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714493318064766"/>
          <c:y val="7.2319201995012475E-2"/>
          <c:w val="0.41666908871075564"/>
          <c:h val="0.85785536159600995"/>
        </c:manualLayout>
      </c:layout>
      <c:lineChart>
        <c:grouping val="standard"/>
        <c:varyColors val="0"/>
        <c:ser>
          <c:idx val="0"/>
          <c:order val="0"/>
          <c:spPr>
            <a:ln w="25400">
              <a:solidFill>
                <a:srgbClr val="000080"/>
              </a:solidFill>
              <a:prstDash val="solid"/>
            </a:ln>
          </c:spPr>
          <c:marker>
            <c:symbol val="none"/>
          </c:marker>
          <c:val>
            <c:numRef>
              <c:f>[19]MASTER!$AF$594:$AM$594</c:f>
              <c:numCache>
                <c:formatCode>General</c:formatCode>
                <c:ptCount val="8"/>
                <c:pt idx="0">
                  <c:v>0</c:v>
                </c:pt>
                <c:pt idx="1">
                  <c:v>0</c:v>
                </c:pt>
                <c:pt idx="2">
                  <c:v>0</c:v>
                </c:pt>
                <c:pt idx="3">
                  <c:v>0</c:v>
                </c:pt>
                <c:pt idx="4">
                  <c:v>0</c:v>
                </c:pt>
                <c:pt idx="5">
                  <c:v>0</c:v>
                </c:pt>
                <c:pt idx="6">
                  <c:v>0</c:v>
                </c:pt>
                <c:pt idx="7">
                  <c:v>0</c:v>
                </c:pt>
              </c:numCache>
            </c:numRef>
          </c:val>
          <c:smooth val="0"/>
          <c:extLst>
            <c:ext xmlns:c15="http://schemas.microsoft.com/office/drawing/2012/chart" uri="{02D57815-91ED-43cb-92C2-25804820EDAC}">
              <c15:filteredCategoryTitle>
                <c15:cat>
                  <c:numRef>
                    <c:extLst xmlns:c16="http://schemas.microsoft.com/office/drawing/2014/chart">
                      <c:ext uri="{02D57815-91ED-43cb-92C2-25804820EDAC}">
                        <c15:formulaRef>
                          <c15:sqref>[19]MASTER!$AF$593:$AM$593</c15:sqref>
                        </c15:formulaRef>
                      </c:ext>
                    </c:extLst>
                    <c:numCache>
                      <c:formatCode>General</c:formatCode>
                      <c:ptCount val="8"/>
                      <c:pt idx="0">
                        <c:v>0</c:v>
                      </c:pt>
                      <c:pt idx="1">
                        <c:v>0</c:v>
                      </c:pt>
                      <c:pt idx="2">
                        <c:v>0</c:v>
                      </c:pt>
                      <c:pt idx="3">
                        <c:v>39783</c:v>
                      </c:pt>
                      <c:pt idx="4">
                        <c:v>40148</c:v>
                      </c:pt>
                      <c:pt idx="5">
                        <c:v>40513</c:v>
                      </c:pt>
                      <c:pt idx="6">
                        <c:v>40878</c:v>
                      </c:pt>
                      <c:pt idx="7">
                        <c:v>41244</c:v>
                      </c:pt>
                    </c:numCache>
                  </c:numRef>
                </c15:cat>
              </c15:filteredCategoryTitle>
            </c:ext>
            <c:ext xmlns:c16="http://schemas.microsoft.com/office/drawing/2014/chart" uri="{C3380CC4-5D6E-409C-BE32-E72D297353CC}">
              <c16:uniqueId val="{00000000-4624-47B3-A24D-9A5AAB445B7D}"/>
            </c:ext>
          </c:extLst>
        </c:ser>
        <c:dLbls>
          <c:showLegendKey val="0"/>
          <c:showVal val="0"/>
          <c:showCatName val="0"/>
          <c:showSerName val="0"/>
          <c:showPercent val="0"/>
          <c:showBubbleSize val="0"/>
        </c:dLbls>
        <c:smooth val="0"/>
        <c:axId val="924589304"/>
        <c:axId val="924593616"/>
      </c:lineChart>
      <c:catAx>
        <c:axId val="924589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3060000" vert="horz"/>
          <a:lstStyle/>
          <a:p>
            <a:pPr>
              <a:defRPr sz="800" b="0" i="0" u="none" strike="noStrike" baseline="0">
                <a:solidFill>
                  <a:srgbClr val="000000"/>
                </a:solidFill>
                <a:latin typeface="Trebuchet MS"/>
                <a:ea typeface="Trebuchet MS"/>
                <a:cs typeface="Trebuchet MS"/>
              </a:defRPr>
            </a:pPr>
            <a:endParaRPr lang="en-US"/>
          </a:p>
        </c:txPr>
        <c:crossAx val="924593616"/>
        <c:crosses val="autoZero"/>
        <c:auto val="1"/>
        <c:lblAlgn val="ctr"/>
        <c:lblOffset val="100"/>
        <c:tickLblSkip val="3"/>
        <c:tickMarkSkip val="1"/>
        <c:noMultiLvlLbl val="0"/>
      </c:catAx>
      <c:valAx>
        <c:axId val="924593616"/>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2458930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'Merger workings'!$B$237</c:f>
              <c:strCache>
                <c:ptCount val="1"/>
                <c:pt idx="0">
                  <c:v>Telkomsel</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workings'!$C$236,'Merger workings'!$E$236)</c:f>
              <c:strCache>
                <c:ptCount val="2"/>
                <c:pt idx="0">
                  <c:v>Subscriber share</c:v>
                </c:pt>
                <c:pt idx="1">
                  <c:v>Mobile revenue share</c:v>
                </c:pt>
              </c:strCache>
            </c:strRef>
          </c:cat>
          <c:val>
            <c:numRef>
              <c:f>('Merger workings'!$C$237,'Merger workings'!$E$237)</c:f>
              <c:numCache>
                <c:formatCode>0.0%</c:formatCode>
                <c:ptCount val="2"/>
                <c:pt idx="0">
                  <c:v>0.44591530100427856</c:v>
                </c:pt>
                <c:pt idx="1">
                  <c:v>0.50767604020069379</c:v>
                </c:pt>
              </c:numCache>
            </c:numRef>
          </c:val>
          <c:extLst>
            <c:ext xmlns:c16="http://schemas.microsoft.com/office/drawing/2014/chart" uri="{C3380CC4-5D6E-409C-BE32-E72D297353CC}">
              <c16:uniqueId val="{00000000-3847-4986-8373-DD0E19E8F0E7}"/>
            </c:ext>
          </c:extLst>
        </c:ser>
        <c:ser>
          <c:idx val="1"/>
          <c:order val="1"/>
          <c:tx>
            <c:strRef>
              <c:f>'Merger workings'!$B$238</c:f>
              <c:strCache>
                <c:ptCount val="1"/>
                <c:pt idx="0">
                  <c:v>Indosat</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workings'!$C$236,'Merger workings'!$E$236)</c:f>
              <c:strCache>
                <c:ptCount val="2"/>
                <c:pt idx="0">
                  <c:v>Subscriber share</c:v>
                </c:pt>
                <c:pt idx="1">
                  <c:v>Mobile revenue share</c:v>
                </c:pt>
              </c:strCache>
            </c:strRef>
          </c:cat>
          <c:val>
            <c:numRef>
              <c:f>('Merger workings'!$C$238,'Merger workings'!$E$238)</c:f>
              <c:numCache>
                <c:formatCode>0.0%</c:formatCode>
                <c:ptCount val="2"/>
                <c:pt idx="0">
                  <c:v>0.30385289944926663</c:v>
                </c:pt>
                <c:pt idx="1">
                  <c:v>0.24915672124630206</c:v>
                </c:pt>
              </c:numCache>
            </c:numRef>
          </c:val>
          <c:extLst>
            <c:ext xmlns:c16="http://schemas.microsoft.com/office/drawing/2014/chart" uri="{C3380CC4-5D6E-409C-BE32-E72D297353CC}">
              <c16:uniqueId val="{00000002-3847-4986-8373-DD0E19E8F0E7}"/>
            </c:ext>
          </c:extLst>
        </c:ser>
        <c:ser>
          <c:idx val="2"/>
          <c:order val="2"/>
          <c:tx>
            <c:strRef>
              <c:f>'Merger workings'!$B$239</c:f>
              <c:strCache>
                <c:ptCount val="1"/>
                <c:pt idx="0">
                  <c:v>XL+Smartfren</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workings'!$C$236,'Merger workings'!$E$236)</c:f>
              <c:strCache>
                <c:ptCount val="2"/>
                <c:pt idx="0">
                  <c:v>Subscriber share</c:v>
                </c:pt>
                <c:pt idx="1">
                  <c:v>Mobile revenue share</c:v>
                </c:pt>
              </c:strCache>
            </c:strRef>
          </c:cat>
          <c:val>
            <c:numRef>
              <c:f>('Merger workings'!$C$239,'Merger workings'!$E$239)</c:f>
              <c:numCache>
                <c:formatCode>0.0%</c:formatCode>
                <c:ptCount val="2"/>
                <c:pt idx="0">
                  <c:v>0.25023179954645486</c:v>
                </c:pt>
                <c:pt idx="1">
                  <c:v>0.24316723855300412</c:v>
                </c:pt>
              </c:numCache>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ROIC</c:v>
          </c:tx>
          <c:spPr>
            <a:solidFill>
              <a:srgbClr val="263238"/>
            </a:solidFill>
            <a:ln>
              <a:noFill/>
            </a:ln>
            <a:effectLst/>
          </c:spPr>
          <c:invertIfNegative val="0"/>
          <c:dPt>
            <c:idx val="0"/>
            <c:invertIfNegative val="0"/>
            <c:bubble3D val="0"/>
            <c:spPr>
              <a:solidFill>
                <a:srgbClr val="F19375"/>
              </a:solidFill>
              <a:ln>
                <a:noFill/>
              </a:ln>
              <a:effectLst/>
            </c:spPr>
            <c:extLst>
              <c:ext xmlns:c16="http://schemas.microsoft.com/office/drawing/2014/chart" uri="{C3380CC4-5D6E-409C-BE32-E72D297353CC}">
                <c16:uniqueId val="{0000000D-49F5-439F-8C90-FC1D4DBC157F}"/>
              </c:ext>
            </c:extLst>
          </c:dPt>
          <c:dPt>
            <c:idx val="1"/>
            <c:invertIfNegative val="0"/>
            <c:bubble3D val="0"/>
            <c:spPr>
              <a:solidFill>
                <a:srgbClr val="F9663E"/>
              </a:solidFill>
              <a:ln>
                <a:noFill/>
              </a:ln>
              <a:effectLst/>
            </c:spPr>
            <c:extLst>
              <c:ext xmlns:c16="http://schemas.microsoft.com/office/drawing/2014/chart" uri="{C3380CC4-5D6E-409C-BE32-E72D297353CC}">
                <c16:uniqueId val="{0000000C-49F5-439F-8C90-FC1D4DBC157F}"/>
              </c:ext>
            </c:extLst>
          </c:dPt>
          <c:dPt>
            <c:idx val="2"/>
            <c:invertIfNegative val="0"/>
            <c:bubble3D val="0"/>
            <c:spPr>
              <a:solidFill>
                <a:srgbClr val="799098"/>
              </a:solidFill>
              <a:ln>
                <a:noFill/>
              </a:ln>
              <a:effectLst/>
            </c:spPr>
            <c:extLst>
              <c:ext xmlns:c16="http://schemas.microsoft.com/office/drawing/2014/chart" uri="{C3380CC4-5D6E-409C-BE32-E72D297353CC}">
                <c16:uniqueId val="{0000000B-49F5-439F-8C90-FC1D4DBC157F}"/>
              </c:ext>
            </c:extLst>
          </c:dPt>
          <c:dPt>
            <c:idx val="3"/>
            <c:invertIfNegative val="0"/>
            <c:bubble3D val="0"/>
            <c:spPr>
              <a:solidFill>
                <a:srgbClr val="799098"/>
              </a:solidFill>
              <a:ln>
                <a:noFill/>
              </a:ln>
              <a:effectLst/>
            </c:spPr>
            <c:extLst>
              <c:ext xmlns:c16="http://schemas.microsoft.com/office/drawing/2014/chart" uri="{C3380CC4-5D6E-409C-BE32-E72D297353CC}">
                <c16:uniqueId val="{0000000E-49F5-439F-8C90-FC1D4DBC157F}"/>
              </c:ext>
            </c:extLst>
          </c:dPt>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workings'!$J$245:$J$249</c:f>
              <c:strCache>
                <c:ptCount val="5"/>
                <c:pt idx="0">
                  <c:v>Smartfren</c:v>
                </c:pt>
                <c:pt idx="1">
                  <c:v>XL</c:v>
                </c:pt>
                <c:pt idx="2">
                  <c:v>Indosat (Pre-merger)</c:v>
                </c:pt>
                <c:pt idx="3">
                  <c:v>Indosat</c:v>
                </c:pt>
                <c:pt idx="4">
                  <c:v>Telkomsel</c:v>
                </c:pt>
              </c:strCache>
            </c:strRef>
          </c:cat>
          <c:val>
            <c:numRef>
              <c:f>'Merger workings'!$K$245:$K$249</c:f>
              <c:numCache>
                <c:formatCode>0.0%</c:formatCode>
                <c:ptCount val="5"/>
                <c:pt idx="0">
                  <c:v>9.9151744174341278E-3</c:v>
                </c:pt>
                <c:pt idx="1">
                  <c:v>4.5724320466889241E-2</c:v>
                </c:pt>
                <c:pt idx="2">
                  <c:v>6.1233704446828054E-2</c:v>
                </c:pt>
                <c:pt idx="3">
                  <c:v>8.6856694217337618E-2</c:v>
                </c:pt>
                <c:pt idx="4">
                  <c:v>0.26829196461177801</c:v>
                </c:pt>
              </c:numCache>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SG" b="1"/>
                  <a:t>ROIC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'Merger workings'!$C$272</c:f>
              <c:strCache>
                <c:ptCount val="1"/>
                <c:pt idx="0">
                  <c:v>Telkomsel</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workings'!$B$273:$B$275</c:f>
              <c:strCache>
                <c:ptCount val="3"/>
                <c:pt idx="0">
                  <c:v>Mitratel</c:v>
                </c:pt>
                <c:pt idx="1">
                  <c:v>Protelindo</c:v>
                </c:pt>
                <c:pt idx="2">
                  <c:v>Tower Bersama</c:v>
                </c:pt>
              </c:strCache>
            </c:strRef>
          </c:cat>
          <c:val>
            <c:numRef>
              <c:f>'Merger workings'!$C$273:$C$275</c:f>
              <c:numCache>
                <c:formatCode>0.0%</c:formatCode>
                <c:ptCount val="3"/>
                <c:pt idx="0">
                  <c:v>0.56326477422267418</c:v>
                </c:pt>
                <c:pt idx="1">
                  <c:v>0.12464386693917431</c:v>
                </c:pt>
                <c:pt idx="2">
                  <c:v>0.35980575699235534</c:v>
                </c:pt>
              </c:numCache>
            </c:numRef>
          </c:val>
          <c:extLst>
            <c:ext xmlns:c16="http://schemas.microsoft.com/office/drawing/2014/chart" uri="{C3380CC4-5D6E-409C-BE32-E72D297353CC}">
              <c16:uniqueId val="{00000000-8A60-4B03-8EEC-7248899A870A}"/>
            </c:ext>
          </c:extLst>
        </c:ser>
        <c:ser>
          <c:idx val="1"/>
          <c:order val="1"/>
          <c:tx>
            <c:strRef>
              <c:f>'Merger workings'!$D$272</c:f>
              <c:strCache>
                <c:ptCount val="1"/>
                <c:pt idx="0">
                  <c:v>Indosat</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workings'!$B$273:$B$275</c:f>
              <c:strCache>
                <c:ptCount val="3"/>
                <c:pt idx="0">
                  <c:v>Mitratel</c:v>
                </c:pt>
                <c:pt idx="1">
                  <c:v>Protelindo</c:v>
                </c:pt>
                <c:pt idx="2">
                  <c:v>Tower Bersama</c:v>
                </c:pt>
              </c:strCache>
            </c:strRef>
          </c:cat>
          <c:val>
            <c:numRef>
              <c:f>'Merger workings'!$D$273:$D$275</c:f>
              <c:numCache>
                <c:formatCode>0.0%</c:formatCode>
                <c:ptCount val="3"/>
                <c:pt idx="0">
                  <c:v>0.19754332115892315</c:v>
                </c:pt>
                <c:pt idx="1">
                  <c:v>0.38130932268174411</c:v>
                </c:pt>
                <c:pt idx="2">
                  <c:v>0.30376390958121791</c:v>
                </c:pt>
              </c:numCache>
            </c:numRef>
          </c:val>
          <c:extLst>
            <c:ext xmlns:c16="http://schemas.microsoft.com/office/drawing/2014/chart" uri="{C3380CC4-5D6E-409C-BE32-E72D297353CC}">
              <c16:uniqueId val="{00000001-8A60-4B03-8EEC-7248899A870A}"/>
            </c:ext>
          </c:extLst>
        </c:ser>
        <c:ser>
          <c:idx val="2"/>
          <c:order val="2"/>
          <c:tx>
            <c:strRef>
              <c:f>'Merger workings'!$E$272</c:f>
              <c:strCache>
                <c:ptCount val="1"/>
                <c:pt idx="0">
                  <c:v>XL Axiata</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workings'!$B$273:$B$275</c:f>
              <c:strCache>
                <c:ptCount val="3"/>
                <c:pt idx="0">
                  <c:v>Mitratel</c:v>
                </c:pt>
                <c:pt idx="1">
                  <c:v>Protelindo</c:v>
                </c:pt>
                <c:pt idx="2">
                  <c:v>Tower Bersama</c:v>
                </c:pt>
              </c:strCache>
            </c:strRef>
          </c:cat>
          <c:val>
            <c:numRef>
              <c:f>'Merger workings'!$E$273:$E$275</c:f>
              <c:numCache>
                <c:formatCode>0.0%</c:formatCode>
                <c:ptCount val="3"/>
                <c:pt idx="0">
                  <c:v>0.1025499940078166</c:v>
                </c:pt>
                <c:pt idx="1">
                  <c:v>0.30833080288526449</c:v>
                </c:pt>
                <c:pt idx="2">
                  <c:v>0.18408209772254003</c:v>
                </c:pt>
              </c:numCache>
            </c:numRef>
          </c:val>
          <c:extLst>
            <c:ext xmlns:c16="http://schemas.microsoft.com/office/drawing/2014/chart" uri="{C3380CC4-5D6E-409C-BE32-E72D297353CC}">
              <c16:uniqueId val="{00000002-8A60-4B03-8EEC-7248899A870A}"/>
            </c:ext>
          </c:extLst>
        </c:ser>
        <c:ser>
          <c:idx val="3"/>
          <c:order val="3"/>
          <c:tx>
            <c:strRef>
              <c:f>'Merger workings'!$F$272</c:f>
              <c:strCache>
                <c:ptCount val="1"/>
                <c:pt idx="0">
                  <c:v>Smartfren</c:v>
                </c:pt>
              </c:strCache>
            </c:strRef>
          </c:tx>
          <c:spPr>
            <a:solidFill>
              <a:schemeClr val="accent4"/>
            </a:solidFill>
            <a:ln>
              <a:noFill/>
            </a:ln>
            <a:effectLst/>
          </c:spPr>
          <c:invertIfNegative val="0"/>
          <c:dLbls>
            <c:dLbl>
              <c:idx val="0"/>
              <c:tx>
                <c:rich>
                  <a:bodyPr/>
                  <a:lstStyle/>
                  <a:p>
                    <a:r>
                      <a:rPr lang="en-US"/>
                      <a:t>&lt; </a:t>
                    </a:r>
                    <a:fld id="{F80E0527-ECF5-42F9-88E8-BC86BA5C3DC7}" type="VALUE">
                      <a:rPr lang="en-US"/>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13AF-4485-893F-B43C98EF800D}"/>
                </c:ext>
              </c:extLst>
            </c:dLbl>
            <c:dLbl>
              <c:idx val="1"/>
              <c:tx>
                <c:rich>
                  <a:bodyPr/>
                  <a:lstStyle/>
                  <a:p>
                    <a:r>
                      <a:rPr lang="en-US"/>
                      <a:t>&lt; </a:t>
                    </a:r>
                    <a:fld id="{976E6C7A-062A-40C8-8317-D7D6F3305EF7}" type="VALUE">
                      <a:rPr lang="en-US"/>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13AF-4485-893F-B43C98EF8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'Merger workings'!$B$273:$B$275</c:f>
              <c:strCache>
                <c:ptCount val="3"/>
                <c:pt idx="0">
                  <c:v>Mitratel</c:v>
                </c:pt>
                <c:pt idx="1">
                  <c:v>Protelindo</c:v>
                </c:pt>
                <c:pt idx="2">
                  <c:v>Tower Bersama</c:v>
                </c:pt>
              </c:strCache>
            </c:strRef>
          </c:cat>
          <c:val>
            <c:numRef>
              <c:f>'Merger workings'!$F$273:$F$275</c:f>
              <c:numCache>
                <c:formatCode>0.0%</c:formatCode>
                <c:ptCount val="3"/>
                <c:pt idx="0">
                  <c:v>0.1</c:v>
                </c:pt>
                <c:pt idx="1">
                  <c:v>0.1</c:v>
                </c:pt>
                <c:pt idx="2">
                  <c:v>0.14962658236585263</c:v>
                </c:pt>
              </c:numCache>
            </c:numRef>
          </c:val>
          <c:extLst>
            <c:ext xmlns:c16="http://schemas.microsoft.com/office/drawing/2014/chart" uri="{C3380CC4-5D6E-409C-BE32-E72D297353CC}">
              <c16:uniqueId val="{0000000D-13AF-4485-893F-B43C98EF800D}"/>
            </c:ext>
          </c:extLst>
        </c:ser>
        <c:dLbls>
          <c:dLblPos val="inEnd"/>
          <c:showLegendKey val="0"/>
          <c:showVal val="1"/>
          <c:showCatName val="0"/>
          <c:showSerName val="0"/>
          <c:showPercent val="0"/>
          <c:showBubbleSize val="0"/>
        </c:dLbls>
        <c:gapWidth val="30"/>
        <c:overlap val="10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waterfall" uniqueId="{21A04B60-E64E-4177-ADBA-D93A20354FC8}">
          <cx:spPr>
            <a:solidFill>
              <a:schemeClr val="bg2"/>
            </a:solidFill>
          </cx:spPr>
          <cx:dataPt idx="1">
            <cx:spPr>
              <a:solidFill>
                <a:srgbClr val="F9663E"/>
              </a:solidFill>
            </cx:spPr>
          </cx:dataPt>
          <cx:dataId val="0"/>
          <cx:layoutPr>
            <cx:subtotals>
              <cx:idx val="2"/>
            </cx:subtotals>
          </cx:layoutPr>
        </cx:series>
      </cx:plotAreaRegion>
      <cx:axis id="0">
        <cx:catScaling gapWidth="2.19000006"/>
        <cx:tickLabels/>
      </cx:axis>
      <cx:axis id="1">
        <cx:valScaling/>
        <cx:tickLabels/>
      </cx:axis>
    </cx:plotArea>
  </cx:chart>
  <cx:spPr>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waterfall" uniqueId="{4E08DDF8-15DA-4A10-BC3C-CB945048FB94}">
          <cx:spPr>
            <a:solidFill>
              <a:srgbClr val="80D4C1"/>
            </a:solidFill>
            <a:ln>
              <a:noFill/>
            </a:ln>
          </cx:spPr>
          <cx:dataPt idx="3">
            <cx:spPr>
              <a:solidFill>
                <a:srgbClr val="80D4C1"/>
              </a:solidFill>
            </cx:spPr>
          </cx:dataPt>
          <cx:dataPt idx="5">
            <cx:spPr>
              <a:solidFill>
                <a:srgbClr val="00C994"/>
              </a:solidFill>
            </cx:spPr>
          </cx:dataPt>
          <cx:dataLabels pos="outEnd">
            <cx:visibility seriesName="0" categoryName="0" value="1"/>
            <cx:separator>, </cx:separator>
          </cx:dataLabels>
          <cx:dataId val="0"/>
          <cx:layoutPr>
            <cx:subtotals>
              <cx:idx val="3"/>
              <cx:idx val="5"/>
            </cx:subtotals>
          </cx:layoutPr>
        </cx:series>
      </cx:plotAreaRegion>
      <cx:axis id="0">
        <cx:catScaling gapWidth="2.19000006"/>
        <cx:tickLabels/>
      </cx:axis>
      <cx:axis id="1">
        <cx:valScaling max="15000"/>
        <cx:tickLabels/>
      </cx:axis>
    </cx:plotArea>
  </cx:chart>
  <cx:spPr>
    <a:ln>
      <a:no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waterfall" uniqueId="{4E08DDF8-15DA-4A10-BC3C-CB945048FB94}">
          <cx:spPr>
            <a:solidFill>
              <a:srgbClr val="80D4C1"/>
            </a:solidFill>
            <a:ln>
              <a:noFill/>
            </a:ln>
          </cx:spPr>
          <cx:dataPt idx="5">
            <cx:spPr>
              <a:solidFill>
                <a:srgbClr val="00C994"/>
              </a:solidFill>
            </cx:spPr>
          </cx:dataPt>
          <cx:dataLabels pos="outEnd">
            <cx:visibility seriesName="0" categoryName="0" value="1"/>
            <cx:separator>, </cx:separator>
          </cx:dataLabels>
          <cx:dataId val="0"/>
          <cx:layoutPr>
            <cx:subtotals>
              <cx:idx val="3"/>
              <cx:idx val="5"/>
              <cx:idx val="7"/>
              <cx:idx val="9"/>
            </cx:subtotals>
          </cx:layoutPr>
        </cx:series>
      </cx:plotAreaRegion>
      <cx:axis id="0">
        <cx:catScaling gapWidth="2.19000006"/>
        <cx:tickLabels/>
        <cx:txPr>
          <a:bodyPr spcFirstLastPara="1" vertOverflow="ellipsis" horzOverflow="overflow" wrap="square" lIns="0" tIns="0" rIns="0" bIns="0" anchor="ctr" anchorCtr="1"/>
          <a:lstStyle/>
          <a:p>
            <a:pPr algn="ctr" rtl="0">
              <a:defRPr sz="800"/>
            </a:pPr>
            <a:endParaRPr lang="en-US" sz="800" b="0" i="0" u="none" strike="noStrike" kern="1200" baseline="0">
              <a:solidFill>
                <a:sysClr val="windowText" lastClr="000000">
                  <a:lumMod val="65000"/>
                  <a:lumOff val="35000"/>
                </a:sysClr>
              </a:solidFill>
              <a:latin typeface="Calibri" panose="020F0502020204030204"/>
            </a:endParaRPr>
          </a:p>
        </cx:txPr>
      </cx:axis>
      <cx:axis id="1">
        <cx:valScaling max="30000"/>
        <cx:tickLabels/>
        <cx:numFmt formatCode="#,##0" sourceLinked="0"/>
      </cx:axis>
    </cx:plotArea>
  </cx:chart>
  <cx:spPr>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waterfall" uniqueId="{4E08DDF8-15DA-4A10-BC3C-CB945048FB94}">
          <cx:spPr>
            <a:solidFill>
              <a:srgbClr val="80D4C1"/>
            </a:solidFill>
            <a:ln>
              <a:noFill/>
            </a:ln>
          </cx:spPr>
          <cx:dataPt idx="5">
            <cx:spPr>
              <a:solidFill>
                <a:srgbClr val="00C994"/>
              </a:solidFill>
            </cx:spPr>
          </cx:dataPt>
          <cx:dataLabels pos="outEnd">
            <cx:visibility seriesName="0" categoryName="0" value="1"/>
            <cx:separator>, </cx:separator>
          </cx:dataLabels>
          <cx:dataId val="0"/>
          <cx:layoutPr>
            <cx:subtotals>
              <cx:idx val="3"/>
              <cx:idx val="5"/>
              <cx:idx val="7"/>
              <cx:idx val="9"/>
            </cx:subtotals>
          </cx:layoutPr>
        </cx:series>
      </cx:plotAreaRegion>
      <cx:axis id="0">
        <cx:catScaling gapWidth="2.19000006"/>
        <cx:tickLabels/>
        <cx:txPr>
          <a:bodyPr spcFirstLastPara="1" vertOverflow="ellipsis" horzOverflow="overflow" wrap="square" lIns="0" tIns="0" rIns="0" bIns="0" anchor="ctr" anchorCtr="1"/>
          <a:lstStyle/>
          <a:p>
            <a:pPr algn="ctr" rtl="0">
              <a:defRPr sz="800"/>
            </a:pPr>
            <a:endParaRPr lang="en-US" sz="800" b="0" i="0" u="none" strike="noStrike" kern="1200" baseline="0">
              <a:solidFill>
                <a:sysClr val="windowText" lastClr="000000">
                  <a:lumMod val="65000"/>
                  <a:lumOff val="35000"/>
                </a:sysClr>
              </a:solidFill>
              <a:latin typeface="Calibri" panose="020F0502020204030204"/>
            </a:endParaRPr>
          </a:p>
        </cx:txPr>
      </cx:axis>
      <cx:axis id="1">
        <cx:valScaling max="6000"/>
        <cx:tickLabels/>
        <cx:numFmt formatCode="#,##0" sourceLinked="0"/>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3" Type="http://schemas.openxmlformats.org/officeDocument/2006/relationships/image" Target="../media/image2.png"/><Relationship Id="rId7" Type="http://schemas.openxmlformats.org/officeDocument/2006/relationships/chart" Target="../charts/chart10.xml"/><Relationship Id="rId12" Type="http://schemas.openxmlformats.org/officeDocument/2006/relationships/chart" Target="../charts/chart15.xml"/><Relationship Id="rId2" Type="http://schemas.openxmlformats.org/officeDocument/2006/relationships/chart" Target="../charts/chart8.xml"/><Relationship Id="rId16" Type="http://schemas.openxmlformats.org/officeDocument/2006/relationships/chart" Target="../charts/chart19.xml"/><Relationship Id="rId1" Type="http://schemas.openxmlformats.org/officeDocument/2006/relationships/chart" Target="../charts/chart7.xml"/><Relationship Id="rId6" Type="http://schemas.openxmlformats.org/officeDocument/2006/relationships/image" Target="../media/image4.png"/><Relationship Id="rId11" Type="http://schemas.openxmlformats.org/officeDocument/2006/relationships/chart" Target="../charts/chart14.xml"/><Relationship Id="rId5" Type="http://schemas.openxmlformats.org/officeDocument/2006/relationships/chart" Target="../charts/chart9.xml"/><Relationship Id="rId15" Type="http://schemas.openxmlformats.org/officeDocument/2006/relationships/chart" Target="../charts/chart18.xml"/><Relationship Id="rId10" Type="http://schemas.openxmlformats.org/officeDocument/2006/relationships/chart" Target="../charts/chart13.xml"/><Relationship Id="rId4" Type="http://schemas.openxmlformats.org/officeDocument/2006/relationships/image" Target="../media/image3.png"/><Relationship Id="rId9" Type="http://schemas.openxmlformats.org/officeDocument/2006/relationships/chart" Target="../charts/chart12.xml"/><Relationship Id="rId14" Type="http://schemas.openxmlformats.org/officeDocument/2006/relationships/chart" Target="../charts/chart17.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2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2.xml"/><Relationship Id="rId7" Type="http://schemas.microsoft.com/office/2014/relationships/chartEx" Target="../charts/chartEx1.xml"/><Relationship Id="rId2" Type="http://schemas.openxmlformats.org/officeDocument/2006/relationships/chart" Target="../charts/chart21.xml"/><Relationship Id="rId1" Type="http://schemas.openxmlformats.org/officeDocument/2006/relationships/image" Target="../media/image6.png"/><Relationship Id="rId6" Type="http://schemas.openxmlformats.org/officeDocument/2006/relationships/image" Target="../media/image7.png"/><Relationship Id="rId5" Type="http://schemas.openxmlformats.org/officeDocument/2006/relationships/chart" Target="../charts/chart24.xml"/><Relationship Id="rId4" Type="http://schemas.openxmlformats.org/officeDocument/2006/relationships/chart" Target="../charts/chart2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chart" Target="../charts/chart27.xml"/><Relationship Id="rId1" Type="http://schemas.microsoft.com/office/2014/relationships/chartEx" Target="../charts/chartEx2.xml"/><Relationship Id="rId6" Type="http://schemas.microsoft.com/office/2014/relationships/chartEx" Target="../charts/chartEx4.xml"/><Relationship Id="rId5" Type="http://schemas.openxmlformats.org/officeDocument/2006/relationships/chart" Target="../charts/chart28.xml"/><Relationship Id="rId4" Type="http://schemas.microsoft.com/office/2014/relationships/chartEx" Target="../charts/chartEx3.xml"/></Relationships>
</file>

<file path=xl/drawings/_rels/drawing9.xml.rels><?xml version="1.0" encoding="UTF-8" standalone="yes"?>
<Relationships xmlns="http://schemas.openxmlformats.org/package/2006/relationships"><Relationship Id="rId8" Type="http://schemas.openxmlformats.org/officeDocument/2006/relationships/chart" Target="../charts/chart36.xml"/><Relationship Id="rId3" Type="http://schemas.openxmlformats.org/officeDocument/2006/relationships/chart" Target="../charts/chart31.xml"/><Relationship Id="rId7" Type="http://schemas.openxmlformats.org/officeDocument/2006/relationships/chart" Target="../charts/chart35.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5" Type="http://schemas.openxmlformats.org/officeDocument/2006/relationships/chart" Target="../charts/chart33.xml"/><Relationship Id="rId4" Type="http://schemas.openxmlformats.org/officeDocument/2006/relationships/chart" Target="../charts/chart3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857250</xdr:colOff>
      <xdr:row>1</xdr:row>
      <xdr:rowOff>279400</xdr:rowOff>
    </xdr:to>
    <xdr:pic>
      <xdr:nvPicPr>
        <xdr:cNvPr id="2" name="Picture 1">
          <a:extLst>
            <a:ext uri="{FF2B5EF4-FFF2-40B4-BE49-F238E27FC236}">
              <a16:creationId xmlns:a16="http://schemas.microsoft.com/office/drawing/2014/main" id="{2A6D1DDE-CE36-4E50-A350-93DA8438B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850" y="165100"/>
          <a:ext cx="1612900" cy="27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4</xdr:row>
      <xdr:rowOff>0</xdr:rowOff>
    </xdr:from>
    <xdr:to>
      <xdr:col>18</xdr:col>
      <xdr:colOff>275166</xdr:colOff>
      <xdr:row>18</xdr:row>
      <xdr:rowOff>76200</xdr:rowOff>
    </xdr:to>
    <xdr:graphicFrame macro="">
      <xdr:nvGraphicFramePr>
        <xdr:cNvPr id="5" name="Chart 1">
          <a:extLst>
            <a:ext uri="{FF2B5EF4-FFF2-40B4-BE49-F238E27FC236}">
              <a16:creationId xmlns:a16="http://schemas.microsoft.com/office/drawing/2014/main" id="{F23A2203-B67F-4085-868E-DEF8E196E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102</xdr:col>
      <xdr:colOff>19050</xdr:colOff>
      <xdr:row>330</xdr:row>
      <xdr:rowOff>0</xdr:rowOff>
    </xdr:from>
    <xdr:to>
      <xdr:col>113</xdr:col>
      <xdr:colOff>76200</xdr:colOff>
      <xdr:row>330</xdr:row>
      <xdr:rowOff>0</xdr:rowOff>
    </xdr:to>
    <xdr:graphicFrame macro="">
      <xdr:nvGraphicFramePr>
        <xdr:cNvPr id="5" name="Chart 70">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131</xdr:col>
      <xdr:colOff>504825</xdr:colOff>
      <xdr:row>330</xdr:row>
      <xdr:rowOff>0</xdr:rowOff>
    </xdr:from>
    <xdr:to>
      <xdr:col>141</xdr:col>
      <xdr:colOff>295275</xdr:colOff>
      <xdr:row>330</xdr:row>
      <xdr:rowOff>0</xdr:rowOff>
    </xdr:to>
    <xdr:graphicFrame macro="">
      <xdr:nvGraphicFramePr>
        <xdr:cNvPr id="18" name="Chart 119">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104</xdr:col>
      <xdr:colOff>638175</xdr:colOff>
      <xdr:row>330</xdr:row>
      <xdr:rowOff>0</xdr:rowOff>
    </xdr:from>
    <xdr:to>
      <xdr:col>113</xdr:col>
      <xdr:colOff>466725</xdr:colOff>
      <xdr:row>330</xdr:row>
      <xdr:rowOff>0</xdr:rowOff>
    </xdr:to>
    <xdr:graphicFrame macro="">
      <xdr:nvGraphicFramePr>
        <xdr:cNvPr id="20" name="Chart 122">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54429</xdr:colOff>
      <xdr:row>508</xdr:row>
      <xdr:rowOff>9523</xdr:rowOff>
    </xdr:from>
    <xdr:to>
      <xdr:col>52</xdr:col>
      <xdr:colOff>149678</xdr:colOff>
      <xdr:row>527</xdr:row>
      <xdr:rowOff>176892</xdr:rowOff>
    </xdr:to>
    <xdr:graphicFrame macro="">
      <xdr:nvGraphicFramePr>
        <xdr:cNvPr id="2" name="Chart 1">
          <a:extLst>
            <a:ext uri="{FF2B5EF4-FFF2-40B4-BE49-F238E27FC236}">
              <a16:creationId xmlns:a16="http://schemas.microsoft.com/office/drawing/2014/main" id="{40991DC3-747A-4A19-94C0-4B84C7E349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109</xdr:col>
      <xdr:colOff>435428</xdr:colOff>
      <xdr:row>397</xdr:row>
      <xdr:rowOff>0</xdr:rowOff>
    </xdr:from>
    <xdr:to>
      <xdr:col>116</xdr:col>
      <xdr:colOff>435428</xdr:colOff>
      <xdr:row>407</xdr:row>
      <xdr:rowOff>0</xdr:rowOff>
    </xdr:to>
    <xdr:graphicFrame macro="">
      <xdr:nvGraphicFramePr>
        <xdr:cNvPr id="3" name="Chart 2">
          <a:extLst>
            <a:ext uri="{FF2B5EF4-FFF2-40B4-BE49-F238E27FC236}">
              <a16:creationId xmlns:a16="http://schemas.microsoft.com/office/drawing/2014/main" id="{E5562184-CB54-4630-9AC1-DEBD511091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31</xdr:col>
      <xdr:colOff>0</xdr:colOff>
      <xdr:row>399</xdr:row>
      <xdr:rowOff>76200</xdr:rowOff>
    </xdr:from>
    <xdr:to>
      <xdr:col>35</xdr:col>
      <xdr:colOff>489858</xdr:colOff>
      <xdr:row>421</xdr:row>
      <xdr:rowOff>85725</xdr:rowOff>
    </xdr:to>
    <xdr:graphicFrame macro="">
      <xdr:nvGraphicFramePr>
        <xdr:cNvPr id="2" name="Chart 6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986118</xdr:colOff>
      <xdr:row>226</xdr:row>
      <xdr:rowOff>17930</xdr:rowOff>
    </xdr:from>
    <xdr:to>
      <xdr:col>11</xdr:col>
      <xdr:colOff>529343</xdr:colOff>
      <xdr:row>240</xdr:row>
      <xdr:rowOff>146425</xdr:rowOff>
    </xdr:to>
    <xdr:graphicFrame macro="">
      <xdr:nvGraphicFramePr>
        <xdr:cNvPr id="2" name="Chart 1">
          <a:extLst>
            <a:ext uri="{FF2B5EF4-FFF2-40B4-BE49-F238E27FC236}">
              <a16:creationId xmlns:a16="http://schemas.microsoft.com/office/drawing/2014/main" id="{E34F1982-5B19-C15B-65B1-893093F484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440764</xdr:colOff>
      <xdr:row>242</xdr:row>
      <xdr:rowOff>32871</xdr:rowOff>
    </xdr:from>
    <xdr:to>
      <xdr:col>19</xdr:col>
      <xdr:colOff>769470</xdr:colOff>
      <xdr:row>256</xdr:row>
      <xdr:rowOff>146424</xdr:rowOff>
    </xdr:to>
    <xdr:graphicFrame macro="">
      <xdr:nvGraphicFramePr>
        <xdr:cNvPr id="4" name="Chart 3">
          <a:extLst>
            <a:ext uri="{FF2B5EF4-FFF2-40B4-BE49-F238E27FC236}">
              <a16:creationId xmlns:a16="http://schemas.microsoft.com/office/drawing/2014/main" id="{570B32E3-ED9C-49D6-7B21-5D2510498A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0</xdr:colOff>
      <xdr:row>282</xdr:row>
      <xdr:rowOff>0</xdr:rowOff>
    </xdr:from>
    <xdr:to>
      <xdr:col>28</xdr:col>
      <xdr:colOff>64264</xdr:colOff>
      <xdr:row>297</xdr:row>
      <xdr:rowOff>18322</xdr:rowOff>
    </xdr:to>
    <xdr:pic>
      <xdr:nvPicPr>
        <xdr:cNvPr id="6" name="Picture 5">
          <a:extLst>
            <a:ext uri="{FF2B5EF4-FFF2-40B4-BE49-F238E27FC236}">
              <a16:creationId xmlns:a16="http://schemas.microsoft.com/office/drawing/2014/main" id="{3AB9735A-6D8A-286E-742E-667A921327CF}"/>
            </a:ext>
          </a:extLst>
        </xdr:cNvPr>
        <xdr:cNvPicPr>
          <a:picLocks noChangeAspect="1"/>
        </xdr:cNvPicPr>
      </xdr:nvPicPr>
      <xdr:blipFill>
        <a:blip xmlns:r="http://schemas.openxmlformats.org/officeDocument/2006/relationships" r:embed="rId3"/>
        <a:stretch>
          <a:fillRect/>
        </a:stretch>
      </xdr:blipFill>
      <xdr:spPr>
        <a:xfrm>
          <a:off x="9681882" y="12154647"/>
          <a:ext cx="10821910" cy="2819794"/>
        </a:xfrm>
        <a:prstGeom prst="rect">
          <a:avLst/>
        </a:prstGeom>
      </xdr:spPr>
    </xdr:pic>
    <xdr:clientData/>
  </xdr:twoCellAnchor>
  <xdr:twoCellAnchor editAs="oneCell">
    <xdr:from>
      <xdr:col>15</xdr:col>
      <xdr:colOff>36286</xdr:colOff>
      <xdr:row>264</xdr:row>
      <xdr:rowOff>-1</xdr:rowOff>
    </xdr:from>
    <xdr:to>
      <xdr:col>32</xdr:col>
      <xdr:colOff>334158</xdr:colOff>
      <xdr:row>282</xdr:row>
      <xdr:rowOff>20083</xdr:rowOff>
    </xdr:to>
    <xdr:pic>
      <xdr:nvPicPr>
        <xdr:cNvPr id="7" name="Picture 6">
          <a:extLst>
            <a:ext uri="{FF2B5EF4-FFF2-40B4-BE49-F238E27FC236}">
              <a16:creationId xmlns:a16="http://schemas.microsoft.com/office/drawing/2014/main" id="{E77631E3-499F-00DA-B8A9-FD0888CF1BDB}"/>
            </a:ext>
          </a:extLst>
        </xdr:cNvPr>
        <xdr:cNvPicPr>
          <a:picLocks noChangeAspect="1"/>
        </xdr:cNvPicPr>
      </xdr:nvPicPr>
      <xdr:blipFill>
        <a:blip xmlns:r="http://schemas.openxmlformats.org/officeDocument/2006/relationships" r:embed="rId4"/>
        <a:stretch>
          <a:fillRect/>
        </a:stretch>
      </xdr:blipFill>
      <xdr:spPr>
        <a:xfrm>
          <a:off x="11647715" y="8545285"/>
          <a:ext cx="11492015" cy="3285796"/>
        </a:xfrm>
        <a:prstGeom prst="rect">
          <a:avLst/>
        </a:prstGeom>
      </xdr:spPr>
    </xdr:pic>
    <xdr:clientData/>
  </xdr:twoCellAnchor>
  <xdr:twoCellAnchor editAs="oneCell">
    <xdr:from>
      <xdr:col>7</xdr:col>
      <xdr:colOff>1090706</xdr:colOff>
      <xdr:row>261</xdr:row>
      <xdr:rowOff>182283</xdr:rowOff>
    </xdr:from>
    <xdr:to>
      <xdr:col>14</xdr:col>
      <xdr:colOff>450725</xdr:colOff>
      <xdr:row>276</xdr:row>
      <xdr:rowOff>124012</xdr:rowOff>
    </xdr:to>
    <xdr:graphicFrame macro="">
      <xdr:nvGraphicFramePr>
        <xdr:cNvPr id="8" name="Chart 7">
          <a:extLst>
            <a:ext uri="{FF2B5EF4-FFF2-40B4-BE49-F238E27FC236}">
              <a16:creationId xmlns:a16="http://schemas.microsoft.com/office/drawing/2014/main" id="{D919AE8D-17E6-C164-EC76-08500E2678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12</xdr:col>
      <xdr:colOff>667372</xdr:colOff>
      <xdr:row>72</xdr:row>
      <xdr:rowOff>58730</xdr:rowOff>
    </xdr:from>
    <xdr:to>
      <xdr:col>19</xdr:col>
      <xdr:colOff>574970</xdr:colOff>
      <xdr:row>88</xdr:row>
      <xdr:rowOff>143855</xdr:rowOff>
    </xdr:to>
    <xdr:pic>
      <xdr:nvPicPr>
        <xdr:cNvPr id="3" name="Picture 2">
          <a:extLst>
            <a:ext uri="{FF2B5EF4-FFF2-40B4-BE49-F238E27FC236}">
              <a16:creationId xmlns:a16="http://schemas.microsoft.com/office/drawing/2014/main" id="{CB630AAE-7D62-ABCE-1903-F1B6BD729458}"/>
            </a:ext>
          </a:extLst>
        </xdr:cNvPr>
        <xdr:cNvPicPr>
          <a:picLocks noChangeAspect="1"/>
        </xdr:cNvPicPr>
      </xdr:nvPicPr>
      <xdr:blipFill>
        <a:blip xmlns:r="http://schemas.openxmlformats.org/officeDocument/2006/relationships" r:embed="rId6"/>
        <a:stretch>
          <a:fillRect/>
        </a:stretch>
      </xdr:blipFill>
      <xdr:spPr>
        <a:xfrm>
          <a:off x="11773646" y="427279"/>
          <a:ext cx="5037401" cy="3033517"/>
        </a:xfrm>
        <a:prstGeom prst="rect">
          <a:avLst/>
        </a:prstGeom>
      </xdr:spPr>
    </xdr:pic>
    <xdr:clientData/>
  </xdr:twoCellAnchor>
  <xdr:twoCellAnchor>
    <xdr:from>
      <xdr:col>11</xdr:col>
      <xdr:colOff>122232</xdr:colOff>
      <xdr:row>177</xdr:row>
      <xdr:rowOff>48877</xdr:rowOff>
    </xdr:from>
    <xdr:to>
      <xdr:col>17</xdr:col>
      <xdr:colOff>529343</xdr:colOff>
      <xdr:row>192</xdr:row>
      <xdr:rowOff>27960</xdr:rowOff>
    </xdr:to>
    <xdr:graphicFrame macro="">
      <xdr:nvGraphicFramePr>
        <xdr:cNvPr id="5" name="Chart 4">
          <a:extLst>
            <a:ext uri="{FF2B5EF4-FFF2-40B4-BE49-F238E27FC236}">
              <a16:creationId xmlns:a16="http://schemas.microsoft.com/office/drawing/2014/main" id="{E914D5D2-373A-B946-15B2-7B291133F3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120740</xdr:colOff>
      <xdr:row>135</xdr:row>
      <xdr:rowOff>55067</xdr:rowOff>
    </xdr:from>
    <xdr:to>
      <xdr:col>19</xdr:col>
      <xdr:colOff>610810</xdr:colOff>
      <xdr:row>153</xdr:row>
      <xdr:rowOff>314476</xdr:rowOff>
    </xdr:to>
    <xdr:graphicFrame macro="">
      <xdr:nvGraphicFramePr>
        <xdr:cNvPr id="10" name="Chart 9">
          <a:extLst>
            <a:ext uri="{FF2B5EF4-FFF2-40B4-BE49-F238E27FC236}">
              <a16:creationId xmlns:a16="http://schemas.microsoft.com/office/drawing/2014/main" id="{B3193193-EC88-5D32-D882-D05900A40A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368548</xdr:colOff>
      <xdr:row>158</xdr:row>
      <xdr:rowOff>120027</xdr:rowOff>
    </xdr:from>
    <xdr:to>
      <xdr:col>16</xdr:col>
      <xdr:colOff>239058</xdr:colOff>
      <xdr:row>174</xdr:row>
      <xdr:rowOff>99109</xdr:rowOff>
    </xdr:to>
    <xdr:graphicFrame macro="">
      <xdr:nvGraphicFramePr>
        <xdr:cNvPr id="11" name="Chart 10">
          <a:extLst>
            <a:ext uri="{FF2B5EF4-FFF2-40B4-BE49-F238E27FC236}">
              <a16:creationId xmlns:a16="http://schemas.microsoft.com/office/drawing/2014/main" id="{4BD3E9D6-4C43-BE7E-8CF4-29801BD04A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7</xdr:col>
      <xdr:colOff>1170391</xdr:colOff>
      <xdr:row>10</xdr:row>
      <xdr:rowOff>100105</xdr:rowOff>
    </xdr:from>
    <xdr:to>
      <xdr:col>14</xdr:col>
      <xdr:colOff>368547</xdr:colOff>
      <xdr:row>25</xdr:row>
      <xdr:rowOff>79188</xdr:rowOff>
    </xdr:to>
    <xdr:graphicFrame macro="">
      <xdr:nvGraphicFramePr>
        <xdr:cNvPr id="14" name="Chart 13">
          <a:extLst>
            <a:ext uri="{FF2B5EF4-FFF2-40B4-BE49-F238E27FC236}">
              <a16:creationId xmlns:a16="http://schemas.microsoft.com/office/drawing/2014/main" id="{34CBDF1E-E9E8-93A8-81EC-78265E152D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862889</xdr:colOff>
      <xdr:row>178</xdr:row>
      <xdr:rowOff>85164</xdr:rowOff>
    </xdr:from>
    <xdr:to>
      <xdr:col>24</xdr:col>
      <xdr:colOff>357023</xdr:colOff>
      <xdr:row>193</xdr:row>
      <xdr:rowOff>64248</xdr:rowOff>
    </xdr:to>
    <xdr:graphicFrame macro="">
      <xdr:nvGraphicFramePr>
        <xdr:cNvPr id="15" name="Chart 14">
          <a:extLst>
            <a:ext uri="{FF2B5EF4-FFF2-40B4-BE49-F238E27FC236}">
              <a16:creationId xmlns:a16="http://schemas.microsoft.com/office/drawing/2014/main" id="{435083EF-03D5-934C-500E-DB975ED1C1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63748</xdr:colOff>
      <xdr:row>158</xdr:row>
      <xdr:rowOff>120027</xdr:rowOff>
    </xdr:from>
    <xdr:to>
      <xdr:col>23</xdr:col>
      <xdr:colOff>195515</xdr:colOff>
      <xdr:row>174</xdr:row>
      <xdr:rowOff>99109</xdr:rowOff>
    </xdr:to>
    <xdr:graphicFrame macro="">
      <xdr:nvGraphicFramePr>
        <xdr:cNvPr id="16" name="Chart 15">
          <a:extLst>
            <a:ext uri="{FF2B5EF4-FFF2-40B4-BE49-F238E27FC236}">
              <a16:creationId xmlns:a16="http://schemas.microsoft.com/office/drawing/2014/main" id="{AADF8CE4-9151-0C68-4FDD-E6292EA28F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23</xdr:col>
      <xdr:colOff>52863</xdr:colOff>
      <xdr:row>158</xdr:row>
      <xdr:rowOff>120027</xdr:rowOff>
    </xdr:from>
    <xdr:to>
      <xdr:col>30</xdr:col>
      <xdr:colOff>206401</xdr:colOff>
      <xdr:row>174</xdr:row>
      <xdr:rowOff>99109</xdr:rowOff>
    </xdr:to>
    <xdr:graphicFrame macro="">
      <xdr:nvGraphicFramePr>
        <xdr:cNvPr id="17" name="Chart 16">
          <a:extLst>
            <a:ext uri="{FF2B5EF4-FFF2-40B4-BE49-F238E27FC236}">
              <a16:creationId xmlns:a16="http://schemas.microsoft.com/office/drawing/2014/main" id="{DDD658D8-AC9E-DB20-03C3-03AFA39870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7</xdr:col>
      <xdr:colOff>1100027</xdr:colOff>
      <xdr:row>62</xdr:row>
      <xdr:rowOff>36499</xdr:rowOff>
    </xdr:from>
    <xdr:to>
      <xdr:col>12</xdr:col>
      <xdr:colOff>381001</xdr:colOff>
      <xdr:row>72</xdr:row>
      <xdr:rowOff>36286</xdr:rowOff>
    </xdr:to>
    <xdr:graphicFrame macro="">
      <xdr:nvGraphicFramePr>
        <xdr:cNvPr id="18" name="Chart 17">
          <a:extLst>
            <a:ext uri="{FF2B5EF4-FFF2-40B4-BE49-F238E27FC236}">
              <a16:creationId xmlns:a16="http://schemas.microsoft.com/office/drawing/2014/main" id="{C4A7F2AA-BB6D-8468-A2F9-87B45E4FD9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163284</xdr:colOff>
      <xdr:row>29</xdr:row>
      <xdr:rowOff>27215</xdr:rowOff>
    </xdr:from>
    <xdr:to>
      <xdr:col>19</xdr:col>
      <xdr:colOff>394304</xdr:colOff>
      <xdr:row>44</xdr:row>
      <xdr:rowOff>48986</xdr:rowOff>
    </xdr:to>
    <xdr:graphicFrame macro="">
      <xdr:nvGraphicFramePr>
        <xdr:cNvPr id="19" name="Chart 18">
          <a:extLst>
            <a:ext uri="{FF2B5EF4-FFF2-40B4-BE49-F238E27FC236}">
              <a16:creationId xmlns:a16="http://schemas.microsoft.com/office/drawing/2014/main" id="{EB39E1AE-EE64-E72C-3544-49BAE09C9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272142</xdr:colOff>
      <xdr:row>29</xdr:row>
      <xdr:rowOff>5443</xdr:rowOff>
    </xdr:from>
    <xdr:to>
      <xdr:col>26</xdr:col>
      <xdr:colOff>209248</xdr:colOff>
      <xdr:row>44</xdr:row>
      <xdr:rowOff>27214</xdr:rowOff>
    </xdr:to>
    <xdr:graphicFrame macro="">
      <xdr:nvGraphicFramePr>
        <xdr:cNvPr id="12" name="Chart 11">
          <a:extLst>
            <a:ext uri="{FF2B5EF4-FFF2-40B4-BE49-F238E27FC236}">
              <a16:creationId xmlns:a16="http://schemas.microsoft.com/office/drawing/2014/main" id="{71678441-4ED0-2B71-169C-C1F159D6C1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373528</xdr:colOff>
      <xdr:row>64</xdr:row>
      <xdr:rowOff>182280</xdr:rowOff>
    </xdr:from>
    <xdr:to>
      <xdr:col>5</xdr:col>
      <xdr:colOff>184273</xdr:colOff>
      <xdr:row>79</xdr:row>
      <xdr:rowOff>161362</xdr:rowOff>
    </xdr:to>
    <xdr:graphicFrame macro="">
      <xdr:nvGraphicFramePr>
        <xdr:cNvPr id="2" name="Chart 1">
          <a:extLst>
            <a:ext uri="{FF2B5EF4-FFF2-40B4-BE49-F238E27FC236}">
              <a16:creationId xmlns:a16="http://schemas.microsoft.com/office/drawing/2014/main" id="{17BCEE25-CDFB-E6E3-0680-88F6E262B6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288215</xdr:colOff>
      <xdr:row>24</xdr:row>
      <xdr:rowOff>8965</xdr:rowOff>
    </xdr:from>
    <xdr:to>
      <xdr:col>20</xdr:col>
      <xdr:colOff>220679</xdr:colOff>
      <xdr:row>58</xdr:row>
      <xdr:rowOff>31221</xdr:rowOff>
    </xdr:to>
    <xdr:pic>
      <xdr:nvPicPr>
        <xdr:cNvPr id="3" name="Picture 2">
          <a:extLst>
            <a:ext uri="{FF2B5EF4-FFF2-40B4-BE49-F238E27FC236}">
              <a16:creationId xmlns:a16="http://schemas.microsoft.com/office/drawing/2014/main" id="{998FB6DC-B3D2-184B-90F1-AE8F2A7A78ED}"/>
            </a:ext>
          </a:extLst>
        </xdr:cNvPr>
        <xdr:cNvPicPr>
          <a:picLocks noChangeAspect="1"/>
        </xdr:cNvPicPr>
      </xdr:nvPicPr>
      <xdr:blipFill>
        <a:blip xmlns:r="http://schemas.openxmlformats.org/officeDocument/2006/relationships" r:embed="rId2"/>
        <a:stretch>
          <a:fillRect/>
        </a:stretch>
      </xdr:blipFill>
      <xdr:spPr>
        <a:xfrm>
          <a:off x="8159227" y="4312024"/>
          <a:ext cx="6028464" cy="36260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23</xdr:col>
      <xdr:colOff>488755</xdr:colOff>
      <xdr:row>22</xdr:row>
      <xdr:rowOff>97394</xdr:rowOff>
    </xdr:from>
    <xdr:to>
      <xdr:col>33</xdr:col>
      <xdr:colOff>482107</xdr:colOff>
      <xdr:row>48</xdr:row>
      <xdr:rowOff>1642</xdr:rowOff>
    </xdr:to>
    <xdr:pic>
      <xdr:nvPicPr>
        <xdr:cNvPr id="2" name="Picture 1">
          <a:extLst>
            <a:ext uri="{FF2B5EF4-FFF2-40B4-BE49-F238E27FC236}">
              <a16:creationId xmlns:a16="http://schemas.microsoft.com/office/drawing/2014/main" id="{01CB2800-AB82-5003-847A-D2C6F061326E}"/>
            </a:ext>
          </a:extLst>
        </xdr:cNvPr>
        <xdr:cNvPicPr>
          <a:picLocks noChangeAspect="1"/>
        </xdr:cNvPicPr>
      </xdr:nvPicPr>
      <xdr:blipFill>
        <a:blip xmlns:r="http://schemas.openxmlformats.org/officeDocument/2006/relationships" r:embed="rId1"/>
        <a:stretch>
          <a:fillRect/>
        </a:stretch>
      </xdr:blipFill>
      <xdr:spPr>
        <a:xfrm>
          <a:off x="13758441" y="3559051"/>
          <a:ext cx="6971094" cy="4149677"/>
        </a:xfrm>
        <a:prstGeom prst="rect">
          <a:avLst/>
        </a:prstGeom>
      </xdr:spPr>
    </xdr:pic>
    <xdr:clientData/>
  </xdr:twoCellAnchor>
  <xdr:twoCellAnchor editAs="oneCell">
    <xdr:from>
      <xdr:col>24</xdr:col>
      <xdr:colOff>498929</xdr:colOff>
      <xdr:row>564</xdr:row>
      <xdr:rowOff>119137</xdr:rowOff>
    </xdr:from>
    <xdr:to>
      <xdr:col>30</xdr:col>
      <xdr:colOff>311457</xdr:colOff>
      <xdr:row>581</xdr:row>
      <xdr:rowOff>86479</xdr:rowOff>
    </xdr:to>
    <xdr:graphicFrame macro="">
      <xdr:nvGraphicFramePr>
        <xdr:cNvPr id="4" name="Chart 3">
          <a:extLst>
            <a:ext uri="{FF2B5EF4-FFF2-40B4-BE49-F238E27FC236}">
              <a16:creationId xmlns:a16="http://schemas.microsoft.com/office/drawing/2014/main" id="{457DC2B9-7F29-F693-A84B-E7968DA70E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28</xdr:col>
      <xdr:colOff>442136</xdr:colOff>
      <xdr:row>491</xdr:row>
      <xdr:rowOff>0</xdr:rowOff>
    </xdr:from>
    <xdr:to>
      <xdr:col>35</xdr:col>
      <xdr:colOff>516845</xdr:colOff>
      <xdr:row>509</xdr:row>
      <xdr:rowOff>65019</xdr:rowOff>
    </xdr:to>
    <xdr:graphicFrame macro="">
      <xdr:nvGraphicFramePr>
        <xdr:cNvPr id="7" name="Chart 6">
          <a:extLst>
            <a:ext uri="{FF2B5EF4-FFF2-40B4-BE49-F238E27FC236}">
              <a16:creationId xmlns:a16="http://schemas.microsoft.com/office/drawing/2014/main" id="{6CF14B30-797A-4FA3-806D-2EA8BB8A06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28</xdr:col>
      <xdr:colOff>462615</xdr:colOff>
      <xdr:row>453</xdr:row>
      <xdr:rowOff>119742</xdr:rowOff>
    </xdr:from>
    <xdr:to>
      <xdr:col>36</xdr:col>
      <xdr:colOff>157816</xdr:colOff>
      <xdr:row>470</xdr:row>
      <xdr:rowOff>13059</xdr:rowOff>
    </xdr:to>
    <xdr:graphicFrame macro="">
      <xdr:nvGraphicFramePr>
        <xdr:cNvPr id="6" name="Chart 2">
          <a:extLst>
            <a:ext uri="{FF2B5EF4-FFF2-40B4-BE49-F238E27FC236}">
              <a16:creationId xmlns:a16="http://schemas.microsoft.com/office/drawing/2014/main" id="{0BF99DA4-13A7-8822-4051-25CF5075B3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36</xdr:col>
      <xdr:colOff>301831</xdr:colOff>
      <xdr:row>453</xdr:row>
      <xdr:rowOff>119742</xdr:rowOff>
    </xdr:from>
    <xdr:to>
      <xdr:col>43</xdr:col>
      <xdr:colOff>606629</xdr:colOff>
      <xdr:row>470</xdr:row>
      <xdr:rowOff>13059</xdr:rowOff>
    </xdr:to>
    <xdr:graphicFrame macro="">
      <xdr:nvGraphicFramePr>
        <xdr:cNvPr id="9" name="Chart 4">
          <a:extLst>
            <a:ext uri="{FF2B5EF4-FFF2-40B4-BE49-F238E27FC236}">
              <a16:creationId xmlns:a16="http://schemas.microsoft.com/office/drawing/2014/main" id="{37242A33-CD68-DB9F-24D1-F3798FADD6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25</xdr:col>
      <xdr:colOff>239486</xdr:colOff>
      <xdr:row>428</xdr:row>
      <xdr:rowOff>124785</xdr:rowOff>
    </xdr:from>
    <xdr:to>
      <xdr:col>33</xdr:col>
      <xdr:colOff>497114</xdr:colOff>
      <xdr:row>446</xdr:row>
      <xdr:rowOff>69054</xdr:rowOff>
    </xdr:to>
    <xdr:pic>
      <xdr:nvPicPr>
        <xdr:cNvPr id="8" name="Picture 7">
          <a:extLst>
            <a:ext uri="{FF2B5EF4-FFF2-40B4-BE49-F238E27FC236}">
              <a16:creationId xmlns:a16="http://schemas.microsoft.com/office/drawing/2014/main" id="{452F73C8-062C-F78A-84C4-84B608603A0C}"/>
            </a:ext>
          </a:extLst>
        </xdr:cNvPr>
        <xdr:cNvPicPr>
          <a:picLocks noChangeAspect="1"/>
        </xdr:cNvPicPr>
      </xdr:nvPicPr>
      <xdr:blipFill>
        <a:blip xmlns:r="http://schemas.openxmlformats.org/officeDocument/2006/relationships" r:embed="rId6"/>
        <a:stretch>
          <a:fillRect/>
        </a:stretch>
      </xdr:blipFill>
      <xdr:spPr>
        <a:xfrm>
          <a:off x="14815457" y="43841814"/>
          <a:ext cx="5134427" cy="2883410"/>
        </a:xfrm>
        <a:prstGeom prst="rect">
          <a:avLst/>
        </a:prstGeom>
      </xdr:spPr>
    </xdr:pic>
    <xdr:clientData/>
  </xdr:twoCellAnchor>
  <xdr:twoCellAnchor>
    <xdr:from>
      <xdr:col>20</xdr:col>
      <xdr:colOff>337458</xdr:colOff>
      <xdr:row>162</xdr:row>
      <xdr:rowOff>38099</xdr:rowOff>
    </xdr:from>
    <xdr:to>
      <xdr:col>26</xdr:col>
      <xdr:colOff>370115</xdr:colOff>
      <xdr:row>180</xdr:row>
      <xdr:rowOff>125185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9237EEB3-7D8E-4DC4-4D80-6DBC689D22D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2027808" y="26828749"/>
              <a:ext cx="4655457" cy="3084286"/>
            </a:xfrm>
            <a:prstGeom prst="rect">
              <a:avLst/>
            </a:prstGeom>
            <a:solidFill>
              <a:prstClr val="white"/>
            </a:solidFill>
            <a:ln w="1">
              <a:solidFill>
                <a:prstClr val="green"/>
              </a:solidFill>
            </a:ln>
          </xdr:spPr>
          <xdr:txBody>
            <a:bodyPr vertOverflow="clip" horzOverflow="clip"/>
            <a:lstStyle/>
            <a:p>
              <a:r>
                <a:rPr lang="en-SG"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972241</xdr:colOff>
      <xdr:row>41</xdr:row>
      <xdr:rowOff>129490</xdr:rowOff>
    </xdr:from>
    <xdr:to>
      <xdr:col>25</xdr:col>
      <xdr:colOff>947308</xdr:colOff>
      <xdr:row>63</xdr:row>
      <xdr:rowOff>104589</xdr:rowOff>
    </xdr:to>
    <xdr:pic>
      <xdr:nvPicPr>
        <xdr:cNvPr id="2" name="Picture 1">
          <a:extLst>
            <a:ext uri="{FF2B5EF4-FFF2-40B4-BE49-F238E27FC236}">
              <a16:creationId xmlns:a16="http://schemas.microsoft.com/office/drawing/2014/main" id="{91BC952D-0FFC-491F-81B1-CBE7D5C50F83}"/>
            </a:ext>
          </a:extLst>
        </xdr:cNvPr>
        <xdr:cNvPicPr>
          <a:picLocks noChangeAspect="1"/>
        </xdr:cNvPicPr>
      </xdr:nvPicPr>
      <xdr:blipFill>
        <a:blip xmlns:r="http://schemas.openxmlformats.org/officeDocument/2006/relationships" r:embed="rId1"/>
        <a:stretch>
          <a:fillRect/>
        </a:stretch>
      </xdr:blipFill>
      <xdr:spPr>
        <a:xfrm>
          <a:off x="13502908" y="7568061"/>
          <a:ext cx="7628824" cy="3966528"/>
        </a:xfrm>
        <a:prstGeom prst="rect">
          <a:avLst/>
        </a:prstGeom>
      </xdr:spPr>
    </xdr:pic>
    <xdr:clientData/>
  </xdr:twoCellAnchor>
  <xdr:twoCellAnchor>
    <xdr:from>
      <xdr:col>30</xdr:col>
      <xdr:colOff>359809</xdr:colOff>
      <xdr:row>16</xdr:row>
      <xdr:rowOff>171959</xdr:rowOff>
    </xdr:from>
    <xdr:to>
      <xdr:col>38</xdr:col>
      <xdr:colOff>55009</xdr:colOff>
      <xdr:row>32</xdr:row>
      <xdr:rowOff>45637</xdr:rowOff>
    </xdr:to>
    <xdr:graphicFrame macro="">
      <xdr:nvGraphicFramePr>
        <xdr:cNvPr id="4" name="Chart 3">
          <a:extLst>
            <a:ext uri="{FF2B5EF4-FFF2-40B4-BE49-F238E27FC236}">
              <a16:creationId xmlns:a16="http://schemas.microsoft.com/office/drawing/2014/main" id="{112265D9-6814-E909-D787-07E70DAF49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539919</xdr:colOff>
      <xdr:row>33</xdr:row>
      <xdr:rowOff>61123</xdr:rowOff>
    </xdr:from>
    <xdr:to>
      <xdr:col>38</xdr:col>
      <xdr:colOff>235119</xdr:colOff>
      <xdr:row>48</xdr:row>
      <xdr:rowOff>114911</xdr:rowOff>
    </xdr:to>
    <xdr:graphicFrame macro="">
      <xdr:nvGraphicFramePr>
        <xdr:cNvPr id="5" name="Chart 4">
          <a:extLst>
            <a:ext uri="{FF2B5EF4-FFF2-40B4-BE49-F238E27FC236}">
              <a16:creationId xmlns:a16="http://schemas.microsoft.com/office/drawing/2014/main" id="{5EF52B4E-37F0-5B6B-2623-7D92AB1177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4</xdr:col>
      <xdr:colOff>9073</xdr:colOff>
      <xdr:row>125</xdr:row>
      <xdr:rowOff>108858</xdr:rowOff>
    </xdr:from>
    <xdr:to>
      <xdr:col>13</xdr:col>
      <xdr:colOff>453572</xdr:colOff>
      <xdr:row>140</xdr:row>
      <xdr:rowOff>45357</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5B89328D-DAC7-427E-918C-8DD32DF37FF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495223" y="23127608"/>
              <a:ext cx="6070599" cy="2698749"/>
            </a:xfrm>
            <a:prstGeom prst="rect">
              <a:avLst/>
            </a:prstGeom>
            <a:solidFill>
              <a:prstClr val="white"/>
            </a:solidFill>
            <a:ln w="1">
              <a:solidFill>
                <a:prstClr val="green"/>
              </a:solidFill>
            </a:ln>
          </xdr:spPr>
          <xdr:txBody>
            <a:bodyPr vertOverflow="clip" horzOverflow="clip"/>
            <a:lstStyle/>
            <a:p>
              <a:r>
                <a:rPr lang="en-SG"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2</xdr:col>
      <xdr:colOff>194242</xdr:colOff>
      <xdr:row>98</xdr:row>
      <xdr:rowOff>79295</xdr:rowOff>
    </xdr:from>
    <xdr:to>
      <xdr:col>9</xdr:col>
      <xdr:colOff>335644</xdr:colOff>
      <xdr:row>111</xdr:row>
      <xdr:rowOff>54429</xdr:rowOff>
    </xdr:to>
    <xdr:graphicFrame macro="">
      <xdr:nvGraphicFramePr>
        <xdr:cNvPr id="2" name="Chart 1">
          <a:extLst>
            <a:ext uri="{FF2B5EF4-FFF2-40B4-BE49-F238E27FC236}">
              <a16:creationId xmlns:a16="http://schemas.microsoft.com/office/drawing/2014/main" id="{B3461F0B-7C0E-2800-EBCE-0F3CA719CB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154214</xdr:colOff>
      <xdr:row>97</xdr:row>
      <xdr:rowOff>9072</xdr:rowOff>
    </xdr:from>
    <xdr:to>
      <xdr:col>7</xdr:col>
      <xdr:colOff>253999</xdr:colOff>
      <xdr:row>98</xdr:row>
      <xdr:rowOff>54429</xdr:rowOff>
    </xdr:to>
    <xdr:sp macro="" textlink="">
      <xdr:nvSpPr>
        <xdr:cNvPr id="3" name="Rectangle 2">
          <a:extLst>
            <a:ext uri="{FF2B5EF4-FFF2-40B4-BE49-F238E27FC236}">
              <a16:creationId xmlns:a16="http://schemas.microsoft.com/office/drawing/2014/main" id="{D6BE633C-0C07-1E20-34D7-03DA4D72AD99}"/>
            </a:ext>
          </a:extLst>
        </xdr:cNvPr>
        <xdr:cNvSpPr/>
      </xdr:nvSpPr>
      <xdr:spPr>
        <a:xfrm>
          <a:off x="2966357" y="17607643"/>
          <a:ext cx="1923143" cy="226786"/>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100"/>
            <a:t>ROIC</a:t>
          </a:r>
        </a:p>
      </xdr:txBody>
    </xdr:sp>
    <xdr:clientData/>
  </xdr:twoCellAnchor>
  <xdr:twoCellAnchor editAs="oneCell">
    <xdr:from>
      <xdr:col>30</xdr:col>
      <xdr:colOff>20811</xdr:colOff>
      <xdr:row>126</xdr:row>
      <xdr:rowOff>161685</xdr:rowOff>
    </xdr:from>
    <xdr:to>
      <xdr:col>37</xdr:col>
      <xdr:colOff>535088</xdr:colOff>
      <xdr:row>137</xdr:row>
      <xdr:rowOff>11358</xdr:rowOff>
    </xdr:to>
    <xdr:pic>
      <xdr:nvPicPr>
        <xdr:cNvPr id="4" name="Picture 3">
          <a:extLst>
            <a:ext uri="{FF2B5EF4-FFF2-40B4-BE49-F238E27FC236}">
              <a16:creationId xmlns:a16="http://schemas.microsoft.com/office/drawing/2014/main" id="{5D0AD101-1BCD-2C2E-AEA6-FEF8CE73BA17}"/>
            </a:ext>
          </a:extLst>
        </xdr:cNvPr>
        <xdr:cNvPicPr>
          <a:picLocks noChangeAspect="1"/>
        </xdr:cNvPicPr>
      </xdr:nvPicPr>
      <xdr:blipFill>
        <a:blip xmlns:r="http://schemas.openxmlformats.org/officeDocument/2006/relationships" r:embed="rId3"/>
        <a:stretch>
          <a:fillRect/>
        </a:stretch>
      </xdr:blipFill>
      <xdr:spPr>
        <a:xfrm>
          <a:off x="19959811" y="23021685"/>
          <a:ext cx="4768777" cy="1845387"/>
        </a:xfrm>
        <a:prstGeom prst="rect">
          <a:avLst/>
        </a:prstGeom>
      </xdr:spPr>
    </xdr:pic>
    <xdr:clientData/>
  </xdr:twoCellAnchor>
  <xdr:twoCellAnchor editAs="absolute">
    <xdr:from>
      <xdr:col>6</xdr:col>
      <xdr:colOff>575764</xdr:colOff>
      <xdr:row>205</xdr:row>
      <xdr:rowOff>101710</xdr:rowOff>
    </xdr:from>
    <xdr:to>
      <xdr:col>15</xdr:col>
      <xdr:colOff>312442</xdr:colOff>
      <xdr:row>221</xdr:row>
      <xdr:rowOff>152716</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CD7C0A2B-580A-CA33-4C1F-4F6DFCFE28C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5293814" y="37877860"/>
              <a:ext cx="5362778" cy="2997406"/>
            </a:xfrm>
            <a:prstGeom prst="rect">
              <a:avLst/>
            </a:prstGeom>
            <a:solidFill>
              <a:prstClr val="white"/>
            </a:solidFill>
            <a:ln w="1">
              <a:solidFill>
                <a:prstClr val="green"/>
              </a:solidFill>
            </a:ln>
          </xdr:spPr>
          <xdr:txBody>
            <a:bodyPr vertOverflow="clip" horzOverflow="clip"/>
            <a:lstStyle/>
            <a:p>
              <a:r>
                <a:rPr lang="en-SG"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7</xdr:col>
      <xdr:colOff>625929</xdr:colOff>
      <xdr:row>124</xdr:row>
      <xdr:rowOff>72571</xdr:rowOff>
    </xdr:from>
    <xdr:to>
      <xdr:col>11</xdr:col>
      <xdr:colOff>27214</xdr:colOff>
      <xdr:row>125</xdr:row>
      <xdr:rowOff>117929</xdr:rowOff>
    </xdr:to>
    <xdr:sp macro="" textlink="">
      <xdr:nvSpPr>
        <xdr:cNvPr id="8" name="Rectangle 7">
          <a:extLst>
            <a:ext uri="{FF2B5EF4-FFF2-40B4-BE49-F238E27FC236}">
              <a16:creationId xmlns:a16="http://schemas.microsoft.com/office/drawing/2014/main" id="{7D22CB5F-DD90-4888-ACC6-F71CD96F0823}"/>
            </a:ext>
          </a:extLst>
        </xdr:cNvPr>
        <xdr:cNvSpPr/>
      </xdr:nvSpPr>
      <xdr:spPr>
        <a:xfrm>
          <a:off x="5914572" y="22569714"/>
          <a:ext cx="1923142" cy="226786"/>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100"/>
            <a:t>Cash flow bridge</a:t>
          </a:r>
        </a:p>
      </xdr:txBody>
    </xdr:sp>
    <xdr:clientData/>
  </xdr:twoCellAnchor>
  <xdr:twoCellAnchor editAs="oneCell">
    <xdr:from>
      <xdr:col>15</xdr:col>
      <xdr:colOff>22418</xdr:colOff>
      <xdr:row>98</xdr:row>
      <xdr:rowOff>79295</xdr:rowOff>
    </xdr:from>
    <xdr:to>
      <xdr:col>21</xdr:col>
      <xdr:colOff>298290</xdr:colOff>
      <xdr:row>111</xdr:row>
      <xdr:rowOff>54429</xdr:rowOff>
    </xdr:to>
    <xdr:graphicFrame macro="">
      <xdr:nvGraphicFramePr>
        <xdr:cNvPr id="9" name="Chart 8">
          <a:extLst>
            <a:ext uri="{FF2B5EF4-FFF2-40B4-BE49-F238E27FC236}">
              <a16:creationId xmlns:a16="http://schemas.microsoft.com/office/drawing/2014/main" id="{CC6F70E6-9F60-B2A3-BCAD-9E25EEC717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15</xdr:col>
      <xdr:colOff>241189</xdr:colOff>
      <xdr:row>201</xdr:row>
      <xdr:rowOff>147067</xdr:rowOff>
    </xdr:from>
    <xdr:to>
      <xdr:col>23</xdr:col>
      <xdr:colOff>544285</xdr:colOff>
      <xdr:row>218</xdr:row>
      <xdr:rowOff>16645</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192287E4-D5AF-6B2D-BA5D-A9B90FD1775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0585339" y="37186617"/>
              <a:ext cx="5789496" cy="3000128"/>
            </a:xfrm>
            <a:prstGeom prst="rect">
              <a:avLst/>
            </a:prstGeom>
            <a:solidFill>
              <a:prstClr val="white"/>
            </a:solidFill>
            <a:ln w="1">
              <a:solidFill>
                <a:prstClr val="green"/>
              </a:solidFill>
            </a:ln>
          </xdr:spPr>
          <xdr:txBody>
            <a:bodyPr vertOverflow="clip" horzOverflow="clip"/>
            <a:lstStyle/>
            <a:p>
              <a:r>
                <a:rPr lang="en-SG"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22</xdr:col>
      <xdr:colOff>63500</xdr:colOff>
      <xdr:row>19</xdr:row>
      <xdr:rowOff>50800</xdr:rowOff>
    </xdr:from>
    <xdr:to>
      <xdr:col>23</xdr:col>
      <xdr:colOff>476250</xdr:colOff>
      <xdr:row>22</xdr:row>
      <xdr:rowOff>6350</xdr:rowOff>
    </xdr:to>
    <xdr:sp macro="" textlink="">
      <xdr:nvSpPr>
        <xdr:cNvPr id="6" name="Rectangle 5">
          <a:extLst>
            <a:ext uri="{FF2B5EF4-FFF2-40B4-BE49-F238E27FC236}">
              <a16:creationId xmlns:a16="http://schemas.microsoft.com/office/drawing/2014/main" id="{29C2B924-98DF-DBC5-F11F-0B7CFE85D322}"/>
            </a:ext>
          </a:extLst>
        </xdr:cNvPr>
        <xdr:cNvSpPr/>
      </xdr:nvSpPr>
      <xdr:spPr>
        <a:xfrm>
          <a:off x="15170150" y="3549650"/>
          <a:ext cx="1022350" cy="508000"/>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SG" sz="800"/>
            <a:t>To only include Telkomsel rather than Group</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9525</xdr:colOff>
      <xdr:row>1</xdr:row>
      <xdr:rowOff>114300</xdr:rowOff>
    </xdr:from>
    <xdr:to>
      <xdr:col>33</xdr:col>
      <xdr:colOff>133350</xdr:colOff>
      <xdr:row>22</xdr:row>
      <xdr:rowOff>95250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266700</xdr:colOff>
      <xdr:row>57</xdr:row>
      <xdr:rowOff>123825</xdr:rowOff>
    </xdr:from>
    <xdr:to>
      <xdr:col>40</xdr:col>
      <xdr:colOff>590550</xdr:colOff>
      <xdr:row>80</xdr:row>
      <xdr:rowOff>85725</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136071</xdr:colOff>
      <xdr:row>34</xdr:row>
      <xdr:rowOff>118381</xdr:rowOff>
    </xdr:from>
    <xdr:to>
      <xdr:col>42</xdr:col>
      <xdr:colOff>326570</xdr:colOff>
      <xdr:row>51</xdr:row>
      <xdr:rowOff>13607</xdr:rowOff>
    </xdr:to>
    <xdr:graphicFrame macro="">
      <xdr:nvGraphicFramePr>
        <xdr:cNvPr id="12" name="Chart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462643</xdr:colOff>
      <xdr:row>52</xdr:row>
      <xdr:rowOff>186418</xdr:rowOff>
    </xdr:from>
    <xdr:to>
      <xdr:col>32</xdr:col>
      <xdr:colOff>136071</xdr:colOff>
      <xdr:row>67</xdr:row>
      <xdr:rowOff>72118</xdr:rowOff>
    </xdr:to>
    <xdr:graphicFrame macro="">
      <xdr:nvGraphicFramePr>
        <xdr:cNvPr id="15" name="Chart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299357</xdr:colOff>
      <xdr:row>108</xdr:row>
      <xdr:rowOff>104773</xdr:rowOff>
    </xdr:from>
    <xdr:to>
      <xdr:col>19</xdr:col>
      <xdr:colOff>530678</xdr:colOff>
      <xdr:row>125</xdr:row>
      <xdr:rowOff>95248</xdr:rowOff>
    </xdr:to>
    <xdr:graphicFrame macro="">
      <xdr:nvGraphicFramePr>
        <xdr:cNvPr id="16" name="Chart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353786</xdr:colOff>
      <xdr:row>134</xdr:row>
      <xdr:rowOff>63954</xdr:rowOff>
    </xdr:from>
    <xdr:to>
      <xdr:col>20</xdr:col>
      <xdr:colOff>27215</xdr:colOff>
      <xdr:row>148</xdr:row>
      <xdr:rowOff>140154</xdr:rowOff>
    </xdr:to>
    <xdr:graphicFrame macro="">
      <xdr:nvGraphicFramePr>
        <xdr:cNvPr id="17" name="Chart 16">
          <a:extLst>
            <a:ext uri="{FF2B5EF4-FFF2-40B4-BE49-F238E27FC236}">
              <a16:creationId xmlns:a16="http://schemas.microsoft.com/office/drawing/2014/main" id="{00000000-0008-0000-04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421822</xdr:colOff>
      <xdr:row>187</xdr:row>
      <xdr:rowOff>23131</xdr:rowOff>
    </xdr:from>
    <xdr:to>
      <xdr:col>14</xdr:col>
      <xdr:colOff>639536</xdr:colOff>
      <xdr:row>201</xdr:row>
      <xdr:rowOff>99331</xdr:rowOff>
    </xdr:to>
    <xdr:graphicFrame macro="">
      <xdr:nvGraphicFramePr>
        <xdr:cNvPr id="2" name="Chart 1">
          <a:extLst>
            <a:ext uri="{FF2B5EF4-FFF2-40B4-BE49-F238E27FC236}">
              <a16:creationId xmlns:a16="http://schemas.microsoft.com/office/drawing/2014/main" id="{7BA8FA11-FB4D-44D1-B091-CB91333D80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1115786</xdr:colOff>
      <xdr:row>198</xdr:row>
      <xdr:rowOff>118381</xdr:rowOff>
    </xdr:from>
    <xdr:to>
      <xdr:col>8</xdr:col>
      <xdr:colOff>326571</xdr:colOff>
      <xdr:row>213</xdr:row>
      <xdr:rowOff>4081</xdr:rowOff>
    </xdr:to>
    <xdr:graphicFrame macro="">
      <xdr:nvGraphicFramePr>
        <xdr:cNvPr id="4" name="Chart 3">
          <a:extLst>
            <a:ext uri="{FF2B5EF4-FFF2-40B4-BE49-F238E27FC236}">
              <a16:creationId xmlns:a16="http://schemas.microsoft.com/office/drawing/2014/main" id="{41C58B4E-9451-4382-87FC-5358EDB49B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eqt08\TELECOM\TELECOM\EXCEL\FIXED\Old\KPN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gb24506\restore\23010101\TELC\TELCOS\UK\BT\NEWERA\BTMODEL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K_OKOK\Bud_rapp\MNDRAPP\2000\0004\Utrapportert\pres0004%20Business%20Solu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Tell-Us%20Adm-Store-Kunder\&#216;konomi\Periodeavslutning\Res%20Kundedimensjon%202002P2%20EBITDA.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S:\Shared\shared\TELECOMS\STOCKS\EMEA\Indonesia\02%20Indosat\Model\Indosat%20-%20Q4%2022.xlsx" TargetMode="External"/><Relationship Id="rId1" Type="http://schemas.openxmlformats.org/officeDocument/2006/relationships/externalLinkPath" Target="/Shared/shared/TELECOMS/STOCKS/EMEA/Indonesia/02%20Indosat/Model/Indosat%20-%20Q4%202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STAB-U2-50-002\DATA1\KOE\KATALOG\GENERELL\ARKIV-ID\TTSEFJ\AARSPAK2.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Startup" Target="TELCO/MODELS/Emerging/TPSA_WIP.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https://newstreet1385.sharepoint.com/sites/Corp/Shared/TELECOMS/STOCKS/EMEA/Indonesia/03%20XLSmart/Model/XL%20Axiata%20Quarterly%20NSR.xlsx" TargetMode="External"/><Relationship Id="rId1" Type="http://schemas.openxmlformats.org/officeDocument/2006/relationships/externalLinkPath" Target="/sites/Corp/Shared/TELECOMS/STOCKS/EMEA/Indonesia/03%20XLSmart/Model/XL%20Axiata%20Quarterly%20NSR.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S:\Shared\shared\TELECOMS\STOCKS\EMEA\Indonesia\Indonesian%20market%20model.xls" TargetMode="External"/><Relationship Id="rId1" Type="http://schemas.openxmlformats.org/officeDocument/2006/relationships/externalLinkPath" Target="file:///Z:\Shared\shared\TELECOMS\STOCKS\EMEA\Indonesia\Indonesian%20market%20model.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https://newstreet1385.sharepoint.com/sites/Corp/Shared/TELECOMS/STOCKS/EMEA/Indonesia/Indonesian%20market%20model.xlsx" TargetMode="External"/><Relationship Id="rId1" Type="http://schemas.openxmlformats.org/officeDocument/2006/relationships/externalLinkPath" Target="/sites/Corp/Shared/TELECOMS/STOCKS/EMEA/Indonesia/Indonesian%20market%20mode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sr-ln-fs1v\shared\TELECOMS\STOCKS\EMEA\Malaysia\Digi%20model.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Shared\shared\TELECOMS\STOCKS\EMEA\Indonesia\01%20Telkom%20Indonesia\Model\20230103%20PT%20Telkom%20-%20rollover.xlsx" TargetMode="External"/><Relationship Id="rId1" Type="http://schemas.openxmlformats.org/officeDocument/2006/relationships/externalLinkPath" Target="/Shared/shared/TELECOMS/STOCKS/EMEA/Indonesia/01%20Telkom%20Indonesia/Model/20230103%20PT%20Telkom%20-%20rollover.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https://newstreet1385.sharepoint.com/sites/Corp/Shared/TELECOMS/STOCKS/EMEA/Malaysia/02%20Axiata/02%20Model/Axiata%20-%20WIP%20v2.xlsx" TargetMode="External"/><Relationship Id="rId1" Type="http://schemas.openxmlformats.org/officeDocument/2006/relationships/externalLinkPath" Target="/sites/Corp/Shared/TELECOMS/STOCKS/EMEA/Malaysia/02%20Axiata/02%20Model/Axiata%20-%20WIP%20v2.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https://newstreet1385.sharepoint.com/sites/Corp/Shared/TELECOMS/STOCKS/EMEA/Indonesia/01%20Telkom%20Indonesia/Model/PT%20Telkom.xlsx" TargetMode="External"/><Relationship Id="rId1" Type="http://schemas.openxmlformats.org/officeDocument/2006/relationships/externalLinkPath" Target="/sites/Corp/Shared/TELECOMS/STOCKS/EMEA/Indonesia/01%20Telkom%20Indonesia/Model/PT%20Telkom.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Shared/shared/TELECOMS/STOCKS/EMEA/Indonesia/PT%20Telkom.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Shared/shared/TELECOMS/STOCKS/EMEA/Indonesia/Indosa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TELECOMS\STOCKS\EMEA\Malaysia\Digi%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t539562\Local%20Settings\Temporary%20Internet%20Files\OLK9\&#216;k%20per%20kontrakt%20-%20tapsavsetn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STOCKS\EMEA\Russia\MTS\Model\STOCKS\EUROPE\UK\BT\Models\Current\BT5%20Broadband%20Scenari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Koe\Katalog\RAPPORT\Mnd-00\Diverse\maler\Rapportpakke%20Excel%20kva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sdatta/Local%20Settings/Temporary%20Internet%20Files/Content.IE5/YDH85MJN/STOCKS/EUROPE/UK/VOD/Models/Current/Vodafone(2sep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sdatta\Local%20Settings\Temporary%20Internet%20Files\Content.IE5\YDH85MJN\STOCKS\EUROPE\UK\VOD\Models\Current\Vodafone(2sep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Research\Telecoms\Hakan\JapTemplate2GlobalLOND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ELECOMS/STOCKS/ASIA%20(ex-Japan)%20Internet/Akik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link"/>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VEDMENY"/>
      <sheetName val="Omsres"/>
      <sheetName val="BUS SOL Årsverk og ansatte"/>
      <sheetName val="Årsverk og ansatte"/>
      <sheetName val="InvesteringerBUS SOL"/>
      <sheetName val="Investeringer"/>
      <sheetName val="Business Sol"/>
      <sheetName val="Annualiseringstabell"/>
      <sheetName val="Oms.avvik (2)"/>
      <sheetName val="Driftsinntekter"/>
      <sheetName val="Res.avvik (2)"/>
      <sheetName val="Res. før skatt"/>
      <sheetName val="SKILLEARK"/>
      <sheetName val="Årsverk"/>
      <sheetName val="Res. et. felleskost (2)"/>
      <sheetName val=" UTSTYR"/>
      <sheetName val="BD_KOMM."/>
      <sheetName val="BD_KOMM. (2)"/>
      <sheetName val="SI STORK"/>
      <sheetName val=" BASIS"/>
      <sheetName val="DATAN."/>
      <sheetName val="BK_TALE"/>
      <sheetName val=" DKL"/>
      <sheetName val="IDT"/>
      <sheetName val="DR.TJ"/>
      <sheetName val="SENT.ENH"/>
      <sheetName val="TELF.SELSK"/>
      <sheetName val="Elimineringer"/>
      <sheetName val="Res.avvik"/>
      <sheetName val="Oms.avvik"/>
    </sheetNames>
    <sheetDataSet>
      <sheetData sheetId="0"/>
      <sheetData sheetId="1"/>
      <sheetData sheetId="2"/>
      <sheetData sheetId="3"/>
      <sheetData sheetId="4"/>
      <sheetData sheetId="5"/>
      <sheetData sheetId="6" refreshError="1">
        <row r="8">
          <cell r="F8" t="str">
            <v>Denne periode</v>
          </cell>
          <cell r="I8" t="str">
            <v>Hittil i år</v>
          </cell>
          <cell r="K8" t="str">
            <v xml:space="preserve">Årsbudsjett </v>
          </cell>
        </row>
        <row r="10">
          <cell r="A10" t="str">
            <v>Mill. kr.</v>
          </cell>
          <cell r="E10" t="str">
            <v>F04</v>
          </cell>
          <cell r="F10" t="str">
            <v>B04</v>
          </cell>
          <cell r="G10" t="str">
            <v>Avvik</v>
          </cell>
          <cell r="H10" t="str">
            <v>F04</v>
          </cell>
          <cell r="I10" t="str">
            <v>B04</v>
          </cell>
          <cell r="J10" t="str">
            <v>Avvik</v>
          </cell>
          <cell r="K10">
            <v>2000</v>
          </cell>
        </row>
        <row r="12">
          <cell r="A12" t="str">
            <v>Eksterne driftsinntekter</v>
          </cell>
          <cell r="E12">
            <v>91.320999999999998</v>
          </cell>
          <cell r="F12">
            <v>136.584</v>
          </cell>
          <cell r="G12">
            <v>-45.263000000000005</v>
          </cell>
          <cell r="H12">
            <v>372.24400000000003</v>
          </cell>
          <cell r="I12">
            <v>486.55200000000002</v>
          </cell>
          <cell r="J12">
            <v>-114.30799999999999</v>
          </cell>
          <cell r="K12">
            <v>1759.3979999999999</v>
          </cell>
        </row>
        <row r="13">
          <cell r="A13" t="str">
            <v>Driftsinntekter innen Telenor</v>
          </cell>
          <cell r="E13">
            <v>81.988</v>
          </cell>
          <cell r="F13">
            <v>119.511</v>
          </cell>
          <cell r="G13">
            <v>-37.522999999999996</v>
          </cell>
          <cell r="H13">
            <v>375.31900000000002</v>
          </cell>
          <cell r="I13">
            <v>459.3</v>
          </cell>
          <cell r="J13">
            <v>-83.980999999999995</v>
          </cell>
          <cell r="K13">
            <v>1552.173</v>
          </cell>
        </row>
        <row r="14">
          <cell r="A14" t="str">
            <v>Driftsinntekter innen Business Solution</v>
          </cell>
          <cell r="E14">
            <v>0</v>
          </cell>
          <cell r="F14">
            <v>0</v>
          </cell>
          <cell r="G14">
            <v>0</v>
          </cell>
          <cell r="H14">
            <v>0</v>
          </cell>
          <cell r="I14">
            <v>0</v>
          </cell>
          <cell r="J14">
            <v>0</v>
          </cell>
          <cell r="K14">
            <v>0</v>
          </cell>
        </row>
        <row r="15">
          <cell r="A15" t="str">
            <v>Gevinst ved salg av VDM og virksomhet eksternt</v>
          </cell>
          <cell r="E15">
            <v>0</v>
          </cell>
          <cell r="F15">
            <v>0</v>
          </cell>
          <cell r="G15">
            <v>0</v>
          </cell>
          <cell r="H15">
            <v>0</v>
          </cell>
          <cell r="I15">
            <v>0</v>
          </cell>
          <cell r="J15">
            <v>0</v>
          </cell>
          <cell r="K15">
            <v>0</v>
          </cell>
        </row>
        <row r="16">
          <cell r="A16" t="str">
            <v>SUM OMSETNING</v>
          </cell>
          <cell r="E16">
            <v>173.309</v>
          </cell>
          <cell r="F16">
            <v>256.09500000000003</v>
          </cell>
          <cell r="G16">
            <v>-82.786000000000001</v>
          </cell>
          <cell r="H16">
            <v>747.5630000000001</v>
          </cell>
          <cell r="I16">
            <v>945.85200000000009</v>
          </cell>
          <cell r="J16">
            <v>-198.28899999999999</v>
          </cell>
          <cell r="K16">
            <v>3311.5709999999999</v>
          </cell>
        </row>
        <row r="18">
          <cell r="A18" t="str">
            <v>Eksterne vare- og trafikkostnader</v>
          </cell>
          <cell r="E18">
            <v>82.016000000000005</v>
          </cell>
          <cell r="F18">
            <v>139.30600000000001</v>
          </cell>
          <cell r="G18">
            <v>57.290000000000006</v>
          </cell>
          <cell r="H18">
            <v>378.68400000000003</v>
          </cell>
          <cell r="I18">
            <v>517.95600000000002</v>
          </cell>
          <cell r="J18">
            <v>139.27199999999999</v>
          </cell>
          <cell r="K18">
            <v>1788.82</v>
          </cell>
        </row>
        <row r="19">
          <cell r="A19" t="str">
            <v>Vare- og trafikkostnad innen Telenor</v>
          </cell>
          <cell r="E19">
            <v>27.591999999999999</v>
          </cell>
          <cell r="F19">
            <v>30.11</v>
          </cell>
          <cell r="G19">
            <v>2.5180000000000007</v>
          </cell>
          <cell r="H19">
            <v>123.145</v>
          </cell>
          <cell r="I19">
            <v>115.96299999999999</v>
          </cell>
          <cell r="J19">
            <v>-7.1820000000000022</v>
          </cell>
          <cell r="K19">
            <v>393.41800000000001</v>
          </cell>
        </row>
        <row r="20">
          <cell r="A20" t="str">
            <v>Vare- og trafikkostnad innen Business Solution</v>
          </cell>
          <cell r="E20">
            <v>0</v>
          </cell>
          <cell r="F20">
            <v>0</v>
          </cell>
          <cell r="G20">
            <v>0</v>
          </cell>
          <cell r="H20">
            <v>0</v>
          </cell>
          <cell r="I20">
            <v>0</v>
          </cell>
          <cell r="J20">
            <v>0</v>
          </cell>
          <cell r="K20">
            <v>0</v>
          </cell>
        </row>
        <row r="21">
          <cell r="A21" t="str">
            <v>SUM VAREKOST</v>
          </cell>
          <cell r="E21">
            <v>109.608</v>
          </cell>
          <cell r="F21">
            <v>169.416</v>
          </cell>
          <cell r="G21">
            <v>59.808000000000007</v>
          </cell>
          <cell r="H21">
            <v>501.82900000000001</v>
          </cell>
          <cell r="I21">
            <v>633.91899999999998</v>
          </cell>
          <cell r="J21">
            <v>132.08999999999997</v>
          </cell>
          <cell r="K21">
            <v>2182.2379999999998</v>
          </cell>
        </row>
        <row r="23">
          <cell r="A23" t="str">
            <v>DEKNINGSBIDRAG</v>
          </cell>
          <cell r="E23">
            <v>63.700999999999993</v>
          </cell>
          <cell r="F23">
            <v>86.67900000000003</v>
          </cell>
          <cell r="G23">
            <v>-22.978000000000037</v>
          </cell>
          <cell r="H23">
            <v>245.73400000000009</v>
          </cell>
          <cell r="I23">
            <v>311.93300000000011</v>
          </cell>
          <cell r="J23">
            <v>-66.199000000000012</v>
          </cell>
          <cell r="K23">
            <v>1129.3330000000001</v>
          </cell>
        </row>
        <row r="25">
          <cell r="A25" t="str">
            <v>Beh.endring egentilvirkede amidl</v>
          </cell>
          <cell r="E25">
            <v>0</v>
          </cell>
          <cell r="F25">
            <v>0</v>
          </cell>
          <cell r="G25">
            <v>0</v>
          </cell>
          <cell r="H25">
            <v>0</v>
          </cell>
          <cell r="I25">
            <v>0</v>
          </cell>
          <cell r="J25">
            <v>0</v>
          </cell>
          <cell r="K25">
            <v>0</v>
          </cell>
        </row>
        <row r="26">
          <cell r="A26" t="str">
            <v>Lønns- og personalkostnader eksternt</v>
          </cell>
          <cell r="E26">
            <v>56.027000000000001</v>
          </cell>
          <cell r="F26">
            <v>61.064999999999998</v>
          </cell>
          <cell r="G26">
            <v>5.0379999999999967</v>
          </cell>
          <cell r="H26">
            <v>224.292</v>
          </cell>
          <cell r="I26">
            <v>248.75700000000001</v>
          </cell>
          <cell r="J26">
            <v>24.465000000000003</v>
          </cell>
          <cell r="K26">
            <v>726.31299999999999</v>
          </cell>
        </row>
        <row r="27">
          <cell r="A27" t="str">
            <v>Lønns- og personalkostnader innen Telenor</v>
          </cell>
          <cell r="E27">
            <v>-5.7000000000000002E-2</v>
          </cell>
          <cell r="F27">
            <v>0.94799999999999995</v>
          </cell>
          <cell r="G27">
            <v>1.0049999999999999</v>
          </cell>
          <cell r="H27">
            <v>3.2949999999999999</v>
          </cell>
          <cell r="I27">
            <v>3.746</v>
          </cell>
          <cell r="J27">
            <v>0.45100000000000007</v>
          </cell>
          <cell r="K27">
            <v>11.271000000000001</v>
          </cell>
        </row>
        <row r="28">
          <cell r="A28" t="str">
            <v>Lønns- og personalkostnader innen Business Solution</v>
          </cell>
          <cell r="E28">
            <v>0</v>
          </cell>
          <cell r="F28">
            <v>0</v>
          </cell>
          <cell r="G28">
            <v>0</v>
          </cell>
          <cell r="H28">
            <v>0</v>
          </cell>
          <cell r="I28">
            <v>0</v>
          </cell>
          <cell r="J28">
            <v>0</v>
          </cell>
          <cell r="K28">
            <v>0</v>
          </cell>
        </row>
        <row r="29">
          <cell r="A29" t="str">
            <v>Andre eksterne driftskostnader</v>
          </cell>
          <cell r="E29">
            <v>18.728999999999999</v>
          </cell>
          <cell r="F29">
            <v>23.719000000000001</v>
          </cell>
          <cell r="G29">
            <v>4.990000000000002</v>
          </cell>
          <cell r="H29">
            <v>91.078000000000003</v>
          </cell>
          <cell r="I29">
            <v>105.411</v>
          </cell>
          <cell r="J29">
            <v>14.332999999999998</v>
          </cell>
          <cell r="K29">
            <v>303.50400000000002</v>
          </cell>
        </row>
        <row r="30">
          <cell r="A30" t="str">
            <v>Andre driftskostnader innen Telenor</v>
          </cell>
          <cell r="E30">
            <v>12.3</v>
          </cell>
          <cell r="F30">
            <v>15.862</v>
          </cell>
          <cell r="G30">
            <v>3.5619999999999994</v>
          </cell>
          <cell r="H30">
            <v>56.222999999999999</v>
          </cell>
          <cell r="I30">
            <v>58.762</v>
          </cell>
          <cell r="J30">
            <v>2.5390000000000015</v>
          </cell>
          <cell r="K30">
            <v>180.798</v>
          </cell>
        </row>
        <row r="31">
          <cell r="A31" t="str">
            <v>Andre driftskostnader innen Business Solution</v>
          </cell>
          <cell r="E31">
            <v>0</v>
          </cell>
          <cell r="F31">
            <v>0</v>
          </cell>
          <cell r="G31">
            <v>0</v>
          </cell>
          <cell r="H31">
            <v>0</v>
          </cell>
          <cell r="I31">
            <v>0</v>
          </cell>
          <cell r="J31">
            <v>0</v>
          </cell>
          <cell r="K31">
            <v>0</v>
          </cell>
        </row>
        <row r="32">
          <cell r="A32" t="str">
            <v>Avskrivninger</v>
          </cell>
          <cell r="E32">
            <v>5.12</v>
          </cell>
          <cell r="F32">
            <v>6.6550000000000002</v>
          </cell>
          <cell r="G32">
            <v>1.5350000000000001</v>
          </cell>
          <cell r="H32">
            <v>20.376999999999999</v>
          </cell>
          <cell r="I32">
            <v>25.831</v>
          </cell>
          <cell r="J32">
            <v>5.4540000000000006</v>
          </cell>
          <cell r="K32">
            <v>84.128</v>
          </cell>
        </row>
        <row r="33">
          <cell r="A33" t="str">
            <v>Nedskrivninger</v>
          </cell>
        </row>
        <row r="34">
          <cell r="A34" t="str">
            <v>Tap ved salg av VDM og virksomhet eksternt</v>
          </cell>
        </row>
        <row r="35">
          <cell r="A35" t="str">
            <v>Sum Andre driftskostnader</v>
          </cell>
          <cell r="E35">
            <v>92.119</v>
          </cell>
          <cell r="F35">
            <v>108.249</v>
          </cell>
          <cell r="G35">
            <v>16.129999999999995</v>
          </cell>
          <cell r="H35">
            <v>395.26499999999999</v>
          </cell>
          <cell r="I35">
            <v>442.50700000000001</v>
          </cell>
          <cell r="J35">
            <v>47.242000000000004</v>
          </cell>
          <cell r="K35">
            <v>1306.0139999999999</v>
          </cell>
        </row>
        <row r="37">
          <cell r="A37" t="str">
            <v>DRIFTSRESULTAT</v>
          </cell>
          <cell r="E37">
            <v>-28.418000000000006</v>
          </cell>
          <cell r="F37">
            <v>-21.569999999999965</v>
          </cell>
          <cell r="G37">
            <v>-6.8480000000000416</v>
          </cell>
          <cell r="H37">
            <v>-149.53099999999989</v>
          </cell>
          <cell r="I37">
            <v>-130.5739999999999</v>
          </cell>
          <cell r="J37">
            <v>-18.956999999999994</v>
          </cell>
          <cell r="K37">
            <v>-176.68099999999981</v>
          </cell>
        </row>
        <row r="39">
          <cell r="A39" t="str">
            <v>Andel resultat tilknyttede selskaper</v>
          </cell>
          <cell r="E39">
            <v>-0.99299999999999999</v>
          </cell>
          <cell r="F39">
            <v>-0.16900000000000001</v>
          </cell>
          <cell r="G39">
            <v>-0.82399999999999995</v>
          </cell>
          <cell r="H39">
            <v>-3.2850000000000001</v>
          </cell>
          <cell r="I39">
            <v>-0.222</v>
          </cell>
          <cell r="J39">
            <v>-3.0630000000000002</v>
          </cell>
          <cell r="K39">
            <v>-4.4160000000000004</v>
          </cell>
        </row>
        <row r="41">
          <cell r="A41" t="str">
            <v>Eksterne finansinntekter</v>
          </cell>
          <cell r="E41">
            <v>0.85799999999999998</v>
          </cell>
          <cell r="F41">
            <v>0.03</v>
          </cell>
          <cell r="G41">
            <v>0.82799999999999996</v>
          </cell>
          <cell r="H41">
            <v>1.841</v>
          </cell>
          <cell r="I41">
            <v>0.12</v>
          </cell>
          <cell r="J41">
            <v>1.7210000000000001</v>
          </cell>
          <cell r="K41">
            <v>0.36</v>
          </cell>
        </row>
        <row r="42">
          <cell r="A42" t="str">
            <v>Finansinntekter innen Telenor</v>
          </cell>
          <cell r="E42">
            <v>1.8140000000000001</v>
          </cell>
          <cell r="F42">
            <v>0.66200000000000003</v>
          </cell>
          <cell r="G42">
            <v>1.1520000000000001</v>
          </cell>
          <cell r="H42">
            <v>6.95</v>
          </cell>
          <cell r="I42">
            <v>2.6459999999999999</v>
          </cell>
          <cell r="J42">
            <v>4.3040000000000003</v>
          </cell>
          <cell r="K42">
            <v>7.9379999999999988</v>
          </cell>
        </row>
        <row r="43">
          <cell r="A43" t="str">
            <v>Gevinst ved salg av finansielle omløpsmidler og anleggsmidler eksternt</v>
          </cell>
          <cell r="E43">
            <v>0</v>
          </cell>
          <cell r="F43">
            <v>0</v>
          </cell>
          <cell r="G43">
            <v>0</v>
          </cell>
          <cell r="H43">
            <v>0</v>
          </cell>
          <cell r="I43">
            <v>0</v>
          </cell>
          <cell r="J43">
            <v>0</v>
          </cell>
          <cell r="K43">
            <v>0</v>
          </cell>
        </row>
        <row r="44">
          <cell r="A44" t="str">
            <v>Eksterne finanskostnader</v>
          </cell>
          <cell r="E44">
            <v>-1.8009999999999999</v>
          </cell>
          <cell r="F44">
            <v>-2.9000000000000001E-2</v>
          </cell>
          <cell r="G44">
            <v>-1.772</v>
          </cell>
          <cell r="H44">
            <v>-5.2569999999999997</v>
          </cell>
          <cell r="I44">
            <v>-0.11799999999999999</v>
          </cell>
          <cell r="J44">
            <v>-5.1389999999999993</v>
          </cell>
          <cell r="K44">
            <v>-0.35499999999999998</v>
          </cell>
        </row>
        <row r="45">
          <cell r="A45" t="str">
            <v>Finanskostnader innen Telenor</v>
          </cell>
          <cell r="E45">
            <v>-0.67900000000000005</v>
          </cell>
          <cell r="F45">
            <v>0</v>
          </cell>
          <cell r="G45">
            <v>-0.67900000000000005</v>
          </cell>
          <cell r="H45">
            <v>-1.7390000000000001</v>
          </cell>
          <cell r="I45">
            <v>0</v>
          </cell>
          <cell r="J45">
            <v>-1.7390000000000001</v>
          </cell>
          <cell r="K45">
            <v>0</v>
          </cell>
        </row>
        <row r="46">
          <cell r="A46" t="str">
            <v>Tap ved salg av finansielle omløpsmidler og anleggsmidler eksternt</v>
          </cell>
          <cell r="E46">
            <v>0</v>
          </cell>
          <cell r="F46">
            <v>0</v>
          </cell>
          <cell r="H46">
            <v>0</v>
          </cell>
          <cell r="I46">
            <v>0</v>
          </cell>
          <cell r="J46">
            <v>0</v>
          </cell>
          <cell r="K46">
            <v>0</v>
          </cell>
        </row>
        <row r="47">
          <cell r="A47" t="str">
            <v>Netto finansposter</v>
          </cell>
          <cell r="E47">
            <v>0.19200000000000017</v>
          </cell>
          <cell r="F47">
            <v>0.66300000000000003</v>
          </cell>
          <cell r="G47">
            <v>-0.47099999999999986</v>
          </cell>
          <cell r="H47">
            <v>1.7950000000000006</v>
          </cell>
          <cell r="I47">
            <v>2.6480000000000001</v>
          </cell>
          <cell r="J47">
            <v>-0.85299999999999954</v>
          </cell>
          <cell r="K47">
            <v>7.9429999999999978</v>
          </cell>
        </row>
        <row r="49">
          <cell r="A49" t="str">
            <v>RESULTAT FØR FORDELTE FELLESKOSTNADER</v>
          </cell>
          <cell r="E49">
            <v>-29.219000000000005</v>
          </cell>
          <cell r="F49">
            <v>-21.075999999999965</v>
          </cell>
          <cell r="G49">
            <v>-8.1430000000000415</v>
          </cell>
          <cell r="H49">
            <v>-151.0209999999999</v>
          </cell>
          <cell r="I49">
            <v>-128.14799999999991</v>
          </cell>
          <cell r="J49">
            <v>-22.87299999999999</v>
          </cell>
        </row>
        <row r="51">
          <cell r="A51" t="str">
            <v>Fordelte felleskostnader</v>
          </cell>
          <cell r="E51">
            <v>0</v>
          </cell>
          <cell r="F51">
            <v>0</v>
          </cell>
          <cell r="G51">
            <v>0</v>
          </cell>
          <cell r="H51">
            <v>0</v>
          </cell>
          <cell r="I51">
            <v>0</v>
          </cell>
          <cell r="J51">
            <v>0</v>
          </cell>
        </row>
        <row r="53">
          <cell r="A53" t="str">
            <v>RESULTAT FØR SKATT</v>
          </cell>
          <cell r="E53">
            <v>-29.219000000000005</v>
          </cell>
          <cell r="F53">
            <v>-21.075999999999965</v>
          </cell>
          <cell r="G53">
            <v>-8.1430000000000415</v>
          </cell>
          <cell r="H53">
            <v>-151.0209999999999</v>
          </cell>
          <cell r="I53">
            <v>-128.14799999999991</v>
          </cell>
          <cell r="J53">
            <v>-22.87299999999999</v>
          </cell>
          <cell r="K53">
            <v>-173.15399999999983</v>
          </cell>
        </row>
        <row r="55">
          <cell r="A55" t="str">
            <v>Skatt</v>
          </cell>
        </row>
        <row r="57">
          <cell r="A57" t="str">
            <v>Minoritetsinteresser</v>
          </cell>
        </row>
        <row r="59">
          <cell r="A59" t="str">
            <v>Resultat etter skatt (årsresultat)</v>
          </cell>
        </row>
        <row r="61">
          <cell r="A61" t="str">
            <v>NØKKELTALL:</v>
          </cell>
        </row>
        <row r="62">
          <cell r="A62" t="str">
            <v>Dekningsgrad</v>
          </cell>
          <cell r="E62">
            <v>0.36755736863059618</v>
          </cell>
          <cell r="F62">
            <v>0.33846424178527507</v>
          </cell>
          <cell r="G62">
            <v>0.27755900756166546</v>
          </cell>
          <cell r="H62">
            <v>0.32871343284780019</v>
          </cell>
          <cell r="I62">
            <v>0.32979049576466518</v>
          </cell>
          <cell r="J62">
            <v>0.33385109612736974</v>
          </cell>
          <cell r="K62">
            <v>0.34102635878862331</v>
          </cell>
        </row>
        <row r="63">
          <cell r="A63" t="str">
            <v>Driftsmargin</v>
          </cell>
          <cell r="E63">
            <v>-0.1639730192892464</v>
          </cell>
          <cell r="F63">
            <v>-8.4226556551279655E-2</v>
          </cell>
          <cell r="G63">
            <v>8.271930036479648E-2</v>
          </cell>
          <cell r="H63">
            <v>-0.20002461331018237</v>
          </cell>
          <cell r="I63">
            <v>-0.13804908167451133</v>
          </cell>
          <cell r="J63">
            <v>9.5602882661166247E-2</v>
          </cell>
          <cell r="K63">
            <v>-5.3352623271552935E-2</v>
          </cell>
        </row>
        <row r="64">
          <cell r="A64" t="str">
            <v>Resultatmargin</v>
          </cell>
          <cell r="E64">
            <v>-0.16859482196539133</v>
          </cell>
          <cell r="F64">
            <v>-8.2297584880610564E-2</v>
          </cell>
          <cell r="G64">
            <v>9.8362041891141519E-2</v>
          </cell>
          <cell r="H64">
            <v>-0.2020177563630087</v>
          </cell>
          <cell r="I64">
            <v>-0.13548419837352979</v>
          </cell>
          <cell r="J64">
            <v>0.11535183494797993</v>
          </cell>
          <cell r="K64">
            <v>-5.2287569857327486E-2</v>
          </cell>
        </row>
        <row r="65">
          <cell r="A65" t="str">
            <v>Resultatmargin etter fordelte kostnader</v>
          </cell>
          <cell r="E65">
            <v>-0.16859482196539133</v>
          </cell>
          <cell r="F65">
            <v>-8.2297584880610564E-2</v>
          </cell>
          <cell r="G65">
            <v>9.8362041891141519E-2</v>
          </cell>
          <cell r="H65">
            <v>-0.2020177563630087</v>
          </cell>
          <cell r="I65">
            <v>-0.13548419837352979</v>
          </cell>
          <cell r="J65">
            <v>0.11535183494797993</v>
          </cell>
          <cell r="K65">
            <v>-5.2287569857327486E-2</v>
          </cell>
        </row>
        <row r="66">
          <cell r="A66" t="str">
            <v>Driftskostnad i % av omsetning 1)</v>
          </cell>
          <cell r="E66">
            <v>0.43134516961034913</v>
          </cell>
          <cell r="F66">
            <v>0.33106464397977309</v>
          </cell>
          <cell r="G66">
            <v>-0.12113159229821466</v>
          </cell>
          <cell r="H66">
            <v>0.42186411044955402</v>
          </cell>
          <cell r="I66">
            <v>0.37444335900331127</v>
          </cell>
          <cell r="J66">
            <v>-0.19566390470474915</v>
          </cell>
          <cell r="K66">
            <v>0.31097536486459149</v>
          </cell>
        </row>
        <row r="67">
          <cell r="A67" t="str">
            <v>Pers.kost pr. årsverk 2) 3)</v>
          </cell>
          <cell r="E67">
            <v>0.2795617817916457</v>
          </cell>
          <cell r="F67">
            <v>0.27260063898778492</v>
          </cell>
          <cell r="G67">
            <v>-6.961142803860787E-3</v>
          </cell>
          <cell r="H67">
            <v>0.27430440039273279</v>
          </cell>
          <cell r="I67">
            <v>0.28494292301723145</v>
          </cell>
          <cell r="J67">
            <v>1.0638522624498659E-2</v>
          </cell>
          <cell r="K67">
            <v>797.12128362435112</v>
          </cell>
        </row>
        <row r="68">
          <cell r="A68" t="str">
            <v>Andre dr.kost. pr. årsverk 2) 3)</v>
          </cell>
          <cell r="E68">
            <v>0</v>
          </cell>
          <cell r="F68" t="e">
            <v>#DIV/0!</v>
          </cell>
          <cell r="G68" t="e">
            <v>#DIV/0!</v>
          </cell>
          <cell r="J68">
            <v>0</v>
          </cell>
          <cell r="K68">
            <v>333.09261718449909</v>
          </cell>
        </row>
        <row r="70">
          <cell r="A70" t="str">
            <v>Årsverk - egne</v>
          </cell>
          <cell r="H70">
            <v>1057</v>
          </cell>
          <cell r="I70">
            <v>1195</v>
          </cell>
          <cell r="J70">
            <v>138</v>
          </cell>
          <cell r="K70">
            <v>1224</v>
          </cell>
        </row>
        <row r="71">
          <cell r="A71" t="str">
            <v>Årsverk - innleide</v>
          </cell>
          <cell r="H71">
            <v>59</v>
          </cell>
          <cell r="I71">
            <v>31</v>
          </cell>
          <cell r="J71">
            <v>-28</v>
          </cell>
          <cell r="K71">
            <v>21</v>
          </cell>
        </row>
        <row r="73">
          <cell r="A73" t="str">
            <v>Investeringer</v>
          </cell>
          <cell r="H73">
            <v>13</v>
          </cell>
          <cell r="I73">
            <v>93</v>
          </cell>
          <cell r="J73">
            <v>80</v>
          </cell>
          <cell r="K73">
            <v>263</v>
          </cell>
        </row>
        <row r="75">
          <cell r="A75" t="str">
            <v>1) Driftskostnad = Pers.kost. + andre driftskostnader</v>
          </cell>
        </row>
        <row r="76">
          <cell r="A76" t="str">
            <v>2) Annualisert</v>
          </cell>
        </row>
        <row r="77">
          <cell r="A77" t="str">
            <v>3) Tusen kr.</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sheetName val="2002 Total"/>
      <sheetName val="EBITDA mnd"/>
      <sheetName val="R2002"/>
      <sheetName val="B2002"/>
      <sheetName val="ASK"/>
      <sheetName val="Standardkalkyle"/>
      <sheetName val="Diagram DB"/>
      <sheetName val="Omsetning diagram"/>
      <sheetName val="Grunnlag diagram"/>
      <sheetName val="Grunndata"/>
      <sheetName val="A-sted"/>
      <sheetName val="K-kost"/>
    </sheetNames>
    <sheetDataSet>
      <sheetData sheetId="0" refreshError="1"/>
      <sheetData sheetId="1"/>
      <sheetData sheetId="2" refreshError="1"/>
      <sheetData sheetId="3"/>
      <sheetData sheetId="4"/>
      <sheetData sheetId="5" refreshError="1"/>
      <sheetData sheetId="6"/>
      <sheetData sheetId="7" refreshError="1"/>
      <sheetData sheetId="8" refreshError="1"/>
      <sheetData sheetId="9" refreshError="1"/>
      <sheetData sheetId="10" refreshError="1">
        <row r="3">
          <cell r="A3">
            <v>1</v>
          </cell>
          <cell r="B3" t="str">
            <v>Januar</v>
          </cell>
          <cell r="C3">
            <v>1</v>
          </cell>
        </row>
        <row r="4">
          <cell r="A4">
            <v>2</v>
          </cell>
          <cell r="B4" t="str">
            <v>Februar</v>
          </cell>
          <cell r="C4">
            <v>2</v>
          </cell>
        </row>
        <row r="5">
          <cell r="A5">
            <v>3</v>
          </cell>
          <cell r="B5" t="str">
            <v>Mars</v>
          </cell>
          <cell r="C5">
            <v>3</v>
          </cell>
        </row>
        <row r="6">
          <cell r="A6">
            <v>4</v>
          </cell>
          <cell r="B6" t="str">
            <v>April</v>
          </cell>
          <cell r="C6">
            <v>4</v>
          </cell>
        </row>
        <row r="7">
          <cell r="A7">
            <v>5</v>
          </cell>
          <cell r="B7" t="str">
            <v>Mai</v>
          </cell>
          <cell r="C7">
            <v>5</v>
          </cell>
        </row>
        <row r="8">
          <cell r="A8">
            <v>6</v>
          </cell>
          <cell r="B8" t="str">
            <v>Juni</v>
          </cell>
          <cell r="C8">
            <v>6</v>
          </cell>
        </row>
        <row r="9">
          <cell r="A9">
            <v>7</v>
          </cell>
          <cell r="B9" t="str">
            <v>Juli</v>
          </cell>
          <cell r="C9">
            <v>7</v>
          </cell>
        </row>
        <row r="10">
          <cell r="A10">
            <v>8</v>
          </cell>
          <cell r="B10" t="str">
            <v>August</v>
          </cell>
          <cell r="C10">
            <v>8</v>
          </cell>
        </row>
        <row r="11">
          <cell r="A11">
            <v>9</v>
          </cell>
          <cell r="B11" t="str">
            <v>September</v>
          </cell>
          <cell r="C11">
            <v>9</v>
          </cell>
        </row>
        <row r="12">
          <cell r="A12">
            <v>10</v>
          </cell>
          <cell r="B12" t="str">
            <v>Oktober</v>
          </cell>
          <cell r="C12">
            <v>10</v>
          </cell>
        </row>
        <row r="13">
          <cell r="A13">
            <v>11</v>
          </cell>
          <cell r="B13" t="str">
            <v>November</v>
          </cell>
          <cell r="C13">
            <v>11</v>
          </cell>
        </row>
        <row r="14">
          <cell r="A14">
            <v>12</v>
          </cell>
          <cell r="B14" t="str">
            <v>Desember</v>
          </cell>
          <cell r="C14">
            <v>12</v>
          </cell>
        </row>
      </sheetData>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SOP"/>
      <sheetName val="Financials"/>
      <sheetName val="Mobile"/>
      <sheetName val="MIDI"/>
      <sheetName val="Fixed Services"/>
      <sheetName val="Anna"/>
      <sheetName val="Consensus"/>
      <sheetName val="Forecast changes"/>
      <sheetName val="Vs Consensus"/>
      <sheetName val="Merger with Hutchison"/>
      <sheetName val="Lisbon - New"/>
      <sheetName val="New vs old"/>
      <sheetName val="Contents"/>
      <sheetName val="Version History"/>
      <sheetName val="link for sector review"/>
      <sheetName val="DCF"/>
      <sheetName val="Link for Qtel"/>
      <sheetName val="For notes"/>
      <sheetName val="Mobile data estimation"/>
      <sheetName val="Liquidity"/>
      <sheetName val="Charts"/>
      <sheetName val="Debt maturity"/>
      <sheetName val="LISBON"/>
      <sheetName val="XL Indosat"/>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23">
          <cell r="C123" t="str">
            <v>Notes:</v>
          </cell>
        </row>
        <row r="124">
          <cell r="C124" t="str">
            <v>By default, this downloaded page includes data from 1QFY-2014 (1QFY-2014) to FY-2030 (FY-2030)</v>
          </cell>
        </row>
        <row r="125">
          <cell r="C125" t="str">
            <v>It contains the same period types as those selected for the worksheet on the Visible Alpha web platform.</v>
          </cell>
        </row>
        <row r="126">
          <cell r="C126" t="str">
            <v>Visible Alpha has Quarterly and Annual data for ISAT_ID from Jan 2014 to Dec 2032</v>
          </cell>
        </row>
      </sheetData>
      <sheetData sheetId="8" refreshError="1"/>
      <sheetData sheetId="9" refreshError="1"/>
      <sheetData sheetId="10" refreshError="1"/>
      <sheetData sheetId="11" refreshError="1"/>
      <sheetData sheetId="12" refreshError="1"/>
      <sheetData sheetId="13">
        <row r="5">
          <cell r="B5" t="str">
            <v>Workbook Title</v>
          </cell>
        </row>
        <row r="6">
          <cell r="B6" t="str">
            <v>Workbook Objective</v>
          </cell>
        </row>
        <row r="8">
          <cell r="B8" t="str">
            <v>Workbook Version</v>
          </cell>
        </row>
        <row r="9">
          <cell r="B9" t="str">
            <v>Under construction</v>
          </cell>
        </row>
        <row r="14">
          <cell r="B14" t="str">
            <v>Workbook Author</v>
          </cell>
        </row>
        <row r="15">
          <cell r="B15" t="str">
            <v>Workbook Author's Email Address</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sheetName val="Grunndata"/>
      <sheetName val="tot"/>
      <sheetName val="CAPEX LRBP_Input"/>
      <sheetName val="Forside"/>
      <sheetName val="Front"/>
      <sheetName val="Sheet-8"/>
      <sheetName val="สรุปราคาค่าก่อสร้าง"/>
      <sheetName val="TB-2001-Apr'01"/>
      <sheetName val="TrialBalance Q3-2002"/>
      <sheetName val="1602-97"/>
      <sheetName val="19"/>
      <sheetName val="K-8"/>
      <sheetName val="เงินกู้ธนชาติ"/>
      <sheetName val="List_of_New_Sites_Propose2"/>
      <sheetName val="ADJ - RATE"/>
      <sheetName val="TOTAL PGS Group"/>
      <sheetName val="Sheet3"/>
      <sheetName val="Mar21"/>
      <sheetName val="Dtn-Jan 21  "/>
      <sheetName val="DTAC Telenor"/>
      <sheetName val="Account code for NewERP"/>
      <sheetName val="RC-New (VF.Feb21)"/>
      <sheetName val="list"/>
      <sheetName val="AARSPAK2"/>
      <sheetName val="Sheet1"/>
      <sheetName val="Employees"/>
      <sheetName val="UAD"/>
      <sheetName val="Basis 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tats"/>
      <sheetName val="Report Template"/>
      <sheetName val="Shareholder Structure"/>
      <sheetName val="Tariffs&amp;Traffic"/>
      <sheetName val="TPSA_Model"/>
      <sheetName val="__FDSCACHE__"/>
      <sheetName val="GSM"/>
      <sheetName val="Centertel_Model"/>
      <sheetName val="Centertel Consolidations"/>
      <sheetName val="TPSA_Capex"/>
      <sheetName val="TPSA_Group"/>
      <sheetName val="mwareValPrintout"/>
      <sheetName val="mwareTaxoPres"/>
      <sheetName val="Group_DCF"/>
      <sheetName val="Valuation Multiples"/>
      <sheetName val="Valuation Chart"/>
      <sheetName val="TPSA Q"/>
      <sheetName val="Dividend Chart"/>
      <sheetName val="Quarterly"/>
      <sheetName val="Consensus"/>
      <sheetName val="Mobile Ops Summary"/>
      <sheetName val="Centertel_Fins"/>
      <sheetName val="IS(PAS)consol"/>
      <sheetName val="CF(PAS)unconsol"/>
      <sheetName val="IS(PAS)unconsol"/>
      <sheetName val="GE 2"/>
      <sheetName val="Debt Summary"/>
      <sheetName val="Changes"/>
      <sheetName val="Benchmarking"/>
      <sheetName val="Chart Data"/>
      <sheetName val="Charts"/>
      <sheetName val="Sublink churn"/>
      <sheetName val="Link"/>
      <sheetName val="GE Upload"/>
      <sheetName val="FT-Link"/>
      <sheetName val="mwareDates"/>
      <sheetName val="Operational Changes"/>
      <sheetName val="mwarePreview"/>
      <sheetName val="Taglink"/>
      <sheetName val="MSAM Link"/>
      <sheetName val="TPSAQ link"/>
      <sheetName val="Quarterly_Table"/>
      <sheetName val="Quarterly Segments"/>
      <sheetName val="BS(PAS)unconsol"/>
      <sheetName val="CF(PAS)consol"/>
      <sheetName val="BS(PAS)consol"/>
      <sheetName val="Proportional"/>
      <sheetName val="Centertel_DCF"/>
      <sheetName val="TPSA_DCF"/>
      <sheetName val="mwareSettings"/>
      <sheetName val="Cellular_Market"/>
      <sheetName val="NMT"/>
      <sheetName val="Relative Pricing"/>
      <sheetName val="Sheet1"/>
      <sheetName val="xbrldates"/>
      <sheetName val="xbrlPreview"/>
      <sheetName val="xbrlSettings"/>
      <sheetName val="TPSA_WIP"/>
      <sheetName val="Macro_Assumptions"/>
      <sheetName val="MWare_Cached"/>
    </sheetNames>
    <sheetDataSet>
      <sheetData sheetId="0" refreshError="1"/>
      <sheetData sheetId="1" refreshError="1"/>
      <sheetData sheetId="2" refreshError="1"/>
      <sheetData sheetId="3" refreshError="1"/>
      <sheetData sheetId="4" refreshError="1">
        <row r="468">
          <cell r="O468">
            <v>7427.9247366746959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ey"/>
      <sheetName val="Reported Group Highlights"/>
      <sheetName val="Sheet1"/>
      <sheetName val="Reported Group Balance Sheet"/>
      <sheetName val="Domestic Mobile Operations"/>
      <sheetName val="FBB KPI"/>
      <sheetName val="Charts"/>
      <sheetName val="Disclaimer"/>
      <sheetName val="Workings"/>
      <sheetName val="Link to XL Axiata"/>
      <sheetName val="Dates"/>
    </sheetNames>
    <sheetDataSet>
      <sheetData sheetId="0"/>
      <sheetData sheetId="1">
        <row r="1">
          <cell r="D1" t="str">
            <v>1Q13</v>
          </cell>
          <cell r="E1" t="str">
            <v>2Q13</v>
          </cell>
          <cell r="F1" t="str">
            <v>3Q13</v>
          </cell>
          <cell r="G1" t="str">
            <v>4Q13</v>
          </cell>
          <cell r="H1" t="str">
            <v>1Q14</v>
          </cell>
          <cell r="I1" t="str">
            <v>2Q14</v>
          </cell>
          <cell r="J1" t="str">
            <v>3Q14</v>
          </cell>
          <cell r="K1" t="str">
            <v>4Q14</v>
          </cell>
          <cell r="L1" t="str">
            <v>1Q15</v>
          </cell>
          <cell r="M1" t="str">
            <v>2Q15</v>
          </cell>
          <cell r="N1" t="str">
            <v>3Q15</v>
          </cell>
          <cell r="O1" t="str">
            <v>4Q15</v>
          </cell>
          <cell r="P1" t="str">
            <v>1Q16</v>
          </cell>
          <cell r="Q1" t="str">
            <v>2Q16</v>
          </cell>
          <cell r="R1" t="str">
            <v>3Q16</v>
          </cell>
          <cell r="S1" t="str">
            <v>4Q16</v>
          </cell>
          <cell r="T1" t="str">
            <v>1Q17</v>
          </cell>
          <cell r="U1" t="str">
            <v>2Q17</v>
          </cell>
          <cell r="V1" t="str">
            <v>3Q17</v>
          </cell>
          <cell r="W1" t="str">
            <v>4Q17</v>
          </cell>
          <cell r="X1" t="str">
            <v>1Q18</v>
          </cell>
          <cell r="Y1" t="str">
            <v>2Q18</v>
          </cell>
          <cell r="Z1" t="str">
            <v>3Q18</v>
          </cell>
          <cell r="AA1" t="str">
            <v>4Q18</v>
          </cell>
          <cell r="AB1" t="str">
            <v>1Q19</v>
          </cell>
          <cell r="AC1" t="str">
            <v>2Q19</v>
          </cell>
          <cell r="AD1" t="str">
            <v>3Q19</v>
          </cell>
          <cell r="AE1" t="str">
            <v>4Q19</v>
          </cell>
          <cell r="AF1" t="str">
            <v>1Q20</v>
          </cell>
          <cell r="AG1" t="str">
            <v>2Q20</v>
          </cell>
          <cell r="AH1" t="str">
            <v>3Q20</v>
          </cell>
          <cell r="AI1" t="str">
            <v>4Q20</v>
          </cell>
          <cell r="AJ1" t="str">
            <v>1Q21</v>
          </cell>
          <cell r="AK1" t="str">
            <v>2Q21</v>
          </cell>
          <cell r="AL1" t="str">
            <v>3Q21</v>
          </cell>
          <cell r="AM1" t="str">
            <v>4Q21</v>
          </cell>
          <cell r="AN1" t="str">
            <v>1Q22</v>
          </cell>
          <cell r="AO1" t="str">
            <v>2Q22</v>
          </cell>
          <cell r="AP1" t="str">
            <v>3Q22</v>
          </cell>
          <cell r="AQ1" t="str">
            <v>4Q22</v>
          </cell>
          <cell r="AR1" t="str">
            <v>1Q23</v>
          </cell>
          <cell r="AS1" t="str">
            <v>2Q23</v>
          </cell>
          <cell r="AT1" t="str">
            <v>3Q23</v>
          </cell>
          <cell r="AU1" t="str">
            <v>4Q23</v>
          </cell>
          <cell r="AV1" t="str">
            <v>1Q24</v>
          </cell>
          <cell r="AW1" t="str">
            <v>2Q24</v>
          </cell>
          <cell r="AX1" t="str">
            <v>3Q24</v>
          </cell>
          <cell r="AY1" t="str">
            <v>4Q24</v>
          </cell>
          <cell r="AZ1" t="str">
            <v>1Q25</v>
          </cell>
          <cell r="BA1" t="str">
            <v>2Q25</v>
          </cell>
        </row>
        <row r="2">
          <cell r="D2">
            <v>41364</v>
          </cell>
          <cell r="E2">
            <v>41455</v>
          </cell>
          <cell r="F2">
            <v>41547</v>
          </cell>
          <cell r="G2">
            <v>41639</v>
          </cell>
          <cell r="H2">
            <v>41729</v>
          </cell>
          <cell r="I2">
            <v>41820</v>
          </cell>
          <cell r="J2">
            <v>41912</v>
          </cell>
          <cell r="K2">
            <v>42004</v>
          </cell>
          <cell r="L2">
            <v>42094</v>
          </cell>
          <cell r="M2">
            <v>42185</v>
          </cell>
          <cell r="N2">
            <v>42277</v>
          </cell>
          <cell r="O2">
            <v>42369</v>
          </cell>
          <cell r="P2">
            <v>42460</v>
          </cell>
          <cell r="Q2">
            <v>42551</v>
          </cell>
          <cell r="R2">
            <v>42643</v>
          </cell>
          <cell r="S2">
            <v>42735</v>
          </cell>
          <cell r="T2">
            <v>42825</v>
          </cell>
          <cell r="U2">
            <v>42916</v>
          </cell>
          <cell r="V2">
            <v>43008</v>
          </cell>
          <cell r="W2">
            <v>43100</v>
          </cell>
          <cell r="X2">
            <v>43190</v>
          </cell>
          <cell r="Y2">
            <v>43281</v>
          </cell>
          <cell r="Z2">
            <v>43373</v>
          </cell>
          <cell r="AA2">
            <v>43465</v>
          </cell>
          <cell r="AB2">
            <v>43555</v>
          </cell>
          <cell r="AC2">
            <v>43646</v>
          </cell>
          <cell r="AD2">
            <v>43738</v>
          </cell>
          <cell r="AE2">
            <v>43830</v>
          </cell>
          <cell r="AF2">
            <v>43921</v>
          </cell>
          <cell r="AG2">
            <v>44012</v>
          </cell>
          <cell r="AH2">
            <v>44104</v>
          </cell>
          <cell r="AI2">
            <v>44196</v>
          </cell>
          <cell r="AJ2">
            <v>44286</v>
          </cell>
          <cell r="AK2">
            <v>44377</v>
          </cell>
          <cell r="AL2">
            <v>44469</v>
          </cell>
          <cell r="AM2">
            <v>44561</v>
          </cell>
          <cell r="AN2">
            <v>44651</v>
          </cell>
          <cell r="AO2">
            <v>44742</v>
          </cell>
          <cell r="AP2">
            <v>44834</v>
          </cell>
          <cell r="AQ2">
            <v>44926</v>
          </cell>
          <cell r="AR2">
            <v>45016</v>
          </cell>
          <cell r="AS2">
            <v>45107</v>
          </cell>
          <cell r="AT2">
            <v>45199</v>
          </cell>
          <cell r="AU2">
            <v>45291</v>
          </cell>
          <cell r="AV2">
            <v>45382</v>
          </cell>
          <cell r="AW2">
            <v>45473</v>
          </cell>
          <cell r="AX2">
            <v>45565</v>
          </cell>
          <cell r="AY2">
            <v>45657</v>
          </cell>
          <cell r="AZ2">
            <v>45747</v>
          </cell>
          <cell r="BA2">
            <v>45838</v>
          </cell>
        </row>
        <row r="6">
          <cell r="D6">
            <v>4972</v>
          </cell>
          <cell r="E6">
            <v>5266</v>
          </cell>
          <cell r="F6">
            <v>5586</v>
          </cell>
          <cell r="G6">
            <v>5604</v>
          </cell>
          <cell r="H6">
            <v>4690</v>
          </cell>
          <cell r="I6">
            <v>5253</v>
          </cell>
          <cell r="J6">
            <v>5229</v>
          </cell>
          <cell r="K6">
            <v>5193</v>
          </cell>
          <cell r="L6">
            <v>4792</v>
          </cell>
          <cell r="M6">
            <v>4949</v>
          </cell>
          <cell r="N6">
            <v>5198</v>
          </cell>
          <cell r="O6">
            <v>5375</v>
          </cell>
          <cell r="P6">
            <v>5103</v>
          </cell>
          <cell r="Q6">
            <v>4752</v>
          </cell>
          <cell r="R6">
            <v>4759</v>
          </cell>
          <cell r="S6">
            <v>4838</v>
          </cell>
          <cell r="T6">
            <v>4836</v>
          </cell>
          <cell r="U6">
            <v>5254</v>
          </cell>
          <cell r="V6">
            <v>5567</v>
          </cell>
          <cell r="W6">
            <v>5583</v>
          </cell>
          <cell r="X6">
            <v>5193.6460000000006</v>
          </cell>
          <cell r="Y6">
            <v>5234.723</v>
          </cell>
          <cell r="Z6">
            <v>5517.0739999999996</v>
          </cell>
          <cell r="AA6">
            <v>5737.9969999999994</v>
          </cell>
          <cell r="AB6">
            <v>5689.7910000000002</v>
          </cell>
          <cell r="AC6">
            <v>6009.848</v>
          </cell>
          <cell r="AD6">
            <v>6181.786000000001</v>
          </cell>
          <cell r="AE6">
            <v>6156.2179999999989</v>
          </cell>
          <cell r="AF6">
            <v>6249.179000000001</v>
          </cell>
          <cell r="AG6">
            <v>6412.7769999999991</v>
          </cell>
          <cell r="AH6">
            <v>6393.9189999999999</v>
          </cell>
          <cell r="AI6">
            <v>6189.0650000000005</v>
          </cell>
          <cell r="AJ6">
            <v>6095.0749999999998</v>
          </cell>
          <cell r="AK6">
            <v>6432.9270000000006</v>
          </cell>
          <cell r="AL6">
            <v>6596.527</v>
          </cell>
          <cell r="AM6">
            <v>6689.4110000000001</v>
          </cell>
          <cell r="AN6">
            <v>6481.9420000000009</v>
          </cell>
          <cell r="AO6">
            <v>6915.7349999999997</v>
          </cell>
          <cell r="AP6">
            <v>7106.4489999999996</v>
          </cell>
          <cell r="AQ6">
            <v>7092.1949999999997</v>
          </cell>
          <cell r="AR6">
            <v>7167.5730000000003</v>
          </cell>
          <cell r="AS6">
            <v>7776.3630000000003</v>
          </cell>
          <cell r="AT6">
            <v>7556.8560000000016</v>
          </cell>
          <cell r="AU6">
            <v>7905.426999999996</v>
          </cell>
          <cell r="AV6">
            <v>8062.9279999999999</v>
          </cell>
          <cell r="AW6">
            <v>8259.0110000000004</v>
          </cell>
          <cell r="AX6">
            <v>7748.7720000000008</v>
          </cell>
          <cell r="AY6">
            <v>8407.3336000000018</v>
          </cell>
          <cell r="AZ6">
            <v>8082.6989999999996</v>
          </cell>
          <cell r="BA6">
            <v>9756.6200000000008</v>
          </cell>
          <cell r="BB6">
            <v>10467.144</v>
          </cell>
        </row>
        <row r="7">
          <cell r="D7">
            <v>811</v>
          </cell>
          <cell r="E7">
            <v>817</v>
          </cell>
          <cell r="F7">
            <v>824</v>
          </cell>
          <cell r="G7">
            <v>789</v>
          </cell>
          <cell r="H7">
            <v>831</v>
          </cell>
          <cell r="I7">
            <v>822</v>
          </cell>
          <cell r="J7">
            <v>824</v>
          </cell>
          <cell r="K7">
            <v>727</v>
          </cell>
          <cell r="L7">
            <v>707</v>
          </cell>
          <cell r="M7">
            <v>683</v>
          </cell>
          <cell r="N7">
            <v>657</v>
          </cell>
          <cell r="O7">
            <v>598</v>
          </cell>
          <cell r="P7">
            <v>532</v>
          </cell>
          <cell r="Q7">
            <v>500</v>
          </cell>
          <cell r="R7">
            <v>492</v>
          </cell>
          <cell r="S7">
            <v>435</v>
          </cell>
          <cell r="T7">
            <v>440</v>
          </cell>
          <cell r="U7">
            <v>420</v>
          </cell>
          <cell r="V7">
            <v>409</v>
          </cell>
          <cell r="W7">
            <v>392</v>
          </cell>
          <cell r="X7">
            <v>310.91000000000003</v>
          </cell>
          <cell r="Y7">
            <v>327.33100000000002</v>
          </cell>
          <cell r="Z7">
            <v>356.73399999999998</v>
          </cell>
          <cell r="AA7">
            <v>322.65199999999999</v>
          </cell>
          <cell r="AB7">
            <v>284.40100000000001</v>
          </cell>
          <cell r="AC7">
            <v>285.75700000000001</v>
          </cell>
          <cell r="AD7">
            <v>283.9199999999999</v>
          </cell>
          <cell r="AE7">
            <v>258.53600000000012</v>
          </cell>
          <cell r="AF7">
            <v>250.59200000000001</v>
          </cell>
          <cell r="AG7">
            <v>178.13</v>
          </cell>
          <cell r="AH7">
            <v>177.738</v>
          </cell>
          <cell r="AI7">
            <v>166.82599999999999</v>
          </cell>
          <cell r="AJ7">
            <v>154.67500000000001</v>
          </cell>
          <cell r="AK7">
            <v>295.392</v>
          </cell>
          <cell r="AL7">
            <v>230.13200000000001</v>
          </cell>
          <cell r="AM7">
            <v>272.19499999999999</v>
          </cell>
          <cell r="AN7">
            <v>263.26299999999998</v>
          </cell>
          <cell r="AO7">
            <v>401.05</v>
          </cell>
          <cell r="AP7">
            <v>342.12200000000001</v>
          </cell>
          <cell r="AQ7">
            <v>358.512</v>
          </cell>
          <cell r="AR7">
            <v>255.10400000000001</v>
          </cell>
          <cell r="AS7">
            <v>337.09800000000001</v>
          </cell>
          <cell r="AT7">
            <v>428.73099999999999</v>
          </cell>
          <cell r="AU7">
            <v>409</v>
          </cell>
          <cell r="AV7">
            <v>210.99799999999999</v>
          </cell>
          <cell r="AW7">
            <v>162.27699999999999</v>
          </cell>
          <cell r="AX7">
            <v>342.64300000000009</v>
          </cell>
          <cell r="AY7">
            <v>423.78699999999986</v>
          </cell>
          <cell r="AZ7">
            <v>392.64800000000002</v>
          </cell>
          <cell r="BA7">
            <v>607.17499999999995</v>
          </cell>
          <cell r="BB7">
            <v>844.72500000000002</v>
          </cell>
        </row>
        <row r="8">
          <cell r="D8">
            <v>-25</v>
          </cell>
          <cell r="E8">
            <v>-28</v>
          </cell>
          <cell r="F8">
            <v>-22</v>
          </cell>
          <cell r="G8">
            <v>-10</v>
          </cell>
          <cell r="H8">
            <v>-14</v>
          </cell>
          <cell r="I8">
            <v>-34</v>
          </cell>
          <cell r="J8">
            <v>-47</v>
          </cell>
          <cell r="K8">
            <v>-14</v>
          </cell>
          <cell r="L8">
            <v>-18</v>
          </cell>
          <cell r="M8">
            <v>-21</v>
          </cell>
          <cell r="N8">
            <v>-25</v>
          </cell>
          <cell r="O8">
            <v>0</v>
          </cell>
          <cell r="P8">
            <v>-19</v>
          </cell>
          <cell r="Q8">
            <v>-14</v>
          </cell>
          <cell r="R8">
            <v>-21</v>
          </cell>
          <cell r="S8">
            <v>-16</v>
          </cell>
          <cell r="T8">
            <v>-10</v>
          </cell>
          <cell r="U8">
            <v>-7</v>
          </cell>
          <cell r="V8">
            <v>-6</v>
          </cell>
          <cell r="W8">
            <v>-3</v>
          </cell>
          <cell r="X8">
            <v>-3.1910000000004857</v>
          </cell>
          <cell r="Y8">
            <v>-17.377000000000749</v>
          </cell>
          <cell r="Z8">
            <v>-27.637999999999863</v>
          </cell>
          <cell r="AA8">
            <v>-14.04899999999941</v>
          </cell>
          <cell r="AB8">
            <v>-6.9679999999998472</v>
          </cell>
          <cell r="AC8">
            <v>-6.0000000000003411</v>
          </cell>
          <cell r="AD8">
            <v>-2.0129999999995789</v>
          </cell>
          <cell r="AE8">
            <v>-2.648000000000593</v>
          </cell>
          <cell r="AF8">
            <v>-2.620000000000573</v>
          </cell>
          <cell r="AG8">
            <v>-1.6389999999995553</v>
          </cell>
          <cell r="AH8">
            <v>-1.9250000000001819</v>
          </cell>
          <cell r="AI8">
            <v>-2.9469999999996617</v>
          </cell>
          <cell r="AJ8">
            <v>-2.3869999999999436</v>
          </cell>
          <cell r="AK8">
            <v>-1.4830000000001178</v>
          </cell>
          <cell r="AL8">
            <v>-0.66500000000030468</v>
          </cell>
          <cell r="AM8">
            <v>-7.7489999999999668</v>
          </cell>
          <cell r="AN8">
            <v>-3.1460000000005834</v>
          </cell>
          <cell r="AO8">
            <v>-8.4039999999994173</v>
          </cell>
          <cell r="AP8">
            <v>-10.849</v>
          </cell>
          <cell r="AQ8">
            <v>-8.6110000000000007</v>
          </cell>
          <cell r="AR8">
            <v>-3.149</v>
          </cell>
          <cell r="AS8">
            <v>-5.3370000000000006</v>
          </cell>
          <cell r="AT8">
            <v>-3.7839999999999989</v>
          </cell>
          <cell r="AU8">
            <v>-2.2409999999999997</v>
          </cell>
          <cell r="AV8">
            <v>-1.341</v>
          </cell>
          <cell r="AW8">
            <v>0</v>
          </cell>
          <cell r="AX8">
            <v>0</v>
          </cell>
          <cell r="AY8">
            <v>0</v>
          </cell>
          <cell r="AZ8">
            <v>0</v>
          </cell>
          <cell r="BA8">
            <v>0</v>
          </cell>
          <cell r="BB8">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26</v>
          </cell>
          <cell r="X10">
            <v>0</v>
          </cell>
          <cell r="Y10">
            <v>0</v>
          </cell>
          <cell r="Z10">
            <v>0</v>
          </cell>
          <cell r="AA10">
            <v>0</v>
          </cell>
          <cell r="AB10">
            <v>0</v>
          </cell>
          <cell r="AC10">
            <v>0</v>
          </cell>
          <cell r="AD10">
            <v>0</v>
          </cell>
          <cell r="AE10">
            <v>0.22400000000197906</v>
          </cell>
          <cell r="AF10">
            <v>0</v>
          </cell>
          <cell r="AG10">
            <v>-4.2590000000000146</v>
          </cell>
          <cell r="AH10">
            <v>4.2590000000000146</v>
          </cell>
          <cell r="AI10">
            <v>0</v>
          </cell>
          <cell r="AJ10">
            <v>0</v>
          </cell>
          <cell r="AK10">
            <v>0</v>
          </cell>
          <cell r="AL10">
            <v>0</v>
          </cell>
          <cell r="AM10">
            <v>0</v>
          </cell>
          <cell r="AN10">
            <v>0</v>
          </cell>
          <cell r="AO10">
            <v>24.359999999998763</v>
          </cell>
          <cell r="AP10">
            <v>82.87800000000334</v>
          </cell>
          <cell r="AQ10">
            <v>104.49799999999868</v>
          </cell>
          <cell r="AR10">
            <v>127.79599999999937</v>
          </cell>
          <cell r="AS10">
            <v>109.07900000000154</v>
          </cell>
          <cell r="AT10">
            <v>121.47399999999743</v>
          </cell>
          <cell r="AU10">
            <v>142.66100000000552</v>
          </cell>
          <cell r="AV10">
            <v>165.70000000000073</v>
          </cell>
          <cell r="AW10">
            <v>192.02400000000125</v>
          </cell>
          <cell r="AX10">
            <v>218.39899999999761</v>
          </cell>
          <cell r="AY10">
            <v>199.0653999999995</v>
          </cell>
          <cell r="AZ10">
            <v>125.82999999999993</v>
          </cell>
          <cell r="BA10">
            <v>129.92200000000048</v>
          </cell>
          <cell r="BB10">
            <v>140.69999999999891</v>
          </cell>
        </row>
        <row r="11">
          <cell r="D11">
            <v>5758</v>
          </cell>
          <cell r="E11">
            <v>6055</v>
          </cell>
          <cell r="F11">
            <v>6388</v>
          </cell>
          <cell r="G11">
            <v>6383</v>
          </cell>
          <cell r="H11">
            <v>5507</v>
          </cell>
          <cell r="I11">
            <v>6041</v>
          </cell>
          <cell r="J11">
            <v>6006</v>
          </cell>
          <cell r="K11">
            <v>5906</v>
          </cell>
          <cell r="L11">
            <v>5481</v>
          </cell>
          <cell r="M11">
            <v>5611</v>
          </cell>
          <cell r="N11">
            <v>5830</v>
          </cell>
          <cell r="O11">
            <v>5973</v>
          </cell>
          <cell r="P11">
            <v>5616</v>
          </cell>
          <cell r="Q11">
            <v>5238</v>
          </cell>
          <cell r="R11">
            <v>5230</v>
          </cell>
          <cell r="S11">
            <v>5257</v>
          </cell>
          <cell r="T11">
            <v>5266</v>
          </cell>
          <cell r="U11">
            <v>5667</v>
          </cell>
          <cell r="V11">
            <v>5970</v>
          </cell>
          <cell r="W11">
            <v>5998</v>
          </cell>
          <cell r="X11">
            <v>5501.3649999999998</v>
          </cell>
          <cell r="Y11">
            <v>5544.6769999999997</v>
          </cell>
          <cell r="Z11">
            <v>5846.17</v>
          </cell>
          <cell r="AA11">
            <v>6046.6</v>
          </cell>
          <cell r="AB11">
            <v>5967.2240000000002</v>
          </cell>
          <cell r="AC11">
            <v>6289.6049999999996</v>
          </cell>
          <cell r="AD11">
            <v>6463.6930000000002</v>
          </cell>
          <cell r="AE11">
            <v>6412.33</v>
          </cell>
          <cell r="AF11">
            <v>6497.1509999999998</v>
          </cell>
          <cell r="AG11">
            <v>6585.009</v>
          </cell>
          <cell r="AH11">
            <v>6573.991</v>
          </cell>
          <cell r="AI11">
            <v>6352.9440000000004</v>
          </cell>
          <cell r="AJ11">
            <v>6247.3630000000003</v>
          </cell>
          <cell r="AK11">
            <v>6726.8360000000002</v>
          </cell>
          <cell r="AL11">
            <v>6825.9939999999997</v>
          </cell>
          <cell r="AM11">
            <v>6953.857</v>
          </cell>
          <cell r="AN11">
            <v>6742.0590000000002</v>
          </cell>
          <cell r="AO11">
            <v>7332.7409999999991</v>
          </cell>
          <cell r="AP11">
            <v>7520.6000000000031</v>
          </cell>
          <cell r="AQ11">
            <v>7546.5939999999982</v>
          </cell>
          <cell r="AR11">
            <v>7547.3239999999996</v>
          </cell>
          <cell r="AS11">
            <v>8217.2030000000013</v>
          </cell>
          <cell r="AT11">
            <v>8103.2769999999991</v>
          </cell>
          <cell r="AU11">
            <v>8454.8470000000016</v>
          </cell>
        </row>
        <row r="13">
          <cell r="P13">
            <v>4781</v>
          </cell>
          <cell r="Q13">
            <v>4469</v>
          </cell>
          <cell r="R13">
            <v>4539</v>
          </cell>
          <cell r="S13">
            <v>4585</v>
          </cell>
          <cell r="T13">
            <v>4599</v>
          </cell>
          <cell r="U13">
            <v>5026</v>
          </cell>
          <cell r="V13">
            <v>5280</v>
          </cell>
          <cell r="W13">
            <v>5355</v>
          </cell>
          <cell r="X13">
            <v>4853.4030000000002</v>
          </cell>
          <cell r="Y13">
            <v>4842.1270000000004</v>
          </cell>
          <cell r="Z13">
            <v>5047.2139999999999</v>
          </cell>
          <cell r="AA13">
            <v>5343.116</v>
          </cell>
          <cell r="AB13">
            <v>5416.491</v>
          </cell>
          <cell r="AC13">
            <v>5702.2049999999999</v>
          </cell>
          <cell r="AD13">
            <v>5938.03</v>
          </cell>
          <cell r="AE13">
            <v>5893.9310000000005</v>
          </cell>
          <cell r="AF13">
            <v>6007.1940000000004</v>
          </cell>
          <cell r="AG13">
            <v>6179.2209999999995</v>
          </cell>
          <cell r="AH13">
            <v>6149.0410000000002</v>
          </cell>
          <cell r="AI13">
            <v>5877.299</v>
          </cell>
          <cell r="AJ13">
            <v>5787.55</v>
          </cell>
          <cell r="AK13">
            <v>6279.5730000000003</v>
          </cell>
          <cell r="AL13">
            <v>6339.808</v>
          </cell>
          <cell r="AM13">
            <v>6399.6030000000001</v>
          </cell>
          <cell r="AN13">
            <v>6481.942</v>
          </cell>
          <cell r="AO13">
            <v>6915.7349999999997</v>
          </cell>
          <cell r="AP13">
            <v>7106.4489999999996</v>
          </cell>
          <cell r="AQ13">
            <v>7303.9309999999996</v>
          </cell>
          <cell r="AR13">
            <v>7295.3689999999997</v>
          </cell>
          <cell r="AS13">
            <v>7885.442</v>
          </cell>
          <cell r="AT13">
            <v>7678.3300000000008</v>
          </cell>
          <cell r="AU13">
            <v>8048.0879999999988</v>
          </cell>
          <cell r="AV13">
            <v>8228.6280000000006</v>
          </cell>
          <cell r="AW13">
            <v>8449.6939999999995</v>
          </cell>
          <cell r="AX13">
            <v>7967.1709999999985</v>
          </cell>
          <cell r="AY13">
            <v>8606.3990000000013</v>
          </cell>
          <cell r="AZ13">
            <v>8208.5290000000005</v>
          </cell>
        </row>
        <row r="15">
          <cell r="Q15">
            <v>500</v>
          </cell>
          <cell r="R15">
            <v>492</v>
          </cell>
          <cell r="S15">
            <v>435</v>
          </cell>
          <cell r="T15">
            <v>440</v>
          </cell>
          <cell r="U15">
            <v>420</v>
          </cell>
          <cell r="V15">
            <v>409</v>
          </cell>
          <cell r="W15">
            <v>392</v>
          </cell>
          <cell r="X15">
            <v>310.91000000000003</v>
          </cell>
          <cell r="Y15">
            <v>327.33100000000002</v>
          </cell>
          <cell r="Z15">
            <v>356.73399999999998</v>
          </cell>
          <cell r="AA15">
            <v>322.65199999999999</v>
          </cell>
          <cell r="AB15">
            <v>284.40100000000001</v>
          </cell>
          <cell r="AC15">
            <v>286</v>
          </cell>
          <cell r="AD15">
            <v>283.92</v>
          </cell>
          <cell r="AE15">
            <v>258.29299999999995</v>
          </cell>
          <cell r="AF15">
            <v>250.59200000000001</v>
          </cell>
          <cell r="AG15">
            <v>178.13</v>
          </cell>
          <cell r="AH15">
            <v>177.73800000000006</v>
          </cell>
          <cell r="AI15">
            <v>166.82599999999991</v>
          </cell>
          <cell r="AJ15">
            <v>154.67500000000001</v>
          </cell>
          <cell r="AK15">
            <v>153.79300000000001</v>
          </cell>
          <cell r="AL15">
            <v>152.13399999999996</v>
          </cell>
          <cell r="AM15">
            <v>161.03399999999999</v>
          </cell>
          <cell r="AN15">
            <v>126.27800000000001</v>
          </cell>
          <cell r="AO15">
            <v>538.03499999999997</v>
          </cell>
          <cell r="AP15">
            <v>342.12199999999996</v>
          </cell>
          <cell r="AQ15">
            <v>358.51199999999994</v>
          </cell>
          <cell r="AR15">
            <v>255.10400000000001</v>
          </cell>
          <cell r="AS15">
            <v>337.09799999999996</v>
          </cell>
          <cell r="AT15">
            <v>428.73099999999999</v>
          </cell>
          <cell r="AU15">
            <v>409</v>
          </cell>
          <cell r="AV15">
            <v>210.99799999999999</v>
          </cell>
          <cell r="AW15">
            <v>381.20400000000001</v>
          </cell>
          <cell r="AX15">
            <v>123.71600000000001</v>
          </cell>
          <cell r="AY15">
            <v>423.78699999999986</v>
          </cell>
          <cell r="AZ15">
            <v>392.64800000000002</v>
          </cell>
        </row>
        <row r="16">
          <cell r="T16">
            <v>237</v>
          </cell>
          <cell r="U16">
            <v>228</v>
          </cell>
          <cell r="V16">
            <v>287</v>
          </cell>
          <cell r="W16">
            <v>228</v>
          </cell>
          <cell r="X16">
            <v>340.24299999999999</v>
          </cell>
          <cell r="Y16">
            <v>392.596</v>
          </cell>
          <cell r="Z16">
            <v>469.86</v>
          </cell>
          <cell r="AA16">
            <v>394.8809999999998</v>
          </cell>
          <cell r="AB16">
            <v>273.3</v>
          </cell>
          <cell r="AC16">
            <v>307.39999999999998</v>
          </cell>
          <cell r="AD16">
            <v>243.75600000000003</v>
          </cell>
          <cell r="AE16">
            <v>262.75400000000008</v>
          </cell>
          <cell r="AF16">
            <v>241.98499999999999</v>
          </cell>
          <cell r="AG16">
            <v>229.29700000000003</v>
          </cell>
          <cell r="AH16">
            <v>249.13699999999994</v>
          </cell>
          <cell r="AI16">
            <v>311.76600000000019</v>
          </cell>
          <cell r="AJ16">
            <v>307.52500000000003</v>
          </cell>
          <cell r="AK16">
            <v>294.95300000000003</v>
          </cell>
          <cell r="AL16">
            <v>334.71700000000004</v>
          </cell>
          <cell r="AM16">
            <v>400.96899999999988</v>
          </cell>
        </row>
        <row r="17">
          <cell r="T17">
            <v>-10</v>
          </cell>
          <cell r="U17">
            <v>-7</v>
          </cell>
          <cell r="V17">
            <v>-6</v>
          </cell>
          <cell r="W17">
            <v>-3</v>
          </cell>
          <cell r="X17">
            <v>-3.1910000000004857</v>
          </cell>
          <cell r="Y17">
            <v>-17.377000000000749</v>
          </cell>
          <cell r="Z17">
            <v>-27.637999999999863</v>
          </cell>
          <cell r="AA17">
            <v>-14.04899999999941</v>
          </cell>
          <cell r="AB17">
            <v>-6.9679999999998472</v>
          </cell>
          <cell r="AC17">
            <v>-6.0000000000003411</v>
          </cell>
          <cell r="AD17">
            <v>-2.0129999999995789</v>
          </cell>
          <cell r="AE17">
            <v>-2.648000000000593</v>
          </cell>
          <cell r="AF17">
            <v>-2.620000000000573</v>
          </cell>
          <cell r="AG17">
            <v>-1.6389999999995553</v>
          </cell>
          <cell r="AH17">
            <v>-1.9250000000001819</v>
          </cell>
          <cell r="AI17">
            <v>-2.9469999999996617</v>
          </cell>
          <cell r="AJ17">
            <v>-2.3869999999999436</v>
          </cell>
          <cell r="AK17">
            <v>-1.4830000000001178</v>
          </cell>
          <cell r="AL17">
            <v>-0.66500000000030468</v>
          </cell>
          <cell r="AM17">
            <v>-7.7489999999999668</v>
          </cell>
        </row>
        <row r="21">
          <cell r="D21">
            <v>4612</v>
          </cell>
          <cell r="E21">
            <v>4907</v>
          </cell>
          <cell r="F21">
            <v>5215</v>
          </cell>
          <cell r="G21">
            <v>5218</v>
          </cell>
          <cell r="H21">
            <v>4244</v>
          </cell>
          <cell r="I21">
            <v>4908</v>
          </cell>
          <cell r="J21">
            <v>4903</v>
          </cell>
          <cell r="K21">
            <v>4853</v>
          </cell>
          <cell r="L21">
            <v>4542</v>
          </cell>
          <cell r="M21">
            <v>4685</v>
          </cell>
          <cell r="N21">
            <v>4934</v>
          </cell>
          <cell r="O21">
            <v>5032</v>
          </cell>
          <cell r="P21">
            <v>4781</v>
          </cell>
          <cell r="Q21">
            <v>4469</v>
          </cell>
          <cell r="R21">
            <v>4539</v>
          </cell>
          <cell r="S21">
            <v>4585</v>
          </cell>
          <cell r="T21">
            <v>4599</v>
          </cell>
          <cell r="U21">
            <v>5027</v>
          </cell>
          <cell r="V21">
            <v>5280</v>
          </cell>
          <cell r="W21">
            <v>5355</v>
          </cell>
          <cell r="X21">
            <v>4810</v>
          </cell>
          <cell r="Y21">
            <v>4783</v>
          </cell>
          <cell r="Z21">
            <v>4998</v>
          </cell>
          <cell r="AA21">
            <v>5292</v>
          </cell>
          <cell r="AB21">
            <v>5387</v>
          </cell>
          <cell r="AC21">
            <v>5678</v>
          </cell>
          <cell r="AD21">
            <v>5917</v>
          </cell>
          <cell r="AE21">
            <v>5861</v>
          </cell>
          <cell r="AF21">
            <v>5980</v>
          </cell>
          <cell r="AG21">
            <v>6158</v>
          </cell>
          <cell r="AH21">
            <v>6131</v>
          </cell>
          <cell r="AI21">
            <v>5861</v>
          </cell>
          <cell r="AJ21">
            <v>5652</v>
          </cell>
          <cell r="AK21">
            <v>6151</v>
          </cell>
          <cell r="AL21">
            <v>6290</v>
          </cell>
          <cell r="AM21">
            <v>6415</v>
          </cell>
          <cell r="AN21">
            <v>6224</v>
          </cell>
          <cell r="AO21">
            <v>6643</v>
          </cell>
          <cell r="AP21">
            <v>6846</v>
          </cell>
          <cell r="AQ21">
            <v>6836</v>
          </cell>
          <cell r="AR21">
            <v>6910</v>
          </cell>
          <cell r="AS21">
            <v>7501</v>
          </cell>
          <cell r="AT21">
            <v>7311</v>
          </cell>
          <cell r="AU21">
            <v>7680</v>
          </cell>
          <cell r="AV21">
            <v>7823</v>
          </cell>
          <cell r="AW21">
            <v>8015.4740000000002</v>
          </cell>
          <cell r="AX21">
            <v>7539</v>
          </cell>
          <cell r="AY21">
            <v>8201</v>
          </cell>
          <cell r="AZ21">
            <v>7887</v>
          </cell>
          <cell r="BA21">
            <v>9579</v>
          </cell>
          <cell r="BB21">
            <v>10292</v>
          </cell>
        </row>
        <row r="22">
          <cell r="D22">
            <v>1171</v>
          </cell>
          <cell r="E22">
            <v>1176</v>
          </cell>
          <cell r="F22">
            <v>1195</v>
          </cell>
          <cell r="G22">
            <v>1175</v>
          </cell>
          <cell r="H22">
            <v>1277</v>
          </cell>
          <cell r="I22">
            <v>1167</v>
          </cell>
          <cell r="J22">
            <v>1150</v>
          </cell>
          <cell r="K22">
            <v>1067</v>
          </cell>
          <cell r="L22">
            <v>957</v>
          </cell>
          <cell r="M22">
            <v>947</v>
          </cell>
          <cell r="N22">
            <v>921</v>
          </cell>
          <cell r="O22">
            <v>941</v>
          </cell>
          <cell r="P22">
            <v>854</v>
          </cell>
          <cell r="Q22">
            <v>783</v>
          </cell>
          <cell r="R22">
            <v>712</v>
          </cell>
          <cell r="S22">
            <v>688</v>
          </cell>
          <cell r="T22">
            <v>677</v>
          </cell>
          <cell r="U22">
            <v>647</v>
          </cell>
          <cell r="V22">
            <v>696</v>
          </cell>
          <cell r="W22">
            <v>620</v>
          </cell>
          <cell r="X22">
            <v>694.55600000000049</v>
          </cell>
          <cell r="Y22">
            <v>779.05400000000009</v>
          </cell>
          <cell r="Z22">
            <v>875.80799999999999</v>
          </cell>
          <cell r="AA22">
            <v>768.64899999999943</v>
          </cell>
          <cell r="AB22">
            <v>587.19200000000001</v>
          </cell>
          <cell r="AC22">
            <v>617.60499999999956</v>
          </cell>
          <cell r="AD22">
            <v>548.70600000000013</v>
          </cell>
          <cell r="AE22">
            <v>553.97800000000097</v>
          </cell>
          <cell r="AF22">
            <v>519.77100000000064</v>
          </cell>
          <cell r="AG22">
            <v>428.64799999999923</v>
          </cell>
          <cell r="AH22">
            <v>444.91600000000017</v>
          </cell>
          <cell r="AI22">
            <v>494.89099999999962</v>
          </cell>
          <cell r="AJ22">
            <v>599</v>
          </cell>
          <cell r="AK22">
            <v>578</v>
          </cell>
          <cell r="AL22">
            <v>536</v>
          </cell>
          <cell r="AM22">
            <v>546</v>
          </cell>
          <cell r="AN22">
            <v>521</v>
          </cell>
          <cell r="AO22">
            <v>699</v>
          </cell>
          <cell r="AP22">
            <v>687</v>
          </cell>
          <cell r="AQ22">
            <v>716</v>
          </cell>
          <cell r="AR22">
            <v>641</v>
          </cell>
          <cell r="AS22">
            <v>723</v>
          </cell>
          <cell r="AT22">
            <v>797</v>
          </cell>
          <cell r="AU22">
            <v>778</v>
          </cell>
          <cell r="AV22">
            <v>618</v>
          </cell>
          <cell r="AW22">
            <v>599.52599999999984</v>
          </cell>
          <cell r="AX22">
            <v>773</v>
          </cell>
          <cell r="AY22">
            <v>832</v>
          </cell>
          <cell r="AZ22">
            <v>716</v>
          </cell>
          <cell r="BA22">
            <v>923</v>
          </cell>
          <cell r="BB22">
            <v>1177</v>
          </cell>
        </row>
        <row r="24">
          <cell r="AN24">
            <v>-2.9409999999998035</v>
          </cell>
          <cell r="AO24">
            <v>-9.259000000000924</v>
          </cell>
          <cell r="AP24">
            <v>-12.399999999996908</v>
          </cell>
          <cell r="AQ24">
            <v>-5.4060000000017681</v>
          </cell>
          <cell r="AR24">
            <v>-3.6760000000003856</v>
          </cell>
          <cell r="AS24">
            <v>-6.7969999999986612</v>
          </cell>
          <cell r="AT24">
            <v>-4.7230000000008658</v>
          </cell>
          <cell r="AU24">
            <v>-3.1529999999984284</v>
          </cell>
          <cell r="AV24">
            <v>-2.7150000000001455</v>
          </cell>
          <cell r="AW24">
            <v>-1.6879999999982829</v>
          </cell>
          <cell r="AX24">
            <v>-2.1860000000015134</v>
          </cell>
          <cell r="AY24">
            <v>-2.8139999999984866</v>
          </cell>
          <cell r="AZ24">
            <v>-1.8230000000003201</v>
          </cell>
          <cell r="BA24">
            <v>-8.282999999999447</v>
          </cell>
          <cell r="BB24">
            <v>-16.431000000000495</v>
          </cell>
        </row>
        <row r="25">
          <cell r="T25">
            <v>5266</v>
          </cell>
          <cell r="U25">
            <v>5667</v>
          </cell>
          <cell r="V25">
            <v>5970</v>
          </cell>
          <cell r="W25">
            <v>5998</v>
          </cell>
          <cell r="X25">
            <v>5501.3649999999998</v>
          </cell>
          <cell r="Y25">
            <v>5544.6769999999997</v>
          </cell>
          <cell r="Z25">
            <v>5846.17</v>
          </cell>
          <cell r="AA25">
            <v>6046.6</v>
          </cell>
          <cell r="AB25">
            <v>5967.2240000000002</v>
          </cell>
          <cell r="AC25">
            <v>6289.6049999999996</v>
          </cell>
          <cell r="AD25">
            <v>6463.6930000000002</v>
          </cell>
          <cell r="AE25">
            <v>6412.33</v>
          </cell>
          <cell r="AF25">
            <v>6497.1509999999998</v>
          </cell>
          <cell r="AG25">
            <v>6585.009</v>
          </cell>
          <cell r="AH25">
            <v>6573.991</v>
          </cell>
          <cell r="AI25">
            <v>6352.9440000000004</v>
          </cell>
          <cell r="AJ25">
            <v>6247.3630000000003</v>
          </cell>
          <cell r="AK25">
            <v>6726.8360000000002</v>
          </cell>
          <cell r="AL25">
            <v>6825.9939999999997</v>
          </cell>
          <cell r="AM25">
            <v>6953.857</v>
          </cell>
          <cell r="AN25">
            <v>6742.0590000000002</v>
          </cell>
          <cell r="AO25">
            <v>7332.7409999999991</v>
          </cell>
          <cell r="AP25">
            <v>7520.6000000000031</v>
          </cell>
          <cell r="AQ25">
            <v>7546.5939999999982</v>
          </cell>
          <cell r="AR25">
            <v>7547.3239999999996</v>
          </cell>
          <cell r="AS25">
            <v>8217.2030000000013</v>
          </cell>
          <cell r="AT25">
            <v>8103.2769999999991</v>
          </cell>
          <cell r="AU25">
            <v>8454.8470000000016</v>
          </cell>
          <cell r="AV25">
            <v>8438.2849999999999</v>
          </cell>
          <cell r="AW25">
            <v>8613.3120000000017</v>
          </cell>
          <cell r="AX25">
            <v>8309.8139999999985</v>
          </cell>
          <cell r="AY25">
            <v>9030.1860000000015</v>
          </cell>
          <cell r="AZ25">
            <v>8601.1769999999997</v>
          </cell>
          <cell r="BA25">
            <v>10493.717000000001</v>
          </cell>
          <cell r="BB25">
            <v>11452.569</v>
          </cell>
        </row>
        <row r="35">
          <cell r="T35">
            <v>659</v>
          </cell>
          <cell r="U35">
            <v>630</v>
          </cell>
          <cell r="V35">
            <v>624</v>
          </cell>
          <cell r="W35">
            <v>546</v>
          </cell>
          <cell r="X35">
            <v>486</v>
          </cell>
          <cell r="Y35">
            <v>612</v>
          </cell>
          <cell r="Z35">
            <v>694</v>
          </cell>
          <cell r="AA35">
            <v>629</v>
          </cell>
          <cell r="AB35">
            <v>446</v>
          </cell>
          <cell r="AC35">
            <v>516</v>
          </cell>
          <cell r="AD35">
            <v>495</v>
          </cell>
          <cell r="AE35">
            <v>458</v>
          </cell>
          <cell r="AF35">
            <v>430.14100000000002</v>
          </cell>
          <cell r="AG35">
            <v>386.49799999999999</v>
          </cell>
          <cell r="AH35">
            <v>383.20199999999983</v>
          </cell>
          <cell r="AI35">
            <v>360.90299999999996</v>
          </cell>
          <cell r="AJ35">
            <v>341.21100000000001</v>
          </cell>
          <cell r="AK35">
            <v>349.17200000000003</v>
          </cell>
          <cell r="AL35">
            <v>341.20900000000006</v>
          </cell>
          <cell r="AM35">
            <v>504.56700000000001</v>
          </cell>
          <cell r="AN35">
            <v>466.17</v>
          </cell>
          <cell r="AO35">
            <v>681.32799999999997</v>
          </cell>
          <cell r="AP35">
            <v>870.15999999999985</v>
          </cell>
          <cell r="AQ35">
            <v>858.81899999999996</v>
          </cell>
          <cell r="AR35">
            <v>648.85599999999999</v>
          </cell>
          <cell r="AS35">
            <v>887.68000000000006</v>
          </cell>
          <cell r="AT35">
            <v>783.63599999999997</v>
          </cell>
          <cell r="AU35">
            <v>852.04799999999977</v>
          </cell>
          <cell r="AV35">
            <v>764.08399999999995</v>
          </cell>
          <cell r="AW35">
            <v>822.63</v>
          </cell>
          <cell r="AX35">
            <v>692.7600000000001</v>
          </cell>
          <cell r="AY35">
            <v>1004.7059999999996</v>
          </cell>
          <cell r="AZ35">
            <v>949.96400000000006</v>
          </cell>
          <cell r="BA35">
            <v>1172.81</v>
          </cell>
          <cell r="BB35">
            <v>1386.4540000000002</v>
          </cell>
        </row>
        <row r="36">
          <cell r="T36">
            <v>257</v>
          </cell>
          <cell r="U36">
            <v>261</v>
          </cell>
          <cell r="V36">
            <v>281</v>
          </cell>
          <cell r="W36">
            <v>552</v>
          </cell>
          <cell r="X36">
            <v>263</v>
          </cell>
          <cell r="Y36">
            <v>264</v>
          </cell>
          <cell r="Z36">
            <v>234</v>
          </cell>
          <cell r="AA36">
            <v>276</v>
          </cell>
          <cell r="AB36">
            <v>301</v>
          </cell>
          <cell r="AC36">
            <v>323</v>
          </cell>
          <cell r="AD36">
            <v>330</v>
          </cell>
          <cell r="AE36">
            <v>325</v>
          </cell>
          <cell r="AF36">
            <v>307</v>
          </cell>
          <cell r="AG36">
            <v>304</v>
          </cell>
          <cell r="AH36">
            <v>341.23199999999997</v>
          </cell>
          <cell r="AI36">
            <v>322.03199999999993</v>
          </cell>
          <cell r="AJ36">
            <v>235.27799999999999</v>
          </cell>
          <cell r="AK36">
            <v>338.61099999999999</v>
          </cell>
          <cell r="AL36">
            <v>230.05399999999997</v>
          </cell>
          <cell r="AM36">
            <v>271.85799999999995</v>
          </cell>
          <cell r="AN36">
            <v>295.625</v>
          </cell>
          <cell r="AO36">
            <v>272.14499999999998</v>
          </cell>
          <cell r="AP36">
            <v>325.11199999999997</v>
          </cell>
          <cell r="AQ36">
            <v>432.64700000000005</v>
          </cell>
          <cell r="AR36">
            <v>331.03899999999999</v>
          </cell>
          <cell r="AS36">
            <v>368.38</v>
          </cell>
          <cell r="AT36">
            <v>359.85900000000004</v>
          </cell>
          <cell r="AU36">
            <v>342.96399999999983</v>
          </cell>
          <cell r="AV36">
            <v>357.553</v>
          </cell>
          <cell r="AW36">
            <v>460.96600000000001</v>
          </cell>
          <cell r="AX36">
            <v>438.51600000000008</v>
          </cell>
          <cell r="AY36">
            <v>479.03899999999999</v>
          </cell>
          <cell r="AZ36">
            <v>514.94799999999998</v>
          </cell>
          <cell r="BA36">
            <v>1102.598</v>
          </cell>
          <cell r="BB36">
            <v>1049.5520000000001</v>
          </cell>
        </row>
        <row r="37">
          <cell r="T37">
            <v>274</v>
          </cell>
          <cell r="U37">
            <v>419</v>
          </cell>
          <cell r="V37">
            <v>413</v>
          </cell>
          <cell r="W37">
            <v>510</v>
          </cell>
          <cell r="X37">
            <v>573</v>
          </cell>
          <cell r="Y37">
            <v>574</v>
          </cell>
          <cell r="Z37">
            <v>438</v>
          </cell>
          <cell r="AA37">
            <v>454</v>
          </cell>
          <cell r="AB37">
            <v>457</v>
          </cell>
          <cell r="AC37">
            <v>490</v>
          </cell>
          <cell r="AD37">
            <v>492</v>
          </cell>
          <cell r="AE37">
            <v>531</v>
          </cell>
          <cell r="AF37">
            <v>453</v>
          </cell>
          <cell r="AG37">
            <v>435</v>
          </cell>
          <cell r="AH37">
            <v>469.74</v>
          </cell>
          <cell r="AI37">
            <v>447.4670000000001</v>
          </cell>
          <cell r="AJ37">
            <v>525.13900000000001</v>
          </cell>
          <cell r="AK37">
            <v>640.02799999999991</v>
          </cell>
          <cell r="AL37">
            <v>722.25400000000025</v>
          </cell>
          <cell r="AM37">
            <v>679.54200000000003</v>
          </cell>
          <cell r="AN37">
            <v>728.63900000000001</v>
          </cell>
          <cell r="AO37">
            <v>654.81499999999994</v>
          </cell>
          <cell r="AP37">
            <v>592.03600000000017</v>
          </cell>
          <cell r="AQ37">
            <v>642.50799999999992</v>
          </cell>
          <cell r="AR37">
            <v>565.40700000000004</v>
          </cell>
          <cell r="AS37">
            <v>613.25400000000002</v>
          </cell>
          <cell r="AT37">
            <v>625.90499999999986</v>
          </cell>
          <cell r="AU37">
            <v>650.2090000000004</v>
          </cell>
          <cell r="AV37">
            <v>533.16099999999994</v>
          </cell>
          <cell r="AW37">
            <v>545.98100000000011</v>
          </cell>
          <cell r="AX37">
            <v>510.14</v>
          </cell>
          <cell r="AY37">
            <v>504.90999999999997</v>
          </cell>
          <cell r="AZ37">
            <v>389.44299999999998</v>
          </cell>
          <cell r="BA37">
            <v>526.67600000000004</v>
          </cell>
          <cell r="BB37">
            <v>591.18600000000004</v>
          </cell>
        </row>
        <row r="38">
          <cell r="T38">
            <v>2107</v>
          </cell>
          <cell r="U38">
            <v>2121</v>
          </cell>
          <cell r="V38">
            <v>2221</v>
          </cell>
          <cell r="W38">
            <v>2127</v>
          </cell>
          <cell r="X38">
            <v>2084</v>
          </cell>
          <cell r="Y38">
            <v>1984</v>
          </cell>
          <cell r="Z38">
            <v>2194</v>
          </cell>
          <cell r="AA38">
            <v>2190</v>
          </cell>
          <cell r="AB38">
            <v>2316</v>
          </cell>
          <cell r="AC38">
            <v>2353</v>
          </cell>
          <cell r="AD38">
            <v>2426</v>
          </cell>
          <cell r="AE38">
            <v>2376</v>
          </cell>
          <cell r="AF38">
            <v>2031.807</v>
          </cell>
          <cell r="AG38">
            <v>2073.114</v>
          </cell>
          <cell r="AH38">
            <v>1903.2230000000004</v>
          </cell>
          <cell r="AI38">
            <v>1965.4920000000002</v>
          </cell>
          <cell r="AJ38">
            <v>1974.0309999999999</v>
          </cell>
          <cell r="AK38">
            <v>1952.8670000000002</v>
          </cell>
          <cell r="AL38">
            <v>2023.4769999999999</v>
          </cell>
          <cell r="AM38">
            <v>2039.165</v>
          </cell>
          <cell r="AN38">
            <v>1991.962</v>
          </cell>
          <cell r="AO38">
            <v>2071.2170000000001</v>
          </cell>
          <cell r="AP38">
            <v>2011.1539999999995</v>
          </cell>
          <cell r="AQ38">
            <v>1659.6140000000005</v>
          </cell>
          <cell r="AR38">
            <v>2335.9679999999998</v>
          </cell>
          <cell r="AS38">
            <v>2140.7280000000001</v>
          </cell>
          <cell r="AT38">
            <v>2181.0619999999999</v>
          </cell>
          <cell r="AU38">
            <v>2337.8880000000008</v>
          </cell>
          <cell r="AV38">
            <v>2227.2489999999998</v>
          </cell>
          <cell r="AW38">
            <v>2173.79</v>
          </cell>
          <cell r="AX38">
            <v>2224.5370000000003</v>
          </cell>
          <cell r="AY38">
            <v>2316.7470000000003</v>
          </cell>
          <cell r="AZ38">
            <v>2341.8539999999998</v>
          </cell>
          <cell r="BA38">
            <v>3023.7159999999999</v>
          </cell>
          <cell r="BB38">
            <v>3309.6040000000007</v>
          </cell>
        </row>
        <row r="39">
          <cell r="T39">
            <v>121</v>
          </cell>
          <cell r="U39">
            <v>163</v>
          </cell>
          <cell r="V39">
            <v>151</v>
          </cell>
          <cell r="W39">
            <v>117</v>
          </cell>
          <cell r="X39">
            <v>110</v>
          </cell>
          <cell r="Y39">
            <v>110</v>
          </cell>
          <cell r="Z39">
            <v>110</v>
          </cell>
          <cell r="AA39">
            <v>146</v>
          </cell>
          <cell r="AB39">
            <v>169</v>
          </cell>
          <cell r="AC39">
            <v>136</v>
          </cell>
          <cell r="AD39">
            <v>112</v>
          </cell>
          <cell r="AE39">
            <v>114</v>
          </cell>
          <cell r="AF39">
            <v>91.225999999999999</v>
          </cell>
          <cell r="AG39">
            <v>80.394999999999996</v>
          </cell>
          <cell r="AH39">
            <v>71.702000000000012</v>
          </cell>
          <cell r="AI39">
            <v>91.895000000000024</v>
          </cell>
          <cell r="AJ39">
            <v>52.914999999999999</v>
          </cell>
          <cell r="AK39">
            <v>77.344999999999999</v>
          </cell>
          <cell r="AL39">
            <v>91.066000000000003</v>
          </cell>
          <cell r="AM39">
            <v>77.476000000000028</v>
          </cell>
          <cell r="AN39">
            <v>85.759</v>
          </cell>
          <cell r="AO39">
            <v>92.792999999999992</v>
          </cell>
          <cell r="AP39">
            <v>79.390999999999977</v>
          </cell>
          <cell r="AQ39">
            <v>94.75500000000001</v>
          </cell>
          <cell r="AR39">
            <v>82.908000000000001</v>
          </cell>
          <cell r="AS39">
            <v>138.358</v>
          </cell>
          <cell r="AT39">
            <v>50.065999999999988</v>
          </cell>
          <cell r="AU39">
            <v>141.70800000000003</v>
          </cell>
          <cell r="AV39">
            <v>101.884</v>
          </cell>
          <cell r="AW39">
            <v>106.508</v>
          </cell>
          <cell r="AX39">
            <v>105.07299999999999</v>
          </cell>
          <cell r="AY39">
            <v>141.52500000000003</v>
          </cell>
          <cell r="AZ39">
            <v>83.888999999999996</v>
          </cell>
          <cell r="BA39">
            <v>181.24299999999999</v>
          </cell>
          <cell r="BB39">
            <v>258.36899999999997</v>
          </cell>
        </row>
        <row r="42">
          <cell r="T42">
            <v>1848</v>
          </cell>
          <cell r="U42">
            <v>2073</v>
          </cell>
          <cell r="V42">
            <v>2281</v>
          </cell>
          <cell r="W42">
            <v>2119</v>
          </cell>
          <cell r="X42">
            <v>1986</v>
          </cell>
          <cell r="Y42">
            <v>2000</v>
          </cell>
          <cell r="Z42">
            <v>2176</v>
          </cell>
          <cell r="AA42">
            <v>2351</v>
          </cell>
          <cell r="AB42">
            <v>2279</v>
          </cell>
          <cell r="AC42">
            <v>2471</v>
          </cell>
          <cell r="AD42">
            <v>2608</v>
          </cell>
          <cell r="AE42">
            <v>2608</v>
          </cell>
          <cell r="AF42">
            <v>3184</v>
          </cell>
          <cell r="AG42">
            <v>3306</v>
          </cell>
          <cell r="AH42">
            <v>3405</v>
          </cell>
          <cell r="AI42">
            <v>3165</v>
          </cell>
          <cell r="AJ42">
            <v>3119</v>
          </cell>
          <cell r="AK42">
            <v>3369</v>
          </cell>
          <cell r="AL42">
            <v>3418</v>
          </cell>
          <cell r="AM42">
            <v>3381</v>
          </cell>
          <cell r="AN42">
            <v>3174</v>
          </cell>
          <cell r="AO42">
            <v>3560</v>
          </cell>
          <cell r="AP42">
            <v>3643</v>
          </cell>
          <cell r="AQ42">
            <v>3858</v>
          </cell>
          <cell r="AR42">
            <v>3583</v>
          </cell>
          <cell r="AS42">
            <v>4069</v>
          </cell>
          <cell r="AT42">
            <v>4103</v>
          </cell>
          <cell r="AU42">
            <v>4130</v>
          </cell>
          <cell r="AV42">
            <v>4454</v>
          </cell>
          <cell r="AW42">
            <v>4503</v>
          </cell>
          <cell r="AX42">
            <v>4339</v>
          </cell>
          <cell r="AY42">
            <v>4583</v>
          </cell>
          <cell r="AZ42">
            <v>4321</v>
          </cell>
          <cell r="BA42">
            <v>4487</v>
          </cell>
          <cell r="BB42">
            <v>4858</v>
          </cell>
        </row>
        <row r="51">
          <cell r="P51">
            <v>1871</v>
          </cell>
          <cell r="Q51">
            <v>2090</v>
          </cell>
          <cell r="R51">
            <v>1800</v>
          </cell>
          <cell r="S51">
            <v>2285</v>
          </cell>
          <cell r="T51">
            <v>1679</v>
          </cell>
          <cell r="U51">
            <v>1702</v>
          </cell>
          <cell r="V51">
            <v>1705</v>
          </cell>
          <cell r="W51">
            <v>1865</v>
          </cell>
          <cell r="X51">
            <v>1848</v>
          </cell>
          <cell r="Y51">
            <v>1854</v>
          </cell>
          <cell r="Z51">
            <v>1924</v>
          </cell>
          <cell r="AA51">
            <v>5995</v>
          </cell>
          <cell r="AB51">
            <v>1771</v>
          </cell>
          <cell r="AC51">
            <v>1761</v>
          </cell>
          <cell r="AD51">
            <v>1877</v>
          </cell>
          <cell r="AE51">
            <v>1954</v>
          </cell>
          <cell r="AF51">
            <v>2603.0409999999997</v>
          </cell>
          <cell r="AG51">
            <v>2496.6529999999998</v>
          </cell>
          <cell r="AH51">
            <v>2341.605</v>
          </cell>
          <cell r="AI51">
            <v>5013.389000000001</v>
          </cell>
          <cell r="AJ51">
            <v>2419.9369999999999</v>
          </cell>
          <cell r="AK51">
            <v>2499.5870000000004</v>
          </cell>
          <cell r="AL51">
            <v>2500.0769999999993</v>
          </cell>
          <cell r="AM51">
            <v>2536.6260000000011</v>
          </cell>
          <cell r="AN51">
            <v>2560.8670000000002</v>
          </cell>
          <cell r="AO51">
            <v>2535.7119999999995</v>
          </cell>
          <cell r="AP51">
            <v>2580.4620000000004</v>
          </cell>
          <cell r="AQ51">
            <v>2887.2550000000001</v>
          </cell>
          <cell r="AR51">
            <v>2737.9949999999999</v>
          </cell>
          <cell r="AS51">
            <v>2830.1390000000001</v>
          </cell>
          <cell r="AT51">
            <v>2956.7470000000012</v>
          </cell>
          <cell r="AU51">
            <v>2822.8769999999986</v>
          </cell>
          <cell r="AV51">
            <v>3007.2190000000001</v>
          </cell>
          <cell r="AW51">
            <v>3166.6189999999997</v>
          </cell>
          <cell r="AX51">
            <v>2900.0280000000002</v>
          </cell>
          <cell r="AY51">
            <v>3000.4689999999991</v>
          </cell>
          <cell r="AZ51">
            <v>2871.3240000000001</v>
          </cell>
          <cell r="BA51">
            <v>4641.3360000000011</v>
          </cell>
          <cell r="BB51">
            <v>5171.6169999999984</v>
          </cell>
        </row>
        <row r="52">
          <cell r="AB52">
            <v>669.4</v>
          </cell>
          <cell r="AC52">
            <v>548.6</v>
          </cell>
          <cell r="AD52">
            <v>730.99999999999989</v>
          </cell>
          <cell r="AE52">
            <v>654.00000000000011</v>
          </cell>
          <cell r="AF52">
            <v>2172.7710000000002</v>
          </cell>
          <cell r="AG52">
            <v>982.85</v>
          </cell>
          <cell r="AH52">
            <v>1135.4669999999996</v>
          </cell>
          <cell r="AI52">
            <v>-1659.0029999999997</v>
          </cell>
          <cell r="AJ52">
            <v>699.0630000000001</v>
          </cell>
          <cell r="AK52">
            <v>869.41299999999956</v>
          </cell>
          <cell r="AL52">
            <v>917.92300000000068</v>
          </cell>
          <cell r="AM52">
            <v>844.37399999999889</v>
          </cell>
          <cell r="AN52">
            <v>613.13299999999981</v>
          </cell>
          <cell r="AO52">
            <v>1024.2880000000005</v>
          </cell>
          <cell r="AP52">
            <v>1062.5379999999996</v>
          </cell>
          <cell r="AQ52">
            <v>970.74499999999989</v>
          </cell>
          <cell r="AR52">
            <v>845.00500000000011</v>
          </cell>
          <cell r="AS52">
            <v>1238.8609999999999</v>
          </cell>
          <cell r="AT52">
            <v>1146.2529999999988</v>
          </cell>
          <cell r="AU52">
            <v>1307.1230000000014</v>
          </cell>
          <cell r="AV52">
            <v>1446.7809999999999</v>
          </cell>
          <cell r="AW52">
            <v>1336.3810000000003</v>
          </cell>
          <cell r="AX52">
            <v>1438.9719999999998</v>
          </cell>
          <cell r="AY52">
            <v>1582.5310000000009</v>
          </cell>
          <cell r="AZ52">
            <v>1449.6759999999999</v>
          </cell>
          <cell r="BA52">
            <v>-154.33600000000115</v>
          </cell>
          <cell r="BB52">
            <v>-313.61699999999837</v>
          </cell>
        </row>
        <row r="54">
          <cell r="T54">
            <v>-348</v>
          </cell>
          <cell r="U54">
            <v>-366</v>
          </cell>
          <cell r="V54">
            <v>-343</v>
          </cell>
          <cell r="W54">
            <v>-338</v>
          </cell>
          <cell r="X54">
            <v>-345</v>
          </cell>
          <cell r="Y54">
            <v>-382</v>
          </cell>
          <cell r="Z54">
            <v>-418</v>
          </cell>
          <cell r="AA54">
            <v>-481</v>
          </cell>
          <cell r="AB54">
            <v>-585.52499999999998</v>
          </cell>
          <cell r="AC54">
            <v>-445.47500000000002</v>
          </cell>
          <cell r="AD54">
            <v>-503</v>
          </cell>
          <cell r="AE54">
            <v>-535.00000000000011</v>
          </cell>
          <cell r="AF54">
            <v>-630.81500000000005</v>
          </cell>
          <cell r="AG54">
            <v>-581.98</v>
          </cell>
          <cell r="AH54">
            <v>-617.38599999999997</v>
          </cell>
          <cell r="AI54">
            <v>-655.08600000000024</v>
          </cell>
          <cell r="AJ54">
            <v>-552</v>
          </cell>
          <cell r="AK54">
            <v>-583.71600000000012</v>
          </cell>
          <cell r="AL54">
            <v>-574.07600000000002</v>
          </cell>
          <cell r="AM54">
            <v>-580.67899999999986</v>
          </cell>
          <cell r="AN54">
            <v>-572.69500000000005</v>
          </cell>
          <cell r="AO54">
            <v>-590.26300000000003</v>
          </cell>
          <cell r="AP54">
            <v>-670.8549999999999</v>
          </cell>
          <cell r="AQ54">
            <v>-831.85400000000038</v>
          </cell>
          <cell r="AR54">
            <v>-655.048</v>
          </cell>
          <cell r="AS54">
            <v>-709.16499999999996</v>
          </cell>
          <cell r="AT54">
            <v>-739.47500000000014</v>
          </cell>
          <cell r="AU54">
            <v>-736.19499999999971</v>
          </cell>
          <cell r="AV54">
            <v>-742.48500000000001</v>
          </cell>
          <cell r="AW54">
            <v>-765.21300000000008</v>
          </cell>
          <cell r="AX54">
            <v>-741.04999999999984</v>
          </cell>
          <cell r="AY54">
            <v>-783.79800000000034</v>
          </cell>
          <cell r="AZ54">
            <v>-744.01499999999999</v>
          </cell>
          <cell r="BA54">
            <v>-1066.453</v>
          </cell>
          <cell r="BB54">
            <v>-438.28000000000009</v>
          </cell>
        </row>
        <row r="55">
          <cell r="T55">
            <v>43</v>
          </cell>
          <cell r="U55">
            <v>20</v>
          </cell>
          <cell r="V55">
            <v>-29</v>
          </cell>
          <cell r="W55">
            <v>36</v>
          </cell>
          <cell r="X55">
            <v>-1</v>
          </cell>
          <cell r="Y55">
            <v>-43</v>
          </cell>
          <cell r="Z55">
            <v>-60</v>
          </cell>
          <cell r="AA55">
            <v>4</v>
          </cell>
          <cell r="AB55">
            <v>0</v>
          </cell>
          <cell r="AC55">
            <v>-12</v>
          </cell>
          <cell r="AD55">
            <v>3</v>
          </cell>
          <cell r="AE55">
            <v>-8</v>
          </cell>
          <cell r="AF55">
            <v>43.351999999999997</v>
          </cell>
          <cell r="AG55">
            <v>-20.298999999999999</v>
          </cell>
          <cell r="AH55">
            <v>-12.452999999999996</v>
          </cell>
          <cell r="AI55">
            <v>-2.7169999999999987</v>
          </cell>
          <cell r="AJ55">
            <v>2.234</v>
          </cell>
          <cell r="AK55">
            <v>-0.20199999999999996</v>
          </cell>
          <cell r="AL55">
            <v>4.3490000000000002</v>
          </cell>
          <cell r="AM55">
            <v>3.125</v>
          </cell>
          <cell r="AN55">
            <v>-2.032</v>
          </cell>
          <cell r="AO55">
            <v>-3.7770000000000001</v>
          </cell>
          <cell r="AP55">
            <v>5.359</v>
          </cell>
          <cell r="AQ55">
            <v>-60.844999999999999</v>
          </cell>
        </row>
        <row r="56">
          <cell r="X56">
            <v>137</v>
          </cell>
          <cell r="Y56">
            <v>196</v>
          </cell>
          <cell r="Z56">
            <v>107</v>
          </cell>
          <cell r="AA56">
            <v>-1</v>
          </cell>
          <cell r="AB56">
            <v>21.4</v>
          </cell>
          <cell r="AC56">
            <v>218.6</v>
          </cell>
          <cell r="AD56">
            <v>109.00000000000003</v>
          </cell>
          <cell r="AE56">
            <v>277</v>
          </cell>
          <cell r="AF56">
            <v>-39.614000000000033</v>
          </cell>
          <cell r="AG56">
            <v>0.97400000000004638</v>
          </cell>
          <cell r="AH56">
            <v>30.17200000000048</v>
          </cell>
          <cell r="AI56">
            <v>-2.2000000000389264E-2</v>
          </cell>
          <cell r="AJ56">
            <v>240.14099999999985</v>
          </cell>
          <cell r="AK56">
            <v>167.34600000000069</v>
          </cell>
          <cell r="AL56">
            <v>65.61799999999937</v>
          </cell>
          <cell r="AM56">
            <v>184.62700000000086</v>
          </cell>
          <cell r="AN56">
            <v>133.81000000000029</v>
          </cell>
          <cell r="AO56">
            <v>125.61799999999948</v>
          </cell>
          <cell r="AP56">
            <v>68.3100000000004</v>
          </cell>
          <cell r="AQ56">
            <v>81.550000000000409</v>
          </cell>
          <cell r="AR56">
            <v>47.819999999999936</v>
          </cell>
          <cell r="AS56">
            <v>35.860000000000127</v>
          </cell>
          <cell r="AT56">
            <v>40.446000000001277</v>
          </cell>
          <cell r="AU56">
            <v>-116.96800000000167</v>
          </cell>
          <cell r="AV56">
            <v>-27.099999999999909</v>
          </cell>
          <cell r="AW56">
            <v>89.967999999999847</v>
          </cell>
          <cell r="AX56">
            <v>-282.32000000000016</v>
          </cell>
          <cell r="AY56">
            <v>-125.44200000000046</v>
          </cell>
          <cell r="AZ56">
            <v>-182.51</v>
          </cell>
          <cell r="BA56">
            <v>-644.10599999999886</v>
          </cell>
          <cell r="BB56">
            <v>3847.5749999999985</v>
          </cell>
        </row>
        <row r="59">
          <cell r="T59">
            <v>119</v>
          </cell>
          <cell r="U59">
            <v>-2</v>
          </cell>
          <cell r="V59">
            <v>-71</v>
          </cell>
          <cell r="W59">
            <v>108</v>
          </cell>
          <cell r="X59">
            <v>87</v>
          </cell>
          <cell r="Y59">
            <v>-14</v>
          </cell>
          <cell r="Z59">
            <v>56</v>
          </cell>
          <cell r="AA59">
            <v>970</v>
          </cell>
          <cell r="AB59">
            <v>-26.7</v>
          </cell>
          <cell r="AC59">
            <v>-106.3</v>
          </cell>
          <cell r="AD59">
            <v>-124.00000000000001</v>
          </cell>
          <cell r="AE59">
            <v>-175</v>
          </cell>
          <cell r="AF59">
            <v>-25.69399999999996</v>
          </cell>
          <cell r="AG59">
            <v>-157.54500000000002</v>
          </cell>
          <cell r="AH59">
            <v>-204.80000000000018</v>
          </cell>
          <cell r="AI59">
            <v>613.82800000000043</v>
          </cell>
          <cell r="AJ59">
            <v>-68.437999999999988</v>
          </cell>
          <cell r="AK59">
            <v>-57.841000000000008</v>
          </cell>
          <cell r="AL59">
            <v>-113.81400000000008</v>
          </cell>
          <cell r="AM59">
            <v>-179.63999999999976</v>
          </cell>
          <cell r="AN59">
            <v>-33.123999999999995</v>
          </cell>
          <cell r="AO59">
            <v>-77.946000000000026</v>
          </cell>
          <cell r="AP59">
            <v>-93.591999999999871</v>
          </cell>
          <cell r="AQ59">
            <v>-27.179999999999978</v>
          </cell>
          <cell r="AR59">
            <v>-33.601999999999975</v>
          </cell>
          <cell r="AS59">
            <v>-112.20700000000005</v>
          </cell>
          <cell r="AT59">
            <v>-86.165000000000077</v>
          </cell>
          <cell r="AU59">
            <v>-188.09499999999997</v>
          </cell>
          <cell r="AV59">
            <v>-129.76600000000008</v>
          </cell>
          <cell r="AW59">
            <v>-171.40100000000007</v>
          </cell>
          <cell r="AX59">
            <v>-117.8349999999997</v>
          </cell>
          <cell r="AY59">
            <v>-160.5920000000001</v>
          </cell>
          <cell r="AZ59">
            <v>-134.91899999999993</v>
          </cell>
          <cell r="BA59">
            <v>257.89499999999998</v>
          </cell>
          <cell r="BB59">
            <v>-4472.5149999999994</v>
          </cell>
        </row>
        <row r="61">
          <cell r="P61">
            <v>171</v>
          </cell>
          <cell r="Q61">
            <v>54</v>
          </cell>
          <cell r="R61">
            <v>-65</v>
          </cell>
          <cell r="S61">
            <v>214</v>
          </cell>
          <cell r="T61">
            <v>46</v>
          </cell>
          <cell r="U61">
            <v>97</v>
          </cell>
          <cell r="V61">
            <v>95</v>
          </cell>
          <cell r="W61">
            <v>137</v>
          </cell>
          <cell r="X61">
            <v>15</v>
          </cell>
          <cell r="Y61">
            <v>-97</v>
          </cell>
          <cell r="Z61">
            <v>-64</v>
          </cell>
          <cell r="AA61">
            <v>-3152</v>
          </cell>
          <cell r="AB61">
            <v>57</v>
          </cell>
          <cell r="AC61">
            <v>225</v>
          </cell>
          <cell r="AD61">
            <v>216</v>
          </cell>
          <cell r="AE61">
            <v>214</v>
          </cell>
        </row>
        <row r="63">
          <cell r="AJ63">
            <v>230</v>
          </cell>
          <cell r="AK63">
            <v>333</v>
          </cell>
          <cell r="AL63">
            <v>272</v>
          </cell>
          <cell r="AM63">
            <v>269</v>
          </cell>
          <cell r="AN63">
            <v>171</v>
          </cell>
          <cell r="AO63">
            <v>446</v>
          </cell>
          <cell r="AP63">
            <v>371.7600000000001</v>
          </cell>
          <cell r="AQ63">
            <v>132.41600000000003</v>
          </cell>
          <cell r="AR63">
            <v>204.17500000000001</v>
          </cell>
          <cell r="AS63">
            <v>453.34899999999999</v>
          </cell>
          <cell r="AT63">
            <v>361.05899999999991</v>
          </cell>
          <cell r="AU63">
            <v>262</v>
          </cell>
          <cell r="AV63">
            <v>547.42999999999995</v>
          </cell>
          <cell r="AW63">
            <v>489.73500000000001</v>
          </cell>
          <cell r="AX63">
            <v>302</v>
          </cell>
          <cell r="AY63">
            <v>513</v>
          </cell>
          <cell r="AZ63">
            <v>388.23200000000003</v>
          </cell>
          <cell r="BA63">
            <v>305</v>
          </cell>
          <cell r="BB63">
            <v>1154</v>
          </cell>
        </row>
        <row r="66">
          <cell r="V66">
            <v>3517</v>
          </cell>
          <cell r="W66">
            <v>3757</v>
          </cell>
          <cell r="X66">
            <v>3462</v>
          </cell>
          <cell r="Y66">
            <v>3527</v>
          </cell>
          <cell r="Z66">
            <v>3985</v>
          </cell>
          <cell r="AA66">
            <v>4362</v>
          </cell>
          <cell r="AB66">
            <v>4636</v>
          </cell>
          <cell r="AC66">
            <v>4997</v>
          </cell>
          <cell r="AD66">
            <v>5308</v>
          </cell>
          <cell r="AE66">
            <v>5313</v>
          </cell>
          <cell r="AF66">
            <v>5429</v>
          </cell>
          <cell r="AG66">
            <v>5659</v>
          </cell>
          <cell r="AH66">
            <v>5684</v>
          </cell>
          <cell r="AI66">
            <v>5432</v>
          </cell>
          <cell r="AJ66">
            <v>5392</v>
          </cell>
          <cell r="AK66">
            <v>5896</v>
          </cell>
          <cell r="AL66">
            <v>6014</v>
          </cell>
          <cell r="AM66">
            <v>6107</v>
          </cell>
          <cell r="AN66">
            <v>5910</v>
          </cell>
          <cell r="AO66">
            <v>6643</v>
          </cell>
          <cell r="AP66">
            <v>6846</v>
          </cell>
          <cell r="AQ66">
            <v>6836</v>
          </cell>
          <cell r="AR66">
            <v>6910</v>
          </cell>
          <cell r="AS66">
            <v>7501</v>
          </cell>
          <cell r="AT66">
            <v>7311</v>
          </cell>
          <cell r="AU66">
            <v>7680</v>
          </cell>
          <cell r="AV66">
            <v>7823</v>
          </cell>
          <cell r="AW66">
            <v>8015.4740000000002</v>
          </cell>
          <cell r="AX66">
            <v>7539</v>
          </cell>
          <cell r="AY66">
            <v>8201</v>
          </cell>
          <cell r="AZ66">
            <v>7887</v>
          </cell>
          <cell r="BA66">
            <v>9579</v>
          </cell>
          <cell r="BB66">
            <v>10292</v>
          </cell>
        </row>
        <row r="68">
          <cell r="Q68">
            <v>435</v>
          </cell>
          <cell r="R68">
            <v>425</v>
          </cell>
          <cell r="S68">
            <v>403</v>
          </cell>
          <cell r="T68">
            <v>369</v>
          </cell>
          <cell r="U68">
            <v>347</v>
          </cell>
          <cell r="V68">
            <v>333</v>
          </cell>
          <cell r="W68">
            <v>334</v>
          </cell>
          <cell r="X68">
            <v>311</v>
          </cell>
          <cell r="Y68">
            <v>327</v>
          </cell>
          <cell r="Z68">
            <v>615</v>
          </cell>
          <cell r="AA68">
            <v>534</v>
          </cell>
          <cell r="AB68">
            <v>371</v>
          </cell>
          <cell r="AC68">
            <v>372</v>
          </cell>
          <cell r="AD68">
            <v>331</v>
          </cell>
          <cell r="AE68">
            <v>325</v>
          </cell>
          <cell r="AF68">
            <v>343.65299999999957</v>
          </cell>
          <cell r="AG68">
            <v>288.34800000000041</v>
          </cell>
          <cell r="AH68">
            <v>291.71699999999998</v>
          </cell>
          <cell r="AI68">
            <v>216.25199999999995</v>
          </cell>
        </row>
      </sheetData>
      <sheetData sheetId="2"/>
      <sheetData sheetId="3">
        <row r="6">
          <cell r="D6">
            <v>517</v>
          </cell>
          <cell r="E6">
            <v>1902</v>
          </cell>
          <cell r="F6">
            <v>2117</v>
          </cell>
          <cell r="G6">
            <v>1318</v>
          </cell>
          <cell r="H6">
            <v>2472</v>
          </cell>
          <cell r="I6">
            <v>2490</v>
          </cell>
          <cell r="J6">
            <v>3147</v>
          </cell>
          <cell r="K6">
            <v>6951</v>
          </cell>
          <cell r="L6">
            <v>6853</v>
          </cell>
          <cell r="M6">
            <v>5500</v>
          </cell>
          <cell r="N6">
            <v>3644</v>
          </cell>
          <cell r="O6">
            <v>3312</v>
          </cell>
          <cell r="P6">
            <v>2222</v>
          </cell>
          <cell r="Q6">
            <v>6217</v>
          </cell>
          <cell r="R6">
            <v>3343</v>
          </cell>
          <cell r="S6">
            <v>1400</v>
          </cell>
          <cell r="T6">
            <v>1730</v>
          </cell>
          <cell r="U6">
            <v>1943</v>
          </cell>
          <cell r="V6">
            <v>1299</v>
          </cell>
          <cell r="W6">
            <v>2455</v>
          </cell>
          <cell r="X6">
            <v>3289</v>
          </cell>
          <cell r="Y6">
            <v>2094</v>
          </cell>
          <cell r="Z6">
            <v>2399</v>
          </cell>
          <cell r="AA6">
            <v>1047</v>
          </cell>
          <cell r="AB6">
            <v>1597</v>
          </cell>
          <cell r="AC6">
            <v>2208</v>
          </cell>
          <cell r="AD6">
            <v>1496</v>
          </cell>
          <cell r="AE6">
            <v>1603</v>
          </cell>
          <cell r="AF6">
            <v>2982.328</v>
          </cell>
          <cell r="AG6">
            <v>4273.6149999999998</v>
          </cell>
          <cell r="AH6">
            <v>3052.4870000000001</v>
          </cell>
          <cell r="AI6">
            <v>2965.5889999999999</v>
          </cell>
          <cell r="AJ6">
            <v>1516</v>
          </cell>
          <cell r="AK6">
            <v>2406.1179999999999</v>
          </cell>
          <cell r="AL6">
            <v>3669.6089999999999</v>
          </cell>
          <cell r="AM6">
            <v>2664.3870000000002</v>
          </cell>
          <cell r="AN6">
            <v>1414.6679999999999</v>
          </cell>
          <cell r="AO6">
            <v>2008.4110000000001</v>
          </cell>
          <cell r="AP6">
            <v>5764.8059999999996</v>
          </cell>
          <cell r="AQ6">
            <v>5152.3029999999999</v>
          </cell>
          <cell r="AR6">
            <v>1701.623</v>
          </cell>
          <cell r="AS6">
            <v>1540.6179999999999</v>
          </cell>
          <cell r="AT6">
            <v>1817.6189999999999</v>
          </cell>
          <cell r="AU6">
            <v>966.02700000000004</v>
          </cell>
          <cell r="AV6">
            <v>1150.133</v>
          </cell>
          <cell r="AW6">
            <v>1395.559</v>
          </cell>
          <cell r="AX6">
            <v>1834.557</v>
          </cell>
          <cell r="AY6">
            <v>1386.6369999999999</v>
          </cell>
          <cell r="AZ6">
            <v>1463.7360000000001</v>
          </cell>
          <cell r="BA6">
            <v>1198.549</v>
          </cell>
          <cell r="BB6">
            <v>1355.4380000000001</v>
          </cell>
        </row>
        <row r="38">
          <cell r="AR38">
            <v>13071.942865000001</v>
          </cell>
          <cell r="AS38">
            <v>13071.942865000001</v>
          </cell>
          <cell r="AT38">
            <v>13071.942865000001</v>
          </cell>
          <cell r="AU38">
            <v>13071.942865000001</v>
          </cell>
          <cell r="AV38">
            <v>13071.942865000001</v>
          </cell>
          <cell r="AW38">
            <v>13071.942865000001</v>
          </cell>
          <cell r="AX38">
            <v>13071.942865000001</v>
          </cell>
          <cell r="AY38">
            <v>13071.942865000001</v>
          </cell>
          <cell r="AZ38">
            <v>13071.942865000001</v>
          </cell>
          <cell r="BA38">
            <v>17105.185664000001</v>
          </cell>
          <cell r="BB38">
            <v>17105.185664000001</v>
          </cell>
        </row>
        <row r="54">
          <cell r="X54">
            <v>1559</v>
          </cell>
          <cell r="Y54">
            <v>1712</v>
          </cell>
          <cell r="Z54">
            <v>1669</v>
          </cell>
          <cell r="AA54">
            <v>1852</v>
          </cell>
          <cell r="AB54">
            <v>1511</v>
          </cell>
          <cell r="AC54">
            <v>2095</v>
          </cell>
          <cell r="AD54">
            <v>1909</v>
          </cell>
          <cell r="AE54">
            <v>2481</v>
          </cell>
          <cell r="AF54">
            <v>1784</v>
          </cell>
          <cell r="AG54">
            <v>1951</v>
          </cell>
          <cell r="AH54">
            <v>1334</v>
          </cell>
          <cell r="AI54">
            <v>1086</v>
          </cell>
          <cell r="AJ54">
            <v>1716</v>
          </cell>
          <cell r="AK54">
            <v>2857</v>
          </cell>
          <cell r="AL54">
            <v>1783</v>
          </cell>
          <cell r="AM54">
            <v>3565</v>
          </cell>
          <cell r="AN54">
            <v>1234</v>
          </cell>
          <cell r="AO54">
            <v>1983.5380000000005</v>
          </cell>
          <cell r="AP54">
            <v>3102.4619999999995</v>
          </cell>
          <cell r="AQ54">
            <v>2743</v>
          </cell>
          <cell r="AR54">
            <v>1413</v>
          </cell>
          <cell r="AS54">
            <v>1743</v>
          </cell>
          <cell r="AT54">
            <v>2389</v>
          </cell>
          <cell r="AU54">
            <v>1613</v>
          </cell>
          <cell r="AV54">
            <v>2057</v>
          </cell>
          <cell r="AW54">
            <v>2088</v>
          </cell>
          <cell r="AX54">
            <v>1504</v>
          </cell>
          <cell r="AY54">
            <v>1733</v>
          </cell>
          <cell r="AZ54">
            <v>1241</v>
          </cell>
          <cell r="BA54">
            <v>1090</v>
          </cell>
          <cell r="BB54">
            <v>1929</v>
          </cell>
        </row>
        <row r="55">
          <cell r="T55">
            <v>1306</v>
          </cell>
          <cell r="U55">
            <v>2397</v>
          </cell>
          <cell r="V55">
            <v>1556</v>
          </cell>
          <cell r="W55">
            <v>1438</v>
          </cell>
        </row>
        <row r="61">
          <cell r="D61">
            <v>14143</v>
          </cell>
          <cell r="E61">
            <v>15181</v>
          </cell>
          <cell r="F61">
            <v>15424</v>
          </cell>
          <cell r="G61">
            <v>16504</v>
          </cell>
          <cell r="H61">
            <v>20244</v>
          </cell>
          <cell r="I61">
            <v>21810</v>
          </cell>
          <cell r="J61">
            <v>21160</v>
          </cell>
          <cell r="K61">
            <v>16458</v>
          </cell>
          <cell r="L61">
            <v>16873</v>
          </cell>
          <cell r="M61">
            <v>17033</v>
          </cell>
          <cell r="N61">
            <v>16076</v>
          </cell>
          <cell r="O61">
            <v>16744</v>
          </cell>
          <cell r="P61">
            <v>16369</v>
          </cell>
          <cell r="Q61">
            <v>11672</v>
          </cell>
          <cell r="R61">
            <v>11814</v>
          </cell>
          <cell r="S61">
            <v>13271</v>
          </cell>
          <cell r="T61">
            <v>12830</v>
          </cell>
          <cell r="U61">
            <v>12621</v>
          </cell>
          <cell r="V61">
            <v>12081</v>
          </cell>
          <cell r="W61">
            <v>12296</v>
          </cell>
          <cell r="X61">
            <v>11537</v>
          </cell>
          <cell r="Y61">
            <v>11203</v>
          </cell>
          <cell r="Z61">
            <v>12557</v>
          </cell>
          <cell r="AA61">
            <v>11517</v>
          </cell>
          <cell r="AB61">
            <v>12238</v>
          </cell>
          <cell r="AC61">
            <v>11331</v>
          </cell>
          <cell r="AD61">
            <v>11897</v>
          </cell>
          <cell r="AE61">
            <v>11207</v>
          </cell>
          <cell r="AF61">
            <v>27593.134999999995</v>
          </cell>
          <cell r="AG61">
            <v>28155.109000000004</v>
          </cell>
          <cell r="AH61">
            <v>28750.548999999999</v>
          </cell>
          <cell r="AI61">
            <v>30662.130000000005</v>
          </cell>
          <cell r="AJ61">
            <v>30731</v>
          </cell>
          <cell r="AK61">
            <v>31584.335999999999</v>
          </cell>
          <cell r="AL61">
            <v>30938.345000000005</v>
          </cell>
          <cell r="AM61">
            <v>32984.251000000004</v>
          </cell>
          <cell r="AN61">
            <v>34372.915000000001</v>
          </cell>
          <cell r="AO61">
            <v>37857.214999999997</v>
          </cell>
          <cell r="AP61">
            <v>38507.265000000007</v>
          </cell>
          <cell r="AQ61">
            <v>38616.854000000007</v>
          </cell>
          <cell r="AR61">
            <v>39027.519</v>
          </cell>
          <cell r="AS61">
            <v>40928.127</v>
          </cell>
          <cell r="AT61">
            <v>42324.005000000005</v>
          </cell>
          <cell r="AU61">
            <v>42947.588000000003</v>
          </cell>
          <cell r="AV61">
            <v>44896.878999999994</v>
          </cell>
          <cell r="AW61">
            <v>42087.305</v>
          </cell>
          <cell r="AX61">
            <v>44809.288</v>
          </cell>
          <cell r="AY61">
            <v>44701.376999999993</v>
          </cell>
          <cell r="AZ61">
            <v>43368.098000000005</v>
          </cell>
          <cell r="BA61">
            <v>62159.495999999999</v>
          </cell>
          <cell r="BB61">
            <v>59644.633999999991</v>
          </cell>
        </row>
      </sheetData>
      <sheetData sheetId="4">
        <row r="7">
          <cell r="T7">
            <v>231.2</v>
          </cell>
          <cell r="U7">
            <v>299.7</v>
          </cell>
          <cell r="V7">
            <v>330.89999999999992</v>
          </cell>
          <cell r="W7">
            <v>387.7000000000001</v>
          </cell>
          <cell r="X7">
            <v>417.5</v>
          </cell>
          <cell r="Y7">
            <v>518</v>
          </cell>
          <cell r="Z7">
            <v>596.5</v>
          </cell>
          <cell r="AA7">
            <v>668.7</v>
          </cell>
          <cell r="AB7">
            <v>710.4</v>
          </cell>
          <cell r="AC7">
            <v>820.80000000000007</v>
          </cell>
          <cell r="AD7">
            <v>854.89999999999975</v>
          </cell>
          <cell r="AE7">
            <v>934.3</v>
          </cell>
          <cell r="AF7">
            <v>1000</v>
          </cell>
          <cell r="AG7">
            <v>1221</v>
          </cell>
          <cell r="AH7">
            <v>1275</v>
          </cell>
          <cell r="AI7">
            <v>1376</v>
          </cell>
          <cell r="AJ7">
            <v>1391</v>
          </cell>
          <cell r="AK7">
            <v>1572</v>
          </cell>
          <cell r="AL7">
            <v>1722</v>
          </cell>
          <cell r="AM7">
            <v>1865</v>
          </cell>
          <cell r="AN7">
            <v>1857</v>
          </cell>
          <cell r="AO7">
            <v>1983</v>
          </cell>
          <cell r="AP7">
            <v>2046</v>
          </cell>
          <cell r="AQ7">
            <v>2106</v>
          </cell>
          <cell r="AR7">
            <v>2204</v>
          </cell>
          <cell r="AS7">
            <v>2452</v>
          </cell>
          <cell r="AT7">
            <v>2453</v>
          </cell>
          <cell r="AU7">
            <v>2529</v>
          </cell>
          <cell r="AV7">
            <v>2609</v>
          </cell>
          <cell r="AW7">
            <v>2660</v>
          </cell>
          <cell r="AX7">
            <v>2554</v>
          </cell>
          <cell r="AY7">
            <v>2724</v>
          </cell>
          <cell r="AZ7">
            <v>2848</v>
          </cell>
          <cell r="BA7">
            <v>3817</v>
          </cell>
          <cell r="BB7">
            <v>3903</v>
          </cell>
        </row>
        <row r="10">
          <cell r="X10">
            <v>37750</v>
          </cell>
          <cell r="Y10">
            <v>37700</v>
          </cell>
          <cell r="Z10">
            <v>37630</v>
          </cell>
          <cell r="AA10">
            <v>37426</v>
          </cell>
          <cell r="AB10">
            <v>36929</v>
          </cell>
          <cell r="AC10">
            <v>36674</v>
          </cell>
          <cell r="AD10">
            <v>36054</v>
          </cell>
          <cell r="AE10">
            <v>35926</v>
          </cell>
          <cell r="AF10">
            <v>35819</v>
          </cell>
          <cell r="AG10">
            <v>35590</v>
          </cell>
          <cell r="AH10">
            <v>36030</v>
          </cell>
          <cell r="AI10">
            <v>37446</v>
          </cell>
          <cell r="AJ10">
            <v>37805</v>
          </cell>
          <cell r="AK10">
            <v>38517</v>
          </cell>
          <cell r="AL10">
            <v>39546</v>
          </cell>
          <cell r="AM10">
            <v>43421</v>
          </cell>
          <cell r="AN10">
            <v>49149</v>
          </cell>
          <cell r="AO10">
            <v>56003</v>
          </cell>
          <cell r="AP10">
            <v>55304</v>
          </cell>
          <cell r="AQ10">
            <v>53136</v>
          </cell>
          <cell r="AR10">
            <v>53135</v>
          </cell>
          <cell r="AS10">
            <v>53136</v>
          </cell>
          <cell r="AT10">
            <v>53653</v>
          </cell>
          <cell r="AU10">
            <v>54074</v>
          </cell>
          <cell r="AV10">
            <v>54823</v>
          </cell>
          <cell r="AW10">
            <v>54337</v>
          </cell>
          <cell r="AX10">
            <v>54440</v>
          </cell>
          <cell r="AY10">
            <v>54521</v>
          </cell>
          <cell r="AZ10">
            <v>49442</v>
          </cell>
          <cell r="BA10">
            <v>49471</v>
          </cell>
          <cell r="BB10">
            <v>49518</v>
          </cell>
        </row>
        <row r="11">
          <cell r="X11">
            <v>47853</v>
          </cell>
          <cell r="Y11">
            <v>49401</v>
          </cell>
          <cell r="Z11">
            <v>50476</v>
          </cell>
          <cell r="AA11">
            <v>51398</v>
          </cell>
          <cell r="AB11">
            <v>52140</v>
          </cell>
          <cell r="AC11">
            <v>53260</v>
          </cell>
          <cell r="AD11">
            <v>53911</v>
          </cell>
          <cell r="AE11">
            <v>54027</v>
          </cell>
          <cell r="AF11">
            <v>54138</v>
          </cell>
          <cell r="AG11">
            <v>54046</v>
          </cell>
          <cell r="AH11">
            <v>53513</v>
          </cell>
          <cell r="AI11">
            <v>53235</v>
          </cell>
          <cell r="AJ11">
            <v>52892</v>
          </cell>
          <cell r="AK11">
            <v>52534</v>
          </cell>
          <cell r="AL11">
            <v>43908</v>
          </cell>
          <cell r="AM11">
            <v>41657</v>
          </cell>
          <cell r="AN11">
            <v>4566</v>
          </cell>
          <cell r="AO11">
            <v>4221</v>
          </cell>
          <cell r="AP11">
            <v>1989</v>
          </cell>
          <cell r="AQ11">
            <v>1255</v>
          </cell>
          <cell r="AR11">
            <v>1252</v>
          </cell>
          <cell r="AS11">
            <v>1226</v>
          </cell>
          <cell r="AT11">
            <v>1164</v>
          </cell>
          <cell r="AU11">
            <v>1057</v>
          </cell>
          <cell r="AV11">
            <v>377</v>
          </cell>
          <cell r="AW11">
            <v>377</v>
          </cell>
          <cell r="AX11">
            <v>374</v>
          </cell>
          <cell r="AY11">
            <v>348</v>
          </cell>
          <cell r="AZ11">
            <v>49</v>
          </cell>
          <cell r="BA11">
            <v>8</v>
          </cell>
          <cell r="BB11">
            <v>0</v>
          </cell>
        </row>
        <row r="12">
          <cell r="X12">
            <v>20189</v>
          </cell>
          <cell r="Y12">
            <v>24685</v>
          </cell>
          <cell r="Z12">
            <v>28028</v>
          </cell>
          <cell r="AA12">
            <v>29772</v>
          </cell>
          <cell r="AB12">
            <v>33106</v>
          </cell>
          <cell r="AC12">
            <v>37323</v>
          </cell>
          <cell r="AD12">
            <v>39296</v>
          </cell>
          <cell r="AE12">
            <v>40264</v>
          </cell>
          <cell r="AF12">
            <v>43579</v>
          </cell>
          <cell r="AG12">
            <v>49744</v>
          </cell>
          <cell r="AH12">
            <v>53055</v>
          </cell>
          <cell r="AI12">
            <v>54297</v>
          </cell>
          <cell r="AJ12">
            <v>57089</v>
          </cell>
          <cell r="AK12">
            <v>65658</v>
          </cell>
          <cell r="AL12">
            <v>69903</v>
          </cell>
          <cell r="AM12">
            <v>77204</v>
          </cell>
          <cell r="AN12">
            <v>83873</v>
          </cell>
          <cell r="AO12">
            <v>88447</v>
          </cell>
          <cell r="AP12">
            <v>90174</v>
          </cell>
          <cell r="AQ12">
            <v>91632</v>
          </cell>
          <cell r="AR12">
            <v>94380</v>
          </cell>
          <cell r="AS12">
            <v>97125</v>
          </cell>
          <cell r="AT12">
            <v>103408</v>
          </cell>
          <cell r="AU12">
            <v>104993</v>
          </cell>
          <cell r="AV12">
            <v>107906</v>
          </cell>
          <cell r="AW12">
            <v>109170</v>
          </cell>
          <cell r="AX12">
            <v>110280</v>
          </cell>
          <cell r="AY12">
            <v>110995</v>
          </cell>
          <cell r="AZ12">
            <v>115493</v>
          </cell>
          <cell r="BA12">
            <v>160341</v>
          </cell>
          <cell r="BB12">
            <v>159864</v>
          </cell>
        </row>
        <row r="16">
          <cell r="D16">
            <v>354</v>
          </cell>
          <cell r="E16">
            <v>328</v>
          </cell>
          <cell r="F16">
            <v>332</v>
          </cell>
          <cell r="G16">
            <v>377</v>
          </cell>
          <cell r="H16">
            <v>382</v>
          </cell>
          <cell r="I16">
            <v>391</v>
          </cell>
          <cell r="J16">
            <v>412</v>
          </cell>
          <cell r="K16">
            <v>423</v>
          </cell>
          <cell r="L16">
            <v>425</v>
          </cell>
          <cell r="M16">
            <v>428</v>
          </cell>
          <cell r="N16">
            <v>431</v>
          </cell>
          <cell r="O16">
            <v>437</v>
          </cell>
          <cell r="P16">
            <v>438</v>
          </cell>
          <cell r="Q16">
            <v>490</v>
          </cell>
          <cell r="R16">
            <v>511</v>
          </cell>
          <cell r="S16">
            <v>533</v>
          </cell>
          <cell r="T16">
            <v>540</v>
          </cell>
          <cell r="U16">
            <v>582</v>
          </cell>
          <cell r="V16">
            <v>631</v>
          </cell>
          <cell r="W16">
            <v>703</v>
          </cell>
          <cell r="X16">
            <v>804</v>
          </cell>
          <cell r="Y16">
            <v>891</v>
          </cell>
          <cell r="Z16">
            <v>954</v>
          </cell>
          <cell r="AA16">
            <v>1024</v>
          </cell>
          <cell r="AB16">
            <v>1048</v>
          </cell>
          <cell r="AC16">
            <v>1051</v>
          </cell>
          <cell r="AD16">
            <v>1055</v>
          </cell>
          <cell r="AE16">
            <v>1066</v>
          </cell>
          <cell r="AF16">
            <v>1150</v>
          </cell>
          <cell r="AG16">
            <v>1140</v>
          </cell>
          <cell r="AH16">
            <v>1140</v>
          </cell>
          <cell r="AI16">
            <v>1150</v>
          </cell>
          <cell r="AJ16">
            <v>1180</v>
          </cell>
          <cell r="AK16">
            <v>1230</v>
          </cell>
          <cell r="AL16">
            <v>1270</v>
          </cell>
          <cell r="AM16">
            <v>1320</v>
          </cell>
          <cell r="AN16">
            <v>1360</v>
          </cell>
          <cell r="AO16">
            <v>1420</v>
          </cell>
          <cell r="AP16">
            <v>1500</v>
          </cell>
          <cell r="AQ16">
            <v>1500</v>
          </cell>
          <cell r="AR16">
            <v>1500</v>
          </cell>
          <cell r="AS16">
            <v>1500</v>
          </cell>
          <cell r="AT16">
            <v>1600</v>
          </cell>
          <cell r="AU16">
            <v>1600</v>
          </cell>
          <cell r="AV16">
            <v>1600</v>
          </cell>
          <cell r="AW16">
            <v>1600</v>
          </cell>
          <cell r="AX16">
            <v>1700</v>
          </cell>
          <cell r="AY16">
            <v>1700</v>
          </cell>
          <cell r="AZ16">
            <v>1800</v>
          </cell>
          <cell r="BA16">
            <v>1900</v>
          </cell>
          <cell r="BB16">
            <v>1900</v>
          </cell>
        </row>
        <row r="17">
          <cell r="D17">
            <v>48746</v>
          </cell>
          <cell r="E17">
            <v>53872</v>
          </cell>
          <cell r="F17">
            <v>57768</v>
          </cell>
          <cell r="G17">
            <v>60123</v>
          </cell>
          <cell r="H17">
            <v>68118</v>
          </cell>
          <cell r="I17">
            <v>62477</v>
          </cell>
          <cell r="J17">
            <v>57844</v>
          </cell>
          <cell r="K17">
            <v>59177</v>
          </cell>
          <cell r="L17">
            <v>51675</v>
          </cell>
          <cell r="M17">
            <v>45572</v>
          </cell>
          <cell r="N17">
            <v>41069</v>
          </cell>
          <cell r="O17">
            <v>41563</v>
          </cell>
          <cell r="P17">
            <v>42062</v>
          </cell>
          <cell r="Q17">
            <v>43510</v>
          </cell>
          <cell r="R17">
            <v>44489</v>
          </cell>
          <cell r="S17">
            <v>45967</v>
          </cell>
          <cell r="T17">
            <v>47460</v>
          </cell>
          <cell r="U17">
            <v>49918</v>
          </cell>
          <cell r="V17">
            <v>51869</v>
          </cell>
          <cell r="W17">
            <v>52797</v>
          </cell>
          <cell r="X17">
            <v>53700</v>
          </cell>
          <cell r="Y17">
            <v>52000</v>
          </cell>
          <cell r="Z17">
            <v>52900</v>
          </cell>
          <cell r="AA17">
            <v>53900</v>
          </cell>
          <cell r="AB17">
            <v>54000</v>
          </cell>
          <cell r="AC17">
            <v>55500</v>
          </cell>
          <cell r="AD17">
            <v>54400</v>
          </cell>
          <cell r="AE17">
            <v>55600</v>
          </cell>
          <cell r="AF17">
            <v>54340</v>
          </cell>
          <cell r="AG17">
            <v>54540</v>
          </cell>
          <cell r="AH17">
            <v>55740</v>
          </cell>
          <cell r="AI17">
            <v>56740</v>
          </cell>
          <cell r="AJ17">
            <v>54830</v>
          </cell>
          <cell r="AK17">
            <v>55540</v>
          </cell>
          <cell r="AL17">
            <v>56710</v>
          </cell>
          <cell r="AM17">
            <v>56590</v>
          </cell>
          <cell r="AN17">
            <v>55640</v>
          </cell>
          <cell r="AO17">
            <v>55810</v>
          </cell>
          <cell r="AP17">
            <v>55900</v>
          </cell>
          <cell r="AQ17">
            <v>56000</v>
          </cell>
          <cell r="AR17">
            <v>56400</v>
          </cell>
          <cell r="AS17">
            <v>56500</v>
          </cell>
          <cell r="AT17">
            <v>55900</v>
          </cell>
          <cell r="AU17">
            <v>55900</v>
          </cell>
          <cell r="AV17">
            <v>56000</v>
          </cell>
          <cell r="AW17">
            <v>56900</v>
          </cell>
          <cell r="AX17">
            <v>56900</v>
          </cell>
          <cell r="AY17">
            <v>57100</v>
          </cell>
          <cell r="AZ17">
            <v>57100</v>
          </cell>
          <cell r="BA17">
            <v>80700</v>
          </cell>
          <cell r="BB17">
            <v>77700</v>
          </cell>
        </row>
        <row r="18">
          <cell r="T18">
            <v>48000</v>
          </cell>
          <cell r="U18">
            <v>50500</v>
          </cell>
          <cell r="V18">
            <v>52500</v>
          </cell>
          <cell r="W18">
            <v>53500</v>
          </cell>
          <cell r="X18">
            <v>54500</v>
          </cell>
          <cell r="Y18">
            <v>52900</v>
          </cell>
          <cell r="Z18">
            <v>53900</v>
          </cell>
          <cell r="AA18">
            <v>54900</v>
          </cell>
          <cell r="AB18">
            <v>55100</v>
          </cell>
          <cell r="AC18">
            <v>56600</v>
          </cell>
          <cell r="AD18">
            <v>55500</v>
          </cell>
          <cell r="AE18">
            <v>56700</v>
          </cell>
          <cell r="AF18">
            <v>55490</v>
          </cell>
          <cell r="AG18">
            <v>55670</v>
          </cell>
          <cell r="AH18">
            <v>56880</v>
          </cell>
          <cell r="AI18">
            <v>57890</v>
          </cell>
          <cell r="AJ18">
            <v>56010</v>
          </cell>
          <cell r="AK18">
            <v>56770</v>
          </cell>
          <cell r="AL18">
            <v>57980</v>
          </cell>
          <cell r="AM18">
            <v>57910</v>
          </cell>
          <cell r="AN18">
            <v>57000</v>
          </cell>
          <cell r="AO18">
            <v>57230</v>
          </cell>
          <cell r="AP18">
            <v>57400</v>
          </cell>
          <cell r="AQ18">
            <v>57500</v>
          </cell>
          <cell r="AR18">
            <v>57900</v>
          </cell>
          <cell r="AS18">
            <v>58000</v>
          </cell>
          <cell r="AT18">
            <v>57500</v>
          </cell>
          <cell r="AU18">
            <v>57500</v>
          </cell>
          <cell r="AV18">
            <v>57600</v>
          </cell>
          <cell r="AW18">
            <v>58500</v>
          </cell>
          <cell r="AX18">
            <v>58600</v>
          </cell>
          <cell r="AY18">
            <v>58800</v>
          </cell>
          <cell r="AZ18">
            <v>58900</v>
          </cell>
          <cell r="BA18">
            <v>82600</v>
          </cell>
          <cell r="BB18">
            <v>79600</v>
          </cell>
        </row>
        <row r="24">
          <cell r="U24">
            <v>33800</v>
          </cell>
          <cell r="V24">
            <v>36700</v>
          </cell>
          <cell r="W24">
            <v>38300</v>
          </cell>
        </row>
        <row r="68">
          <cell r="X68">
            <v>41454.199999999997</v>
          </cell>
          <cell r="Y68">
            <v>41794.160000000003</v>
          </cell>
          <cell r="Z68">
            <v>43087.200000000004</v>
          </cell>
          <cell r="AA68">
            <v>45025.38</v>
          </cell>
        </row>
        <row r="69">
          <cell r="AB69">
            <v>0.85936007259528124</v>
          </cell>
          <cell r="AC69">
            <v>0.87936254416961124</v>
          </cell>
          <cell r="AD69">
            <v>0.88</v>
          </cell>
          <cell r="AE69">
            <v>0.88</v>
          </cell>
          <cell r="AF69">
            <v>0.87999999999999989</v>
          </cell>
          <cell r="AG69">
            <v>0.89</v>
          </cell>
          <cell r="AH69">
            <v>0.9</v>
          </cell>
          <cell r="AI69">
            <v>0.91</v>
          </cell>
          <cell r="AJ69">
            <v>0.92</v>
          </cell>
          <cell r="AK69">
            <v>0.92</v>
          </cell>
          <cell r="AL69">
            <v>0.92000000000000015</v>
          </cell>
          <cell r="AM69">
            <v>0.92</v>
          </cell>
          <cell r="AN69">
            <v>0.93</v>
          </cell>
          <cell r="AO69">
            <v>0.92000000000000015</v>
          </cell>
          <cell r="AP69">
            <v>0.92</v>
          </cell>
          <cell r="AQ69">
            <v>0.92</v>
          </cell>
          <cell r="AR69">
            <v>0.93</v>
          </cell>
          <cell r="AS69">
            <v>0.93</v>
          </cell>
          <cell r="AT69">
            <v>0.92</v>
          </cell>
          <cell r="AU69">
            <v>0.92</v>
          </cell>
          <cell r="AV69">
            <v>0.92</v>
          </cell>
          <cell r="AW69">
            <v>0.92</v>
          </cell>
          <cell r="AX69">
            <v>0.92</v>
          </cell>
          <cell r="AY69">
            <v>0.92</v>
          </cell>
          <cell r="AZ69">
            <v>0.92</v>
          </cell>
          <cell r="BA69">
            <v>0.92</v>
          </cell>
          <cell r="BB69">
            <v>0.92</v>
          </cell>
        </row>
      </sheetData>
      <sheetData sheetId="5">
        <row r="4">
          <cell r="AN4">
            <v>99</v>
          </cell>
          <cell r="AO4">
            <v>102</v>
          </cell>
          <cell r="AP4">
            <v>112</v>
          </cell>
          <cell r="AQ4">
            <v>123</v>
          </cell>
          <cell r="AR4">
            <v>132</v>
          </cell>
          <cell r="AS4">
            <v>154</v>
          </cell>
          <cell r="AT4">
            <v>206</v>
          </cell>
          <cell r="AU4">
            <v>235</v>
          </cell>
          <cell r="AV4">
            <v>252</v>
          </cell>
          <cell r="AW4">
            <v>267</v>
          </cell>
          <cell r="AX4">
            <v>1000</v>
          </cell>
          <cell r="AY4">
            <v>1020</v>
          </cell>
          <cell r="AZ4">
            <v>1020</v>
          </cell>
          <cell r="BA4">
            <v>980</v>
          </cell>
          <cell r="BB4">
            <v>950</v>
          </cell>
        </row>
        <row r="7">
          <cell r="AN7">
            <v>0.19</v>
          </cell>
          <cell r="AO7">
            <v>0.28000000000000003</v>
          </cell>
          <cell r="AP7">
            <v>0.32</v>
          </cell>
          <cell r="AQ7">
            <v>0.37</v>
          </cell>
          <cell r="AR7">
            <v>0.44</v>
          </cell>
          <cell r="AS7">
            <v>0.56000000000000005</v>
          </cell>
          <cell r="AT7">
            <v>0.69</v>
          </cell>
          <cell r="AU7">
            <v>0.75</v>
          </cell>
          <cell r="AV7">
            <v>0.79</v>
          </cell>
          <cell r="AW7">
            <v>0.81</v>
          </cell>
        </row>
      </sheetData>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osat vs XL"/>
      <sheetName val="Relative valuations"/>
      <sheetName val="Sheet1"/>
      <sheetName val="Java"/>
      <sheetName val="Ownership"/>
      <sheetName val="Churn"/>
      <sheetName val="Hutch Indo"/>
      <sheetName val="Interconnect"/>
      <sheetName val="Enterprise"/>
      <sheetName val="Revenue"/>
      <sheetName val="Fixed model"/>
      <sheetName val="Quarterly data"/>
      <sheetName val="Link page for fixed model"/>
      <sheetName val="REvenue share"/>
      <sheetName val="Indonesian mobile model"/>
      <sheetName val="Link Page (Mob) for Dec ye"/>
      <sheetName val="link page (Mob) for march ye"/>
      <sheetName val="Data acceleration"/>
      <sheetName val="3G base stations"/>
      <sheetName val="Annual market revs"/>
      <sheetName val="Smartphone Info"/>
      <sheetName val="Spectrum"/>
      <sheetName val="Pric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C5">
            <v>245453</v>
          </cell>
          <cell r="R5">
            <v>236242.19999999998</v>
          </cell>
          <cell r="S5">
            <v>236950.92659999995</v>
          </cell>
          <cell r="T5">
            <v>237661.77937979993</v>
          </cell>
          <cell r="U5">
            <v>238374.76471793931</v>
          </cell>
          <cell r="V5">
            <v>239077.10639999999</v>
          </cell>
          <cell r="W5">
            <v>239077.10639999999</v>
          </cell>
          <cell r="X5">
            <v>239794.33771919998</v>
          </cell>
          <cell r="Y5">
            <v>240513.72073235756</v>
          </cell>
          <cell r="Z5">
            <v>241235.2618945546</v>
          </cell>
          <cell r="AA5">
            <v>241946.03167679999</v>
          </cell>
          <cell r="AB5">
            <v>241946.03167679999</v>
          </cell>
          <cell r="AG5">
            <v>244849.38405692158</v>
          </cell>
          <cell r="AL5">
            <v>247787.57666560463</v>
          </cell>
          <cell r="AQ5">
            <v>248452</v>
          </cell>
          <cell r="AV5">
            <v>251806</v>
          </cell>
          <cell r="BA5">
            <v>255129</v>
          </cell>
          <cell r="BF5">
            <v>258383</v>
          </cell>
          <cell r="BK5">
            <v>261554</v>
          </cell>
          <cell r="BP5">
            <v>264645</v>
          </cell>
          <cell r="BU5">
            <v>267663</v>
          </cell>
          <cell r="BZ5">
            <v>269582.87800000003</v>
          </cell>
          <cell r="CE5">
            <v>271857.96999999997</v>
          </cell>
          <cell r="CJ5">
            <v>273753.19099999999</v>
          </cell>
          <cell r="CO5">
            <v>275501.33899999998</v>
          </cell>
          <cell r="CT5">
            <v>277154.34703399998</v>
          </cell>
        </row>
        <row r="7">
          <cell r="R7">
            <v>0.34300000000000003</v>
          </cell>
          <cell r="S7" t="e">
            <v>#REF!</v>
          </cell>
          <cell r="T7" t="e">
            <v>#REF!</v>
          </cell>
          <cell r="U7">
            <v>0.52735028453513011</v>
          </cell>
          <cell r="V7">
            <v>0.55905394712439938</v>
          </cell>
          <cell r="W7">
            <v>0.55905394712439938</v>
          </cell>
          <cell r="X7">
            <v>0.27006227819492412</v>
          </cell>
          <cell r="Y7">
            <v>0.25707244173490035</v>
          </cell>
          <cell r="Z7">
            <v>0.26907889834739301</v>
          </cell>
          <cell r="AA7">
            <v>0.64920676281156631</v>
          </cell>
          <cell r="AB7">
            <v>0.64</v>
          </cell>
          <cell r="AG7">
            <v>0.79831526124876273</v>
          </cell>
          <cell r="AH7" t="e">
            <v>#DIV/0!</v>
          </cell>
          <cell r="AI7" t="e">
            <v>#DIV/0!</v>
          </cell>
          <cell r="AJ7" t="e">
            <v>#DIV/0!</v>
          </cell>
          <cell r="AK7" t="e">
            <v>#DIV/0!</v>
          </cell>
          <cell r="AL7">
            <v>0.9118770392419181</v>
          </cell>
          <cell r="AM7" t="e">
            <v>#DIV/0!</v>
          </cell>
          <cell r="AN7" t="e">
            <v>#DIV/0!</v>
          </cell>
          <cell r="AO7" t="e">
            <v>#DIV/0!</v>
          </cell>
          <cell r="AP7" t="e">
            <v>#DIV/0!</v>
          </cell>
          <cell r="AQ7">
            <v>1.0033849596702784</v>
          </cell>
          <cell r="AR7" t="e">
            <v>#DIV/0!</v>
          </cell>
          <cell r="AS7" t="e">
            <v>#DIV/0!</v>
          </cell>
          <cell r="AT7" t="e">
            <v>#DIV/0!</v>
          </cell>
          <cell r="AU7" t="e">
            <v>#DIV/0!</v>
          </cell>
          <cell r="AV7">
            <v>1.094032421299862</v>
          </cell>
          <cell r="BA7">
            <v>1.1167978431518377</v>
          </cell>
          <cell r="BF7">
            <v>1.0849893743080576</v>
          </cell>
          <cell r="BK7">
            <v>1.2573847083202705</v>
          </cell>
          <cell r="BP7">
            <v>1.3603128719605508</v>
          </cell>
          <cell r="BU7">
            <v>1.030728939001655</v>
          </cell>
          <cell r="BZ7">
            <v>1.0410362283916714</v>
          </cell>
          <cell r="CE7">
            <v>1.0722673152434217</v>
          </cell>
          <cell r="CJ7">
            <v>1.2083402527351728</v>
          </cell>
          <cell r="CO7">
            <v>1.28</v>
          </cell>
          <cell r="CT7">
            <v>1.28512</v>
          </cell>
        </row>
        <row r="15">
          <cell r="R15">
            <v>47117</v>
          </cell>
          <cell r="S15" t="e">
            <v>#REF!</v>
          </cell>
          <cell r="T15" t="e">
            <v>#REF!</v>
          </cell>
          <cell r="U15">
            <v>60503</v>
          </cell>
          <cell r="V15">
            <v>65300</v>
          </cell>
          <cell r="W15">
            <v>65300</v>
          </cell>
          <cell r="X15">
            <v>0.4051426901723969</v>
          </cell>
          <cell r="Y15">
            <v>0.44945941307705506</v>
          </cell>
          <cell r="Z15">
            <v>0.3185131315802523</v>
          </cell>
          <cell r="AA15">
            <v>81644</v>
          </cell>
          <cell r="AB15">
            <v>81644</v>
          </cell>
          <cell r="AC15">
            <v>0.17144718783358526</v>
          </cell>
          <cell r="AD15">
            <v>0.16183860867734889</v>
          </cell>
          <cell r="AE15">
            <v>0.16749818236518155</v>
          </cell>
          <cell r="AF15">
            <v>-586.03752393949503</v>
          </cell>
          <cell r="AG15">
            <v>-586.03752393949503</v>
          </cell>
          <cell r="AH15">
            <v>0.17591715976331357</v>
          </cell>
          <cell r="AI15">
            <v>0.15823859776257976</v>
          </cell>
          <cell r="AJ15">
            <v>0.11824643532039159</v>
          </cell>
          <cell r="AK15">
            <v>107574.83942606233</v>
          </cell>
          <cell r="AL15">
            <v>107574.83942606233</v>
          </cell>
          <cell r="AM15">
            <v>109881</v>
          </cell>
          <cell r="AN15">
            <v>117235</v>
          </cell>
          <cell r="AO15">
            <v>121477</v>
          </cell>
          <cell r="AP15">
            <v>117468.65611846764</v>
          </cell>
          <cell r="AQ15">
            <v>117468.65611846764</v>
          </cell>
          <cell r="AR15">
            <v>120611</v>
          </cell>
          <cell r="AS15">
            <v>125091</v>
          </cell>
          <cell r="AT15">
            <v>127904</v>
          </cell>
          <cell r="AU15">
            <v>131513</v>
          </cell>
          <cell r="AV15">
            <v>131513</v>
          </cell>
          <cell r="AW15">
            <v>132651</v>
          </cell>
          <cell r="AX15">
            <v>137373</v>
          </cell>
          <cell r="AY15">
            <v>139349</v>
          </cell>
          <cell r="AZ15">
            <v>139349</v>
          </cell>
          <cell r="BA15">
            <v>139349</v>
          </cell>
          <cell r="BB15">
            <v>141486</v>
          </cell>
          <cell r="BC15">
            <v>144065</v>
          </cell>
          <cell r="BD15">
            <v>148561</v>
          </cell>
          <cell r="BE15">
            <v>152641</v>
          </cell>
          <cell r="BF15">
            <v>152641</v>
          </cell>
          <cell r="BG15">
            <v>153614</v>
          </cell>
          <cell r="BH15">
            <v>157388</v>
          </cell>
          <cell r="BI15">
            <v>163700</v>
          </cell>
          <cell r="BJ15">
            <v>173920</v>
          </cell>
          <cell r="BK15">
            <v>173920</v>
          </cell>
          <cell r="BP15">
            <v>196300</v>
          </cell>
          <cell r="BU15">
            <v>162988</v>
          </cell>
          <cell r="BZ15">
            <v>171105</v>
          </cell>
          <cell r="CE15">
            <v>169542</v>
          </cell>
          <cell r="CJ15">
            <v>175977</v>
          </cell>
          <cell r="CK15">
            <v>174956</v>
          </cell>
          <cell r="CL15">
            <v>169667</v>
          </cell>
          <cell r="CM15">
            <v>159836</v>
          </cell>
          <cell r="CN15">
            <v>156813</v>
          </cell>
          <cell r="CO15">
            <v>156813</v>
          </cell>
          <cell r="CP15">
            <v>151066</v>
          </cell>
          <cell r="CQ15">
            <v>153269</v>
          </cell>
          <cell r="CR15">
            <v>158300</v>
          </cell>
          <cell r="CS15">
            <v>159340</v>
          </cell>
          <cell r="CT15">
            <v>159340</v>
          </cell>
        </row>
        <row r="16">
          <cell r="R16">
            <v>24545</v>
          </cell>
          <cell r="S16">
            <v>26437.5</v>
          </cell>
          <cell r="T16">
            <v>32387</v>
          </cell>
          <cell r="U16">
            <v>35473</v>
          </cell>
          <cell r="V16">
            <v>36500</v>
          </cell>
          <cell r="W16">
            <v>36500</v>
          </cell>
          <cell r="X16">
            <v>33267</v>
          </cell>
          <cell r="Y16">
            <v>28857</v>
          </cell>
          <cell r="Z16">
            <v>28700</v>
          </cell>
          <cell r="AA16">
            <v>33100</v>
          </cell>
          <cell r="AB16">
            <v>33100</v>
          </cell>
          <cell r="AC16">
            <v>37700</v>
          </cell>
          <cell r="AD16">
            <v>37800</v>
          </cell>
          <cell r="AE16">
            <v>39700</v>
          </cell>
          <cell r="AF16">
            <v>41581.703260152921</v>
          </cell>
          <cell r="AG16">
            <v>41581.703260152921</v>
          </cell>
          <cell r="AH16">
            <v>45700</v>
          </cell>
          <cell r="AI16">
            <v>47300</v>
          </cell>
          <cell r="AJ16">
            <v>51500</v>
          </cell>
          <cell r="AK16">
            <v>51700</v>
          </cell>
          <cell r="AL16">
            <v>53941.483289166739</v>
          </cell>
          <cell r="AM16">
            <v>52100</v>
          </cell>
          <cell r="AN16">
            <v>50900</v>
          </cell>
          <cell r="AO16">
            <v>55500</v>
          </cell>
          <cell r="AP16">
            <v>60166.330460736586</v>
          </cell>
          <cell r="AQ16">
            <v>60166.330460736586</v>
          </cell>
          <cell r="AR16">
            <v>55900</v>
          </cell>
          <cell r="AS16">
            <v>56500</v>
          </cell>
          <cell r="AT16">
            <v>53800</v>
          </cell>
          <cell r="AU16">
            <v>59600</v>
          </cell>
          <cell r="AV16">
            <v>59600</v>
          </cell>
          <cell r="AW16">
            <v>59700</v>
          </cell>
          <cell r="AX16">
            <v>55004</v>
          </cell>
          <cell r="AY16">
            <v>54200</v>
          </cell>
          <cell r="AZ16">
            <v>63200</v>
          </cell>
          <cell r="BA16">
            <v>63200</v>
          </cell>
          <cell r="BB16">
            <v>66500</v>
          </cell>
          <cell r="BC16">
            <v>68500</v>
          </cell>
          <cell r="BD16">
            <v>69000</v>
          </cell>
          <cell r="BE16">
            <v>69700</v>
          </cell>
          <cell r="BF16">
            <v>69700</v>
          </cell>
          <cell r="BG16">
            <v>69800</v>
          </cell>
          <cell r="BH16">
            <v>80500</v>
          </cell>
          <cell r="BI16">
            <v>81600</v>
          </cell>
          <cell r="BJ16">
            <v>85654</v>
          </cell>
          <cell r="BK16">
            <v>85654</v>
          </cell>
          <cell r="BP16">
            <v>110200</v>
          </cell>
          <cell r="BU16">
            <v>58000</v>
          </cell>
          <cell r="BZ16">
            <v>59300</v>
          </cell>
          <cell r="CE16">
            <v>60300</v>
          </cell>
          <cell r="CJ16">
            <v>62900</v>
          </cell>
          <cell r="CK16">
            <v>94600</v>
          </cell>
          <cell r="CL16">
            <v>96200</v>
          </cell>
          <cell r="CM16">
            <v>98600</v>
          </cell>
          <cell r="CN16">
            <v>102200</v>
          </cell>
          <cell r="CO16">
            <v>102200</v>
          </cell>
          <cell r="CP16">
            <v>98500</v>
          </cell>
          <cell r="CQ16">
            <v>100000</v>
          </cell>
          <cell r="CR16">
            <v>99400</v>
          </cell>
          <cell r="CS16">
            <v>98800</v>
          </cell>
          <cell r="CT16">
            <v>98800</v>
          </cell>
        </row>
        <row r="17">
          <cell r="R17">
            <v>15469</v>
          </cell>
          <cell r="S17">
            <v>18398</v>
          </cell>
          <cell r="T17">
            <v>22289</v>
          </cell>
          <cell r="U17">
            <v>25087</v>
          </cell>
          <cell r="V17">
            <v>26016</v>
          </cell>
          <cell r="W17">
            <v>26016</v>
          </cell>
          <cell r="X17">
            <v>24892</v>
          </cell>
          <cell r="Y17">
            <v>24672</v>
          </cell>
          <cell r="Z17">
            <v>26600</v>
          </cell>
          <cell r="AA17">
            <v>31100</v>
          </cell>
          <cell r="AB17">
            <v>31100</v>
          </cell>
          <cell r="AC17">
            <v>32600</v>
          </cell>
          <cell r="AD17">
            <v>35232</v>
          </cell>
          <cell r="AE17">
            <v>38500</v>
          </cell>
          <cell r="AF17">
            <v>40400</v>
          </cell>
          <cell r="AG17">
            <v>40400</v>
          </cell>
          <cell r="AH17">
            <v>39300</v>
          </cell>
          <cell r="AI17">
            <v>38900</v>
          </cell>
          <cell r="AJ17">
            <v>43400</v>
          </cell>
          <cell r="AK17">
            <v>46400</v>
          </cell>
          <cell r="AL17">
            <v>46022.880737048108</v>
          </cell>
          <cell r="AM17">
            <v>46400</v>
          </cell>
          <cell r="AN17">
            <v>45900</v>
          </cell>
          <cell r="AO17">
            <v>42300</v>
          </cell>
          <cell r="AP17">
            <v>51333.97455451468</v>
          </cell>
          <cell r="AQ17">
            <v>51333.97455451468</v>
          </cell>
          <cell r="AR17">
            <v>49100</v>
          </cell>
          <cell r="AS17">
            <v>54200</v>
          </cell>
          <cell r="AT17">
            <v>58100</v>
          </cell>
          <cell r="AU17">
            <v>60500</v>
          </cell>
          <cell r="AV17">
            <v>60500</v>
          </cell>
          <cell r="AW17">
            <v>68500</v>
          </cell>
          <cell r="AX17">
            <v>62900</v>
          </cell>
          <cell r="AY17">
            <v>58300</v>
          </cell>
          <cell r="AZ17">
            <v>59600</v>
          </cell>
          <cell r="BA17">
            <v>59600</v>
          </cell>
          <cell r="BB17">
            <v>52100</v>
          </cell>
          <cell r="BC17">
            <v>46000</v>
          </cell>
          <cell r="BD17">
            <v>41500</v>
          </cell>
          <cell r="BE17">
            <v>42000</v>
          </cell>
          <cell r="BF17">
            <v>42000</v>
          </cell>
          <cell r="BG17">
            <v>42500</v>
          </cell>
          <cell r="BH17">
            <v>44000</v>
          </cell>
          <cell r="BI17">
            <v>45000</v>
          </cell>
          <cell r="BJ17">
            <v>46500</v>
          </cell>
          <cell r="BK17">
            <v>46500</v>
          </cell>
          <cell r="CD17">
            <v>57890</v>
          </cell>
          <cell r="CE17">
            <v>57890</v>
          </cell>
          <cell r="CJ17">
            <v>57910</v>
          </cell>
          <cell r="CO17">
            <v>57500</v>
          </cell>
          <cell r="CT17">
            <v>57500</v>
          </cell>
        </row>
        <row r="18">
          <cell r="R18">
            <v>2039</v>
          </cell>
          <cell r="S18">
            <v>2331</v>
          </cell>
          <cell r="T18">
            <v>3203</v>
          </cell>
          <cell r="U18">
            <v>3604</v>
          </cell>
          <cell r="V18">
            <v>4501</v>
          </cell>
          <cell r="W18">
            <v>4501</v>
          </cell>
          <cell r="X18">
            <v>5000</v>
          </cell>
          <cell r="Y18">
            <v>6400</v>
          </cell>
          <cell r="Z18">
            <v>7311</v>
          </cell>
          <cell r="AA18">
            <v>8529</v>
          </cell>
          <cell r="AB18">
            <v>8529</v>
          </cell>
          <cell r="AC18">
            <v>9000</v>
          </cell>
          <cell r="AD18">
            <v>10000</v>
          </cell>
          <cell r="AE18">
            <v>11000</v>
          </cell>
          <cell r="AG18">
            <v>10613.778580659948</v>
          </cell>
          <cell r="AL18">
            <v>12269.090915070212</v>
          </cell>
          <cell r="AQ18">
            <v>13536.508483316673</v>
          </cell>
          <cell r="AV18">
            <v>14986.655880583703</v>
          </cell>
          <cell r="BA18">
            <v>15471.448255635682</v>
          </cell>
          <cell r="BF18">
            <v>16001.809501838876</v>
          </cell>
          <cell r="BK18">
            <v>18000</v>
          </cell>
        </row>
        <row r="19">
          <cell r="R19">
            <v>0</v>
          </cell>
          <cell r="S19">
            <v>0</v>
          </cell>
          <cell r="T19">
            <v>500</v>
          </cell>
          <cell r="U19">
            <v>1040</v>
          </cell>
          <cell r="V19">
            <v>1340</v>
          </cell>
          <cell r="W19">
            <v>1340</v>
          </cell>
          <cell r="X19">
            <v>1600</v>
          </cell>
          <cell r="Y19">
            <v>1900</v>
          </cell>
          <cell r="Z19">
            <v>2300</v>
          </cell>
          <cell r="AA19">
            <v>2700</v>
          </cell>
          <cell r="AB19">
            <v>2700</v>
          </cell>
          <cell r="AC19">
            <v>3000</v>
          </cell>
          <cell r="AD19">
            <v>4000</v>
          </cell>
          <cell r="AE19">
            <v>5000</v>
          </cell>
          <cell r="AG19">
            <v>4337.3071148765248</v>
          </cell>
          <cell r="AL19">
            <v>6143.5074034139798</v>
          </cell>
          <cell r="AQ19">
            <v>6778.1419715036982</v>
          </cell>
          <cell r="AV19">
            <v>8884.2719972493705</v>
          </cell>
          <cell r="BA19">
            <v>7307.0686698495165</v>
          </cell>
          <cell r="BF19">
            <v>0</v>
          </cell>
          <cell r="BK19">
            <v>4800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osat vs XL"/>
      <sheetName val="Charts"/>
      <sheetName val="Indonesia broadband"/>
      <sheetName val="Indonesian mobile"/>
      <sheetName val="Comps"/>
      <sheetName val="Enterprise"/>
      <sheetName val="Relative valuation"/>
      <sheetName val="Inputs"/>
      <sheetName val="Relative valuations - old"/>
      <sheetName val="Sheet1"/>
      <sheetName val="Java"/>
      <sheetName val="Ownership"/>
      <sheetName val="Churn"/>
      <sheetName val="Hutch Indo"/>
      <sheetName val="Interconnect"/>
      <sheetName val="Revenue - old"/>
      <sheetName val="Broadband workings"/>
      <sheetName val="Quarterly data"/>
      <sheetName val="Link page for fixed model"/>
      <sheetName val="REvenue share"/>
      <sheetName val="Link Page (Mob) for Dec ye"/>
      <sheetName val="link page (Mob) for march ye"/>
      <sheetName val="Data acceleration"/>
      <sheetName val="3G base stations"/>
      <sheetName val="Annual market revs"/>
      <sheetName val="Smartphone Info"/>
      <sheetName val="Spectrum"/>
      <sheetName val="Pricing"/>
    </sheetNames>
    <sheetDataSet>
      <sheetData sheetId="0" refreshError="1"/>
      <sheetData sheetId="1" refreshError="1"/>
      <sheetData sheetId="2" refreshError="1"/>
      <sheetData sheetId="3">
        <row r="5">
          <cell r="CY5">
            <v>279798.049</v>
          </cell>
        </row>
        <row r="7">
          <cell r="CY7">
            <v>1.2902604800000002</v>
          </cell>
        </row>
        <row r="15">
          <cell r="CU15">
            <v>159668</v>
          </cell>
          <cell r="CV15">
            <v>159882</v>
          </cell>
          <cell r="CW15">
            <v>158416</v>
          </cell>
          <cell r="CX15">
            <v>159389</v>
          </cell>
          <cell r="CY15">
            <v>159389</v>
          </cell>
        </row>
        <row r="16">
          <cell r="CU16">
            <v>100800</v>
          </cell>
          <cell r="CV16">
            <v>100900</v>
          </cell>
          <cell r="CW16">
            <v>98700</v>
          </cell>
          <cell r="CX16">
            <v>94700</v>
          </cell>
          <cell r="CY16">
            <v>94700</v>
          </cell>
        </row>
        <row r="17">
          <cell r="CU17">
            <v>57600</v>
          </cell>
          <cell r="CV17">
            <v>58500</v>
          </cell>
          <cell r="CW17">
            <v>58600</v>
          </cell>
          <cell r="CX17">
            <v>58800</v>
          </cell>
          <cell r="CY17">
            <v>58800</v>
          </cell>
        </row>
        <row r="21">
          <cell r="CO21">
            <v>352641.71391999995</v>
          </cell>
          <cell r="CT21">
            <v>356664.65086463996</v>
          </cell>
          <cell r="CY21">
            <v>361012.36500580359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Link for sector review"/>
      <sheetName val="Anna"/>
      <sheetName val="DCF"/>
      <sheetName val="link for Telenor"/>
      <sheetName val="For notes"/>
      <sheetName val="Financials"/>
      <sheetName val="Forecasts for snaps"/>
      <sheetName val="Feeder sheet LISBON"/>
      <sheetName val="Notes for snaps (Hard Figures)"/>
      <sheetName val="Lisbon - New"/>
      <sheetName val="Version History"/>
      <sheetName val="ARPU versus income"/>
      <sheetName val="New vs Old"/>
      <sheetName val="MASTER"/>
    </sheetNames>
    <sheetDataSet>
      <sheetData sheetId="0" refreshError="1"/>
      <sheetData sheetId="1" refreshError="1"/>
      <sheetData sheetId="2" refreshError="1"/>
      <sheetData sheetId="3" refreshError="1">
        <row r="34">
          <cell r="A34" t="str">
            <v>Rf</v>
          </cell>
        </row>
        <row r="35">
          <cell r="A35" t="str">
            <v>Tax rate</v>
          </cell>
        </row>
        <row r="36">
          <cell r="A36" t="str">
            <v>Equity premium</v>
          </cell>
        </row>
        <row r="37">
          <cell r="A37" t="str">
            <v>Debt Premium</v>
          </cell>
        </row>
        <row r="38">
          <cell r="A38" t="str">
            <v>Cost of Equity</v>
          </cell>
        </row>
        <row r="39">
          <cell r="A39" t="str">
            <v>Cost of Debt</v>
          </cell>
        </row>
        <row r="40">
          <cell r="A40" t="str">
            <v>Debt/Equity</v>
          </cell>
        </row>
        <row r="41">
          <cell r="A41" t="str">
            <v>WACC</v>
          </cell>
        </row>
        <row r="42">
          <cell r="A42" t="str">
            <v>Terminal growth</v>
          </cell>
        </row>
      </sheetData>
      <sheetData sheetId="4" refreshError="1"/>
      <sheetData sheetId="5" refreshError="1"/>
      <sheetData sheetId="6" refreshError="1">
        <row r="5">
          <cell r="Q5">
            <v>27174</v>
          </cell>
        </row>
        <row r="116">
          <cell r="BA116">
            <v>2.1879021879021909E-2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SOP"/>
      <sheetName val="Financials"/>
      <sheetName val="Balance sheet and cash-flow"/>
      <sheetName val="Telkomsel"/>
      <sheetName val="Fixed"/>
      <sheetName val="Anna"/>
      <sheetName val="Lisbon - New"/>
      <sheetName val="Enterprise"/>
      <sheetName val="Charts"/>
      <sheetName val="New vs. old"/>
      <sheetName val="Sheet1"/>
    </sheetNames>
    <sheetDataSet>
      <sheetData sheetId="0" refreshError="1"/>
      <sheetData sheetId="1" refreshError="1"/>
      <sheetData sheetId="2"/>
      <sheetData sheetId="3" refreshError="1"/>
      <sheetData sheetId="4">
        <row r="149">
          <cell r="BU149">
            <v>5960</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_FDSCACHE__"/>
      <sheetName val="Interims"/>
      <sheetName val="quarterly"/>
      <sheetName val="Cover"/>
      <sheetName val="SoTP"/>
      <sheetName val="Valuation"/>
      <sheetName val="Master"/>
      <sheetName val="Summary"/>
      <sheetName val="Indonesia (XL Axiata)"/>
      <sheetName val="Sri Lanka (Dialog)"/>
      <sheetName val="Bangladesh (Robi)"/>
      <sheetName val="Linknet"/>
      <sheetName val="Edotco"/>
      <sheetName val="Cambodia (Smart)"/>
      <sheetName val="Inputs"/>
      <sheetName val="Exchange Rates"/>
      <sheetName val="Shareholding"/>
      <sheetName val="Workings"/>
      <sheetName val="ANNA"/>
      <sheetName val="LISBON - new"/>
      <sheetName val="Nepal (NCell)"/>
      <sheetName val="Malaysia (Celcom)"/>
      <sheetName val="Changes"/>
      <sheetName val="Dialog + Bharti Airtel Lanka"/>
      <sheetName val="Guidance"/>
      <sheetName val="Valuation - old"/>
      <sheetName val="Cambodia (Hello) "/>
      <sheetName val="Associates"/>
      <sheetName val="LISBON"/>
      <sheetName val="Proportionate data"/>
      <sheetName val="Merger"/>
      <sheetName val="Valuation at Market"/>
      <sheetName val="Quarterlies"/>
      <sheetName val="Enterprise"/>
      <sheetName val="For notes"/>
      <sheetName val="2003 deals"/>
      <sheetName val="changes q32003"/>
      <sheetName val="ITU inputs for mobile"/>
      <sheetName val="buyback"/>
      <sheetName val="restated prior years"/>
      <sheetName val="Debt"/>
      <sheetName val="Debt ratios"/>
      <sheetName val="New vs old"/>
      <sheetName val="Bangladesh LISBON - N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
          <cell r="B6" t="str">
            <v>6888-MY</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_FDSCACHE__"/>
      <sheetName val="Cover"/>
      <sheetName val="Colour code"/>
      <sheetName val="SOP"/>
      <sheetName val="Valuation"/>
      <sheetName val="Master"/>
      <sheetName val="Balance sheet and cash-flow"/>
      <sheetName val="Telkomsel"/>
      <sheetName val="Fixed"/>
      <sheetName val="Inputs"/>
      <sheetName val="Snap"/>
      <sheetName val="Vs Consensus"/>
      <sheetName val="Forecast changes"/>
      <sheetName val="VA"/>
      <sheetName val="Seasonality"/>
      <sheetName val="Anna"/>
      <sheetName val="Lisbon - New"/>
      <sheetName val="Link for Market model"/>
      <sheetName val="Link for Singtel"/>
      <sheetName val="Disclaimer"/>
      <sheetName val="Workings"/>
      <sheetName val="Reported Group Highlights"/>
      <sheetName val="Telkomsel-Indihome"/>
      <sheetName val="Enterprise"/>
      <sheetName val="Charts"/>
      <sheetName val="New vs. old"/>
      <sheetName val="Sheet1"/>
      <sheetName val="Spectrum workings"/>
    </sheetNames>
    <sheetDataSet>
      <sheetData sheetId="0"/>
      <sheetData sheetId="1"/>
      <sheetData sheetId="2"/>
      <sheetData sheetId="3"/>
      <sheetData sheetId="4"/>
      <sheetData sheetId="5"/>
      <sheetData sheetId="6"/>
      <sheetData sheetId="7">
        <row r="180">
          <cell r="DA180">
            <v>9.739084316234882E-2</v>
          </cell>
        </row>
        <row r="199">
          <cell r="DA199">
            <v>3199.3704029184009</v>
          </cell>
        </row>
        <row r="207">
          <cell r="DA207">
            <v>0.99999999999999989</v>
          </cell>
        </row>
        <row r="214">
          <cell r="DA214">
            <v>39512</v>
          </cell>
        </row>
        <row r="218">
          <cell r="DA218">
            <v>7981</v>
          </cell>
        </row>
        <row r="222">
          <cell r="DA222">
            <v>1822</v>
          </cell>
        </row>
        <row r="234">
          <cell r="DA234">
            <v>3.1692533020407802E-2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of the parts"/>
      <sheetName val="Financials"/>
      <sheetName val="Balance sheet and cash-flow"/>
      <sheetName val="Telkomsel"/>
      <sheetName val="Fixed"/>
      <sheetName val="Anna"/>
      <sheetName val="Lisbon - New"/>
      <sheetName val="Enterprise"/>
      <sheetName val="Charts"/>
      <sheetName val="New vs. old"/>
      <sheetName val="Sheet1"/>
      <sheetName val="Cover"/>
      <sheetName val="SOP"/>
      <sheetName val="Telkomsel-Indihome"/>
      <sheetName val="Reported Group Highlights"/>
      <sheetName val="Forecast changes"/>
    </sheetNames>
    <sheetDataSet>
      <sheetData sheetId="0" refreshError="1"/>
      <sheetData sheetId="1" refreshError="1"/>
      <sheetData sheetId="2">
        <row r="46">
          <cell r="L46">
            <v>34612</v>
          </cell>
          <cell r="M46">
            <v>31799</v>
          </cell>
          <cell r="N46">
            <v>35472</v>
          </cell>
          <cell r="O46">
            <v>44087</v>
          </cell>
          <cell r="P46">
            <v>52084</v>
          </cell>
          <cell r="Q46">
            <v>65462</v>
          </cell>
          <cell r="R46">
            <v>69078</v>
          </cell>
          <cell r="S46">
            <v>53795.718051954063</v>
          </cell>
          <cell r="T46">
            <v>42736.031255545648</v>
          </cell>
          <cell r="U46">
            <v>31610.081030008354</v>
          </cell>
          <cell r="V46">
            <v>18144.34583441665</v>
          </cell>
        </row>
        <row r="47">
          <cell r="L47">
            <v>93428</v>
          </cell>
          <cell r="M47">
            <v>105544</v>
          </cell>
          <cell r="N47">
            <v>112130</v>
          </cell>
          <cell r="O47">
            <v>117303</v>
          </cell>
          <cell r="P47">
            <v>117250</v>
          </cell>
          <cell r="Q47">
            <v>120889</v>
          </cell>
          <cell r="R47">
            <v>145399</v>
          </cell>
          <cell r="S47">
            <v>158346.5147597098</v>
          </cell>
          <cell r="T47">
            <v>167698.35897989472</v>
          </cell>
          <cell r="U47">
            <v>177684.60096431631</v>
          </cell>
          <cell r="V47">
            <v>188550.72009347548</v>
          </cell>
        </row>
      </sheetData>
      <sheetData sheetId="3" refreshError="1"/>
      <sheetData sheetId="4" refreshError="1"/>
      <sheetData sheetId="5">
        <row r="15">
          <cell r="W15">
            <v>484.99929337182778</v>
          </cell>
        </row>
        <row r="19">
          <cell r="O19">
            <v>37103</v>
          </cell>
          <cell r="P19">
            <v>36559</v>
          </cell>
          <cell r="Q19">
            <v>39757</v>
          </cell>
          <cell r="R19">
            <v>41776</v>
          </cell>
          <cell r="S19">
            <v>45844</v>
          </cell>
          <cell r="T19">
            <v>51415</v>
          </cell>
          <cell r="U19">
            <v>59498</v>
          </cell>
          <cell r="V19">
            <v>64609</v>
          </cell>
          <cell r="W19">
            <v>59181</v>
          </cell>
          <cell r="X19">
            <v>64832</v>
          </cell>
          <cell r="Y19">
            <v>72080</v>
          </cell>
          <cell r="Z19">
            <v>76606</v>
          </cell>
          <cell r="AA19">
            <v>86602.569258468051</v>
          </cell>
          <cell r="AB19">
            <v>94400.216117812772</v>
          </cell>
          <cell r="AC19">
            <v>102473.4000208573</v>
          </cell>
          <cell r="AD19">
            <v>111019.40708786644</v>
          </cell>
        </row>
        <row r="20">
          <cell r="O20">
            <v>14611</v>
          </cell>
          <cell r="P20">
            <v>14863</v>
          </cell>
          <cell r="Q20">
            <v>14456</v>
          </cell>
          <cell r="R20">
            <v>15780</v>
          </cell>
          <cell r="S20">
            <v>17131</v>
          </cell>
          <cell r="T20">
            <v>18534</v>
          </cell>
          <cell r="U20">
            <v>18532</v>
          </cell>
          <cell r="V20">
            <v>14681</v>
          </cell>
          <cell r="W20">
            <v>5533</v>
          </cell>
          <cell r="X20">
            <v>23178</v>
          </cell>
          <cell r="Y20">
            <v>28892</v>
          </cell>
          <cell r="Z20">
            <v>31816</v>
          </cell>
          <cell r="AA20">
            <v>33883.383081361797</v>
          </cell>
          <cell r="AB20">
            <v>36045.828724820502</v>
          </cell>
          <cell r="AC20">
            <v>38431.141027124482</v>
          </cell>
          <cell r="AD20">
            <v>41037.675289007035</v>
          </cell>
        </row>
        <row r="22">
          <cell r="O22">
            <v>14951</v>
          </cell>
          <cell r="P22">
            <v>14317</v>
          </cell>
          <cell r="Q22">
            <v>19388.951855953906</v>
          </cell>
          <cell r="R22">
            <v>20800</v>
          </cell>
          <cell r="S22">
            <v>24600</v>
          </cell>
          <cell r="T22">
            <v>26400</v>
          </cell>
          <cell r="U22">
            <v>29200</v>
          </cell>
          <cell r="V22">
            <v>33292</v>
          </cell>
          <cell r="W22">
            <v>34834</v>
          </cell>
          <cell r="X22">
            <v>37226</v>
          </cell>
          <cell r="Y22">
            <v>32098</v>
          </cell>
          <cell r="Z22">
            <v>32557</v>
          </cell>
          <cell r="AA22">
            <v>32231.425451854288</v>
          </cell>
          <cell r="AB22">
            <v>35489.806166907416</v>
          </cell>
          <cell r="AC22">
            <v>38742.633698103149</v>
          </cell>
          <cell r="AD22">
            <v>40089.593420417201</v>
          </cell>
        </row>
      </sheetData>
      <sheetData sheetId="6" refreshError="1"/>
      <sheetData sheetId="7" refreshError="1"/>
      <sheetData sheetId="8" refreshError="1"/>
      <sheetData sheetId="9" refreshError="1"/>
      <sheetData sheetId="10" refreshError="1"/>
      <sheetData sheetId="11"/>
      <sheetData sheetId="12"/>
      <sheetData sheetId="13"/>
      <sheetData sheetId="14"/>
      <sheetData sheetId="1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of the parts"/>
      <sheetName val="Financials"/>
      <sheetName val="Mobile"/>
      <sheetName val="MIDI"/>
      <sheetName val="Fixed Services"/>
      <sheetName val="Anna"/>
      <sheetName val="Merger with Hutchison"/>
      <sheetName val="Lisbon - New"/>
      <sheetName val="New vs old"/>
      <sheetName val="Contents"/>
      <sheetName val="Version History"/>
      <sheetName val="link for sector review"/>
      <sheetName val="DCF"/>
      <sheetName val="Link for Qtel"/>
      <sheetName val="For notes"/>
      <sheetName val="Mobile data estimation"/>
      <sheetName val="Liquidity"/>
      <sheetName val="Charts"/>
      <sheetName val="Debt maturity"/>
      <sheetName val="LISBON"/>
      <sheetName val="XL Indosat"/>
    </sheetNames>
    <sheetDataSet>
      <sheetData sheetId="0"/>
      <sheetData sheetId="1">
        <row r="4">
          <cell r="CD4">
            <v>4282.9000000000005</v>
          </cell>
        </row>
        <row r="150">
          <cell r="BE150">
            <v>26173</v>
          </cell>
          <cell r="BJ150">
            <v>23121</v>
          </cell>
          <cell r="BO150">
            <v>22059</v>
          </cell>
          <cell r="BT150">
            <v>24946</v>
          </cell>
          <cell r="BY150">
            <v>30107</v>
          </cell>
          <cell r="CD150">
            <v>27820.317000000003</v>
          </cell>
          <cell r="CI150">
            <v>33482.883000000002</v>
          </cell>
          <cell r="CK150">
            <v>0</v>
          </cell>
          <cell r="CL150">
            <v>42767.869526667309</v>
          </cell>
          <cell r="CM150">
            <v>37929.738935796777</v>
          </cell>
          <cell r="CN150">
            <v>31343.253604821017</v>
          </cell>
        </row>
        <row r="151">
          <cell r="BE151">
            <v>13264</v>
          </cell>
          <cell r="BJ151">
            <v>14177</v>
          </cell>
          <cell r="BO151">
            <v>14816</v>
          </cell>
          <cell r="BT151">
            <v>12137</v>
          </cell>
          <cell r="BY151">
            <v>13708</v>
          </cell>
          <cell r="CD151">
            <v>12913.395999999993</v>
          </cell>
          <cell r="CI151">
            <v>10302.802</v>
          </cell>
          <cell r="CK151">
            <v>0</v>
          </cell>
          <cell r="CL151">
            <v>12762.432522545649</v>
          </cell>
          <cell r="CM151">
            <v>16817.839409258057</v>
          </cell>
          <cell r="CN151">
            <v>23453.269671103379</v>
          </cell>
        </row>
      </sheetData>
      <sheetData sheetId="2">
        <row r="14">
          <cell r="N14">
            <v>20007</v>
          </cell>
        </row>
      </sheetData>
      <sheetData sheetId="3">
        <row r="16">
          <cell r="BA16">
            <v>137</v>
          </cell>
        </row>
      </sheetData>
      <sheetData sheetId="4">
        <row r="23">
          <cell r="L23">
            <v>-0.28393383186041243</v>
          </cell>
        </row>
      </sheetData>
      <sheetData sheetId="5">
        <row r="15">
          <cell r="W15">
            <v>778.55029531362163</v>
          </cell>
        </row>
        <row r="19">
          <cell r="O19">
            <v>9625.8999999999978</v>
          </cell>
          <cell r="P19">
            <v>9409.6</v>
          </cell>
          <cell r="Q19">
            <v>10574</v>
          </cell>
          <cell r="R19">
            <v>10376</v>
          </cell>
          <cell r="S19">
            <v>10059</v>
          </cell>
          <cell r="T19">
            <v>11472.999999999998</v>
          </cell>
          <cell r="U19">
            <v>12864</v>
          </cell>
          <cell r="V19">
            <v>12769</v>
          </cell>
          <cell r="W19">
            <v>13135.297000000002</v>
          </cell>
          <cell r="X19">
            <v>9856.0280000000002</v>
          </cell>
          <cell r="Y19">
            <v>11433.196</v>
          </cell>
          <cell r="Z19">
            <v>13885.536999999998</v>
          </cell>
          <cell r="AA19">
            <v>20420.634888199093</v>
          </cell>
          <cell r="AB19">
            <v>23066.981822073638</v>
          </cell>
          <cell r="AC19">
            <v>26355.222447583168</v>
          </cell>
          <cell r="AD19">
            <v>30056.227036277785</v>
          </cell>
        </row>
        <row r="20">
          <cell r="O20">
            <v>6151.9</v>
          </cell>
          <cell r="P20">
            <v>6580</v>
          </cell>
          <cell r="Q20">
            <v>7106</v>
          </cell>
          <cell r="R20">
            <v>8958</v>
          </cell>
          <cell r="S20">
            <v>8226</v>
          </cell>
          <cell r="T20">
            <v>8769</v>
          </cell>
          <cell r="U20">
            <v>8973</v>
          </cell>
          <cell r="V20">
            <v>8853</v>
          </cell>
          <cell r="W20">
            <v>8249</v>
          </cell>
          <cell r="X20">
            <v>9569.9</v>
          </cell>
          <cell r="Y20">
            <v>10011.415000000001</v>
          </cell>
          <cell r="Z20">
            <v>10204</v>
          </cell>
          <cell r="AA20">
            <v>12428.605932210001</v>
          </cell>
          <cell r="AB20">
            <v>12790.0576879893</v>
          </cell>
          <cell r="AC20">
            <v>13172.393523142538</v>
          </cell>
          <cell r="AD20">
            <v>13566.172115440648</v>
          </cell>
        </row>
        <row r="22">
          <cell r="O22">
            <v>6495.1</v>
          </cell>
          <cell r="P22">
            <v>6292</v>
          </cell>
          <cell r="Q22">
            <v>6300</v>
          </cell>
          <cell r="R22">
            <v>9669</v>
          </cell>
          <cell r="S22">
            <v>6443</v>
          </cell>
          <cell r="T22">
            <v>7354</v>
          </cell>
          <cell r="U22">
            <v>6377</v>
          </cell>
          <cell r="V22">
            <v>6237</v>
          </cell>
          <cell r="W22">
            <v>9288.61</v>
          </cell>
          <cell r="X22">
            <v>11687.21</v>
          </cell>
          <cell r="Y22">
            <v>8678</v>
          </cell>
          <cell r="Z22">
            <v>6891.5</v>
          </cell>
          <cell r="AA22">
            <v>10408.542918483416</v>
          </cell>
          <cell r="AB22">
            <v>11464.955009022362</v>
          </cell>
          <cell r="AC22">
            <v>12519.927814995219</v>
          </cell>
          <cell r="AD22">
            <v>12489.299707264081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Link for sector review"/>
      <sheetName val="Anna"/>
      <sheetName val="DCF"/>
      <sheetName val="link for Telenor"/>
      <sheetName val="For notes"/>
      <sheetName val="Financials"/>
      <sheetName val="Forecasts for snaps"/>
      <sheetName val="Feeder sheet LISBON"/>
      <sheetName val="Notes for snaps (Hard Figures)"/>
      <sheetName val="Lisbon - New"/>
      <sheetName val="Version History"/>
      <sheetName val="ARPU versus income"/>
      <sheetName val="New vs Old"/>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sheetName val="2002 Total"/>
      <sheetName val="EBITDA mnd"/>
      <sheetName val="R2002"/>
      <sheetName val="B2002"/>
      <sheetName val="ASK"/>
      <sheetName val="Standardkalkyle"/>
      <sheetName val="Diagram DB"/>
      <sheetName val="Omsetning diagram"/>
      <sheetName val="Grunnlag diagram"/>
      <sheetName val="Grunndata"/>
      <sheetName val="A-sted"/>
      <sheetName val="K-kost"/>
    </sheetNames>
    <sheetDataSet>
      <sheetData sheetId="0" refreshError="1"/>
      <sheetData sheetId="1"/>
      <sheetData sheetId="2" refreshError="1"/>
      <sheetData sheetId="3"/>
      <sheetData sheetId="4"/>
      <sheetData sheetId="5" refreshError="1"/>
      <sheetData sheetId="6" refreshError="1"/>
      <sheetData sheetId="7" refreshError="1"/>
      <sheetData sheetId="8" refreshError="1"/>
      <sheetData sheetId="9" refreshError="1"/>
      <sheetData sheetId="10"/>
      <sheetData sheetId="11" refreshError="1">
        <row r="8">
          <cell r="A8" t="str">
            <v>92000</v>
          </cell>
          <cell r="B8">
            <v>572754.43999999994</v>
          </cell>
          <cell r="C8">
            <v>638109.75</v>
          </cell>
          <cell r="D8">
            <v>455414.35</v>
          </cell>
          <cell r="E8">
            <v>633339.72</v>
          </cell>
          <cell r="F8">
            <v>1213897.45</v>
          </cell>
          <cell r="G8">
            <v>1357058.72</v>
          </cell>
          <cell r="H8">
            <v>906607.45</v>
          </cell>
          <cell r="I8">
            <v>1485501.87</v>
          </cell>
          <cell r="J8">
            <v>1471471.16</v>
          </cell>
          <cell r="O8" t="str">
            <v>92000</v>
          </cell>
          <cell r="P8">
            <v>572754.43999999994</v>
          </cell>
          <cell r="Q8">
            <v>1210864.19</v>
          </cell>
          <cell r="R8">
            <v>1666278.54</v>
          </cell>
          <cell r="S8">
            <v>2299618.2599999998</v>
          </cell>
          <cell r="T8">
            <v>3513515.71</v>
          </cell>
          <cell r="U8">
            <v>4870574.43</v>
          </cell>
          <cell r="V8">
            <v>5777181.8799999999</v>
          </cell>
          <cell r="W8">
            <v>7262683.75</v>
          </cell>
          <cell r="X8">
            <v>8734154.9100000001</v>
          </cell>
          <cell r="Y8">
            <v>8734154.9100000001</v>
          </cell>
          <cell r="Z8">
            <v>8734154.9100000001</v>
          </cell>
          <cell r="AA8">
            <v>8734154.9100000001</v>
          </cell>
        </row>
        <row r="9">
          <cell r="A9" t="str">
            <v>92100</v>
          </cell>
          <cell r="B9">
            <v>154549.20000000001</v>
          </cell>
          <cell r="C9">
            <v>181790.48</v>
          </cell>
          <cell r="D9">
            <v>-52647.27</v>
          </cell>
          <cell r="E9">
            <v>94947.77</v>
          </cell>
          <cell r="F9">
            <v>104831.27</v>
          </cell>
          <cell r="G9">
            <v>84803.5</v>
          </cell>
          <cell r="H9">
            <v>80114.16</v>
          </cell>
          <cell r="I9">
            <v>83136.800000000003</v>
          </cell>
          <cell r="J9">
            <v>102074.35</v>
          </cell>
          <cell r="O9" t="str">
            <v>92100</v>
          </cell>
          <cell r="P9">
            <v>154549.20000000001</v>
          </cell>
          <cell r="Q9">
            <v>336339.68000000005</v>
          </cell>
          <cell r="R9">
            <v>283692.41000000003</v>
          </cell>
          <cell r="S9">
            <v>378640.18000000005</v>
          </cell>
          <cell r="T9">
            <v>483471.45000000007</v>
          </cell>
          <cell r="U9">
            <v>568274.95000000007</v>
          </cell>
          <cell r="V9">
            <v>648389.1100000001</v>
          </cell>
          <cell r="W9">
            <v>731525.91000000015</v>
          </cell>
          <cell r="X9">
            <v>833600.26000000013</v>
          </cell>
          <cell r="Y9">
            <v>833600.26000000013</v>
          </cell>
          <cell r="Z9">
            <v>833600.26000000013</v>
          </cell>
          <cell r="AA9">
            <v>833600.26000000013</v>
          </cell>
        </row>
        <row r="10">
          <cell r="A10" t="str">
            <v>92200</v>
          </cell>
          <cell r="B10">
            <v>808138.91</v>
          </cell>
          <cell r="C10">
            <v>978397.38</v>
          </cell>
          <cell r="D10">
            <v>1381144</v>
          </cell>
          <cell r="E10">
            <v>1168586.22</v>
          </cell>
          <cell r="F10">
            <v>373605.36</v>
          </cell>
          <cell r="G10">
            <v>887938.18</v>
          </cell>
          <cell r="H10">
            <v>652326.82999999996</v>
          </cell>
          <cell r="I10">
            <v>485790.25</v>
          </cell>
          <cell r="J10">
            <v>856444.17</v>
          </cell>
          <cell r="O10" t="str">
            <v>92200</v>
          </cell>
          <cell r="P10">
            <v>808138.91</v>
          </cell>
          <cell r="Q10">
            <v>1786536.29</v>
          </cell>
          <cell r="R10">
            <v>3167680.29</v>
          </cell>
          <cell r="S10">
            <v>4336266.51</v>
          </cell>
          <cell r="T10">
            <v>4709871.87</v>
          </cell>
          <cell r="U10">
            <v>5597810.0499999998</v>
          </cell>
          <cell r="V10">
            <v>6250136.8799999999</v>
          </cell>
          <cell r="W10">
            <v>6735927.1299999999</v>
          </cell>
          <cell r="X10">
            <v>7592371.2999999998</v>
          </cell>
          <cell r="Y10">
            <v>7592371.2999999998</v>
          </cell>
          <cell r="Z10">
            <v>7592371.2999999998</v>
          </cell>
          <cell r="AA10">
            <v>7592371.2999999998</v>
          </cell>
        </row>
        <row r="11">
          <cell r="A11" t="str">
            <v>92305</v>
          </cell>
          <cell r="C11">
            <v>813.5</v>
          </cell>
          <cell r="D11">
            <v>-300000</v>
          </cell>
          <cell r="G11">
            <v>2325000</v>
          </cell>
          <cell r="H11">
            <v>1666</v>
          </cell>
          <cell r="O11" t="str">
            <v>92305</v>
          </cell>
          <cell r="P11">
            <v>0</v>
          </cell>
          <cell r="Q11">
            <v>813.5</v>
          </cell>
          <cell r="R11">
            <v>-299186.5</v>
          </cell>
          <cell r="S11">
            <v>-299186.5</v>
          </cell>
          <cell r="T11">
            <v>-299186.5</v>
          </cell>
          <cell r="U11">
            <v>2025813.5</v>
          </cell>
          <cell r="V11">
            <v>2027479.5</v>
          </cell>
          <cell r="W11">
            <v>2027479.5</v>
          </cell>
          <cell r="X11">
            <v>2027479.5</v>
          </cell>
          <cell r="Y11">
            <v>2027479.5</v>
          </cell>
          <cell r="Z11">
            <v>2027479.5</v>
          </cell>
          <cell r="AA11">
            <v>2027479.5</v>
          </cell>
        </row>
        <row r="12">
          <cell r="A12" t="str">
            <v>92310</v>
          </cell>
          <cell r="C12">
            <v>-0.16000000000349246</v>
          </cell>
          <cell r="D12">
            <v>767</v>
          </cell>
          <cell r="H12">
            <v>1153</v>
          </cell>
          <cell r="I12">
            <v>83760</v>
          </cell>
          <cell r="J12">
            <v>34276.18</v>
          </cell>
          <cell r="O12" t="str">
            <v>92310</v>
          </cell>
          <cell r="P12">
            <v>0</v>
          </cell>
          <cell r="Q12">
            <v>-0.16000000000349246</v>
          </cell>
          <cell r="R12">
            <v>766.83999999999651</v>
          </cell>
          <cell r="S12">
            <v>766.83999999999651</v>
          </cell>
          <cell r="T12">
            <v>766.83999999999651</v>
          </cell>
          <cell r="U12">
            <v>766.83999999999651</v>
          </cell>
          <cell r="V12">
            <v>1919.8399999999965</v>
          </cell>
          <cell r="W12">
            <v>85679.84</v>
          </cell>
          <cell r="X12">
            <v>119956.01999999999</v>
          </cell>
          <cell r="Y12">
            <v>119956.01999999999</v>
          </cell>
          <cell r="Z12">
            <v>119956.01999999999</v>
          </cell>
          <cell r="AA12">
            <v>119956.01999999999</v>
          </cell>
        </row>
        <row r="13">
          <cell r="A13" t="str">
            <v>92320</v>
          </cell>
          <cell r="G13">
            <v>767.21</v>
          </cell>
          <cell r="J13">
            <v>32395.7</v>
          </cell>
          <cell r="O13" t="str">
            <v>92320</v>
          </cell>
          <cell r="P13">
            <v>0</v>
          </cell>
          <cell r="Q13">
            <v>0</v>
          </cell>
          <cell r="R13">
            <v>0</v>
          </cell>
          <cell r="S13">
            <v>0</v>
          </cell>
          <cell r="T13">
            <v>0</v>
          </cell>
          <cell r="U13">
            <v>767.21</v>
          </cell>
          <cell r="V13">
            <v>767.21</v>
          </cell>
          <cell r="W13">
            <v>767.21</v>
          </cell>
          <cell r="X13">
            <v>33162.910000000003</v>
          </cell>
          <cell r="Y13">
            <v>33162.910000000003</v>
          </cell>
          <cell r="Z13">
            <v>33162.910000000003</v>
          </cell>
          <cell r="AA13">
            <v>33162.910000000003</v>
          </cell>
        </row>
        <row r="14">
          <cell r="A14" t="str">
            <v>92325</v>
          </cell>
          <cell r="B14">
            <v>2310</v>
          </cell>
          <cell r="C14">
            <v>1970</v>
          </cell>
          <cell r="D14">
            <v>5995.72</v>
          </cell>
          <cell r="E14">
            <v>11770</v>
          </cell>
          <cell r="F14">
            <v>30554</v>
          </cell>
          <cell r="G14">
            <v>44286.95</v>
          </cell>
          <cell r="H14">
            <v>86700</v>
          </cell>
          <cell r="I14">
            <v>162097.73000000001</v>
          </cell>
          <cell r="J14">
            <v>163630.28</v>
          </cell>
          <cell r="O14" t="str">
            <v>92325</v>
          </cell>
          <cell r="P14">
            <v>2310</v>
          </cell>
          <cell r="Q14">
            <v>4280</v>
          </cell>
          <cell r="R14">
            <v>10275.720000000001</v>
          </cell>
          <cell r="S14">
            <v>22045.72</v>
          </cell>
          <cell r="T14">
            <v>52599.72</v>
          </cell>
          <cell r="U14">
            <v>96886.67</v>
          </cell>
          <cell r="V14">
            <v>183586.66999999998</v>
          </cell>
          <cell r="W14">
            <v>345684.4</v>
          </cell>
          <cell r="X14">
            <v>509314.68000000005</v>
          </cell>
          <cell r="Y14">
            <v>509314.68000000005</v>
          </cell>
          <cell r="Z14">
            <v>509314.68000000005</v>
          </cell>
          <cell r="AA14">
            <v>509314.68000000005</v>
          </cell>
        </row>
        <row r="15">
          <cell r="A15" t="str">
            <v>92330</v>
          </cell>
          <cell r="F15">
            <v>1942.25</v>
          </cell>
          <cell r="O15" t="str">
            <v>92330</v>
          </cell>
          <cell r="P15">
            <v>0</v>
          </cell>
          <cell r="Q15">
            <v>0</v>
          </cell>
          <cell r="R15">
            <v>0</v>
          </cell>
          <cell r="S15">
            <v>0</v>
          </cell>
          <cell r="T15">
            <v>1942.25</v>
          </cell>
          <cell r="U15">
            <v>1942.25</v>
          </cell>
          <cell r="V15">
            <v>1942.25</v>
          </cell>
          <cell r="W15">
            <v>1942.25</v>
          </cell>
          <cell r="X15">
            <v>1942.25</v>
          </cell>
          <cell r="Y15">
            <v>1942.25</v>
          </cell>
          <cell r="Z15">
            <v>1942.25</v>
          </cell>
          <cell r="AA15">
            <v>1942.25</v>
          </cell>
        </row>
        <row r="16">
          <cell r="A16" t="str">
            <v>92335</v>
          </cell>
          <cell r="D16">
            <v>55633.68</v>
          </cell>
          <cell r="E16">
            <v>1743.93</v>
          </cell>
          <cell r="O16" t="str">
            <v>92335</v>
          </cell>
          <cell r="P16">
            <v>0</v>
          </cell>
          <cell r="Q16">
            <v>0</v>
          </cell>
          <cell r="R16">
            <v>55633.68</v>
          </cell>
          <cell r="S16">
            <v>57377.61</v>
          </cell>
          <cell r="T16">
            <v>57377.61</v>
          </cell>
          <cell r="U16">
            <v>57377.61</v>
          </cell>
          <cell r="V16">
            <v>57377.61</v>
          </cell>
          <cell r="W16">
            <v>57377.61</v>
          </cell>
          <cell r="X16">
            <v>57377.61</v>
          </cell>
          <cell r="Y16">
            <v>57377.61</v>
          </cell>
          <cell r="Z16">
            <v>57377.61</v>
          </cell>
          <cell r="AA16">
            <v>57377.61</v>
          </cell>
        </row>
        <row r="17">
          <cell r="A17" t="str">
            <v>92340</v>
          </cell>
          <cell r="C17">
            <v>64</v>
          </cell>
          <cell r="O17" t="str">
            <v>92340</v>
          </cell>
          <cell r="P17">
            <v>0</v>
          </cell>
          <cell r="Q17">
            <v>64</v>
          </cell>
          <cell r="R17">
            <v>64</v>
          </cell>
          <cell r="S17">
            <v>64</v>
          </cell>
          <cell r="T17">
            <v>64</v>
          </cell>
          <cell r="U17">
            <v>64</v>
          </cell>
          <cell r="V17">
            <v>64</v>
          </cell>
          <cell r="W17">
            <v>64</v>
          </cell>
          <cell r="X17">
            <v>64</v>
          </cell>
          <cell r="Y17">
            <v>64</v>
          </cell>
          <cell r="Z17">
            <v>64</v>
          </cell>
          <cell r="AA17">
            <v>64</v>
          </cell>
        </row>
        <row r="18">
          <cell r="A18" t="str">
            <v>92350</v>
          </cell>
          <cell r="F18">
            <v>258</v>
          </cell>
          <cell r="G18">
            <v>140</v>
          </cell>
          <cell r="O18" t="str">
            <v>92350</v>
          </cell>
          <cell r="P18">
            <v>0</v>
          </cell>
          <cell r="Q18">
            <v>0</v>
          </cell>
          <cell r="R18">
            <v>0</v>
          </cell>
          <cell r="S18">
            <v>0</v>
          </cell>
          <cell r="T18">
            <v>258</v>
          </cell>
          <cell r="U18">
            <v>398</v>
          </cell>
          <cell r="V18">
            <v>398</v>
          </cell>
          <cell r="W18">
            <v>398</v>
          </cell>
          <cell r="X18">
            <v>398</v>
          </cell>
          <cell r="Y18">
            <v>398</v>
          </cell>
          <cell r="Z18">
            <v>398</v>
          </cell>
          <cell r="AA18">
            <v>398</v>
          </cell>
        </row>
        <row r="19">
          <cell r="A19" t="str">
            <v>92355</v>
          </cell>
          <cell r="C19">
            <v>2995.3499999999767</v>
          </cell>
          <cell r="D19">
            <v>4280.38</v>
          </cell>
          <cell r="E19">
            <v>88460.32</v>
          </cell>
          <cell r="F19">
            <v>22633.599999999999</v>
          </cell>
          <cell r="G19">
            <v>276.91000000000003</v>
          </cell>
          <cell r="H19">
            <v>464.1</v>
          </cell>
          <cell r="O19" t="str">
            <v>92355</v>
          </cell>
          <cell r="P19">
            <v>0</v>
          </cell>
          <cell r="Q19">
            <v>2995.3499999999767</v>
          </cell>
          <cell r="R19">
            <v>7275.7299999999768</v>
          </cell>
          <cell r="S19">
            <v>95736.049999999988</v>
          </cell>
          <cell r="T19">
            <v>118369.65</v>
          </cell>
          <cell r="U19">
            <v>118646.56</v>
          </cell>
          <cell r="V19">
            <v>119110.66</v>
          </cell>
          <cell r="W19">
            <v>119110.66</v>
          </cell>
          <cell r="X19">
            <v>119110.66</v>
          </cell>
          <cell r="Y19">
            <v>119110.66</v>
          </cell>
          <cell r="Z19">
            <v>119110.66</v>
          </cell>
          <cell r="AA19">
            <v>119110.66</v>
          </cell>
        </row>
        <row r="20">
          <cell r="A20" t="str">
            <v>92360</v>
          </cell>
          <cell r="C20">
            <v>784.68</v>
          </cell>
          <cell r="O20" t="str">
            <v>92360</v>
          </cell>
          <cell r="P20">
            <v>0</v>
          </cell>
          <cell r="Q20">
            <v>784.68</v>
          </cell>
          <cell r="R20">
            <v>784.68</v>
          </cell>
          <cell r="S20">
            <v>784.68</v>
          </cell>
          <cell r="T20">
            <v>784.68</v>
          </cell>
          <cell r="U20">
            <v>784.68</v>
          </cell>
          <cell r="V20">
            <v>784.68</v>
          </cell>
          <cell r="W20">
            <v>784.68</v>
          </cell>
          <cell r="X20">
            <v>784.68</v>
          </cell>
          <cell r="Y20">
            <v>784.68</v>
          </cell>
          <cell r="Z20">
            <v>784.68</v>
          </cell>
          <cell r="AA20">
            <v>784.68</v>
          </cell>
        </row>
        <row r="21">
          <cell r="A21" t="str">
            <v>92365</v>
          </cell>
          <cell r="J21">
            <v>0</v>
          </cell>
          <cell r="O21" t="str">
            <v>92365</v>
          </cell>
          <cell r="P21">
            <v>0</v>
          </cell>
          <cell r="Q21">
            <v>0</v>
          </cell>
          <cell r="R21">
            <v>0</v>
          </cell>
          <cell r="S21">
            <v>0</v>
          </cell>
          <cell r="T21">
            <v>0</v>
          </cell>
          <cell r="U21">
            <v>0</v>
          </cell>
          <cell r="V21">
            <v>0</v>
          </cell>
          <cell r="W21">
            <v>0</v>
          </cell>
          <cell r="X21">
            <v>0</v>
          </cell>
          <cell r="Y21">
            <v>0</v>
          </cell>
          <cell r="Z21">
            <v>0</v>
          </cell>
          <cell r="AA21">
            <v>0</v>
          </cell>
        </row>
        <row r="22">
          <cell r="A22" t="str">
            <v>92370</v>
          </cell>
          <cell r="C22">
            <v>5334</v>
          </cell>
          <cell r="D22">
            <v>0</v>
          </cell>
          <cell r="I22">
            <v>406.5</v>
          </cell>
          <cell r="O22" t="str">
            <v>92370</v>
          </cell>
          <cell r="P22">
            <v>0</v>
          </cell>
          <cell r="Q22">
            <v>5334</v>
          </cell>
          <cell r="R22">
            <v>5334</v>
          </cell>
          <cell r="S22">
            <v>5334</v>
          </cell>
          <cell r="T22">
            <v>5334</v>
          </cell>
          <cell r="U22">
            <v>5334</v>
          </cell>
          <cell r="V22">
            <v>5334</v>
          </cell>
          <cell r="W22">
            <v>5740.5</v>
          </cell>
          <cell r="X22">
            <v>5740.5</v>
          </cell>
          <cell r="Y22">
            <v>5740.5</v>
          </cell>
          <cell r="Z22">
            <v>5740.5</v>
          </cell>
          <cell r="AA22">
            <v>5740.5</v>
          </cell>
        </row>
        <row r="23">
          <cell r="A23" t="str">
            <v>92375</v>
          </cell>
          <cell r="C23">
            <v>5069.76</v>
          </cell>
          <cell r="D23">
            <v>863.71</v>
          </cell>
          <cell r="F23">
            <v>4700.6499999999996</v>
          </cell>
          <cell r="H23">
            <v>101.82</v>
          </cell>
          <cell r="O23" t="str">
            <v>92375</v>
          </cell>
          <cell r="P23">
            <v>0</v>
          </cell>
          <cell r="Q23">
            <v>5069.76</v>
          </cell>
          <cell r="R23">
            <v>5933.47</v>
          </cell>
          <cell r="S23">
            <v>5933.47</v>
          </cell>
          <cell r="T23">
            <v>10634.119999999999</v>
          </cell>
          <cell r="U23">
            <v>10634.119999999999</v>
          </cell>
          <cell r="V23">
            <v>10735.939999999999</v>
          </cell>
          <cell r="W23">
            <v>10735.939999999999</v>
          </cell>
          <cell r="X23">
            <v>10735.939999999999</v>
          </cell>
          <cell r="Y23">
            <v>10735.939999999999</v>
          </cell>
          <cell r="Z23">
            <v>10735.939999999999</v>
          </cell>
          <cell r="AA23">
            <v>10735.939999999999</v>
          </cell>
        </row>
        <row r="24">
          <cell r="A24" t="str">
            <v>92387</v>
          </cell>
          <cell r="G24">
            <v>12181.01</v>
          </cell>
          <cell r="J24">
            <v>1330</v>
          </cell>
          <cell r="O24" t="str">
            <v>92387</v>
          </cell>
          <cell r="P24">
            <v>0</v>
          </cell>
          <cell r="Q24">
            <v>0</v>
          </cell>
          <cell r="R24">
            <v>0</v>
          </cell>
          <cell r="S24">
            <v>0</v>
          </cell>
          <cell r="T24">
            <v>0</v>
          </cell>
          <cell r="U24">
            <v>12181.01</v>
          </cell>
          <cell r="V24">
            <v>12181.01</v>
          </cell>
          <cell r="W24">
            <v>12181.01</v>
          </cell>
          <cell r="X24">
            <v>13511.01</v>
          </cell>
          <cell r="Y24">
            <v>13511.01</v>
          </cell>
          <cell r="Z24">
            <v>13511.01</v>
          </cell>
          <cell r="AA24">
            <v>13511.01</v>
          </cell>
        </row>
        <row r="25">
          <cell r="A25" t="str">
            <v>92390</v>
          </cell>
          <cell r="B25">
            <v>67167.44</v>
          </cell>
          <cell r="C25">
            <v>58636.98</v>
          </cell>
          <cell r="D25">
            <v>232738</v>
          </cell>
          <cell r="E25">
            <v>29266.03</v>
          </cell>
          <cell r="F25">
            <v>330.5</v>
          </cell>
          <cell r="H25">
            <v>1764.53</v>
          </cell>
          <cell r="I25">
            <v>87348.58</v>
          </cell>
          <cell r="J25">
            <v>17985.02</v>
          </cell>
          <cell r="O25" t="str">
            <v>92390</v>
          </cell>
          <cell r="P25">
            <v>67167.44</v>
          </cell>
          <cell r="Q25">
            <v>125804.42000000001</v>
          </cell>
          <cell r="R25">
            <v>358542.42000000004</v>
          </cell>
          <cell r="S25">
            <v>387808.45000000007</v>
          </cell>
          <cell r="T25">
            <v>388138.95000000007</v>
          </cell>
          <cell r="U25">
            <v>388138.95000000007</v>
          </cell>
          <cell r="V25">
            <v>389903.4800000001</v>
          </cell>
          <cell r="W25">
            <v>477252.06000000011</v>
          </cell>
          <cell r="X25">
            <v>495237.08000000013</v>
          </cell>
          <cell r="Y25">
            <v>495237.08000000013</v>
          </cell>
          <cell r="Z25">
            <v>495237.08000000013</v>
          </cell>
          <cell r="AA25">
            <v>495237.08000000013</v>
          </cell>
        </row>
        <row r="26">
          <cell r="A26" t="str">
            <v>92395</v>
          </cell>
          <cell r="D26">
            <v>494</v>
          </cell>
          <cell r="E26">
            <v>655.35</v>
          </cell>
          <cell r="H26">
            <v>666.4</v>
          </cell>
          <cell r="O26" t="str">
            <v>92395</v>
          </cell>
          <cell r="P26">
            <v>0</v>
          </cell>
          <cell r="Q26">
            <v>0</v>
          </cell>
          <cell r="R26">
            <v>494</v>
          </cell>
          <cell r="S26">
            <v>1149.3499999999999</v>
          </cell>
          <cell r="T26">
            <v>1149.3499999999999</v>
          </cell>
          <cell r="U26">
            <v>1149.3499999999999</v>
          </cell>
          <cell r="V26">
            <v>1815.75</v>
          </cell>
          <cell r="W26">
            <v>1815.75</v>
          </cell>
          <cell r="X26">
            <v>1815.75</v>
          </cell>
          <cell r="Y26">
            <v>1815.75</v>
          </cell>
          <cell r="Z26">
            <v>1815.75</v>
          </cell>
          <cell r="AA26">
            <v>1815.75</v>
          </cell>
        </row>
        <row r="27">
          <cell r="A27" t="str">
            <v>93000</v>
          </cell>
          <cell r="B27">
            <v>148262.76999999999</v>
          </cell>
          <cell r="C27">
            <v>230750.43</v>
          </cell>
          <cell r="D27">
            <v>250927.11</v>
          </cell>
          <cell r="E27">
            <v>250453.09</v>
          </cell>
          <cell r="F27">
            <v>163469.38</v>
          </cell>
          <cell r="G27">
            <v>218457.27</v>
          </cell>
          <cell r="H27">
            <v>210941.85</v>
          </cell>
          <cell r="I27">
            <v>144187.63</v>
          </cell>
          <cell r="J27">
            <v>221217.87</v>
          </cell>
          <cell r="O27" t="str">
            <v>93000</v>
          </cell>
          <cell r="P27">
            <v>148262.76999999999</v>
          </cell>
          <cell r="Q27">
            <v>379013.19999999995</v>
          </cell>
          <cell r="R27">
            <v>629940.30999999994</v>
          </cell>
          <cell r="S27">
            <v>880393.39999999991</v>
          </cell>
          <cell r="T27">
            <v>1043862.7799999999</v>
          </cell>
          <cell r="U27">
            <v>1262320.0499999998</v>
          </cell>
          <cell r="V27">
            <v>1473261.9</v>
          </cell>
          <cell r="W27">
            <v>1617449.5299999998</v>
          </cell>
          <cell r="X27">
            <v>1838667.4</v>
          </cell>
          <cell r="Y27">
            <v>1838667.4</v>
          </cell>
          <cell r="Z27">
            <v>1838667.4</v>
          </cell>
          <cell r="AA27">
            <v>1838667.4</v>
          </cell>
        </row>
        <row r="28">
          <cell r="A28" t="str">
            <v>93110</v>
          </cell>
          <cell r="B28">
            <v>838111.01</v>
          </cell>
          <cell r="C28">
            <v>-350432.81</v>
          </cell>
          <cell r="D28">
            <v>275632.12</v>
          </cell>
          <cell r="E28">
            <v>316121.59999999998</v>
          </cell>
          <cell r="F28">
            <v>246404.74</v>
          </cell>
          <cell r="G28">
            <v>179780.08</v>
          </cell>
          <cell r="H28">
            <v>179511.45</v>
          </cell>
          <cell r="I28">
            <v>266467.59000000003</v>
          </cell>
          <cell r="J28">
            <v>253212.84</v>
          </cell>
          <cell r="O28" t="str">
            <v>93110</v>
          </cell>
          <cell r="P28">
            <v>838111.01</v>
          </cell>
          <cell r="Q28">
            <v>487678.2</v>
          </cell>
          <cell r="R28">
            <v>763310.32000000007</v>
          </cell>
          <cell r="S28">
            <v>1079431.92</v>
          </cell>
          <cell r="T28">
            <v>1325836.6599999999</v>
          </cell>
          <cell r="U28">
            <v>1505616.74</v>
          </cell>
          <cell r="V28">
            <v>1685128.19</v>
          </cell>
          <cell r="W28">
            <v>1951595.78</v>
          </cell>
          <cell r="X28">
            <v>2204808.62</v>
          </cell>
          <cell r="Y28">
            <v>2204808.62</v>
          </cell>
          <cell r="Z28">
            <v>2204808.62</v>
          </cell>
          <cell r="AA28">
            <v>2204808.62</v>
          </cell>
        </row>
        <row r="29">
          <cell r="A29" t="str">
            <v>93120</v>
          </cell>
          <cell r="B29">
            <v>35616.31</v>
          </cell>
          <cell r="C29">
            <v>437094.41</v>
          </cell>
          <cell r="D29">
            <v>147177.75</v>
          </cell>
          <cell r="E29">
            <v>250063.59</v>
          </cell>
          <cell r="F29">
            <v>234113.01</v>
          </cell>
          <cell r="G29">
            <v>207419.15</v>
          </cell>
          <cell r="H29">
            <v>153930.07999999999</v>
          </cell>
          <cell r="I29">
            <v>281520.03000000003</v>
          </cell>
          <cell r="J29">
            <v>246177.5</v>
          </cell>
          <cell r="O29" t="str">
            <v>93120</v>
          </cell>
          <cell r="P29">
            <v>35616.31</v>
          </cell>
          <cell r="Q29">
            <v>472710.72</v>
          </cell>
          <cell r="R29">
            <v>619888.47</v>
          </cell>
          <cell r="S29">
            <v>869952.05999999994</v>
          </cell>
          <cell r="T29">
            <v>1104065.0699999998</v>
          </cell>
          <cell r="U29">
            <v>1311484.2199999997</v>
          </cell>
          <cell r="V29">
            <v>1465414.2999999998</v>
          </cell>
          <cell r="W29">
            <v>1746934.3299999998</v>
          </cell>
          <cell r="X29">
            <v>1993111.8299999998</v>
          </cell>
          <cell r="Y29">
            <v>1993111.8299999998</v>
          </cell>
          <cell r="Z29">
            <v>1993111.8299999998</v>
          </cell>
          <cell r="AA29">
            <v>1993111.8299999998</v>
          </cell>
        </row>
        <row r="30">
          <cell r="A30" t="str">
            <v>93130</v>
          </cell>
          <cell r="B30">
            <v>402161.65</v>
          </cell>
          <cell r="C30">
            <v>316456.31</v>
          </cell>
          <cell r="D30">
            <v>255215.4</v>
          </cell>
          <cell r="E30">
            <v>331939.51</v>
          </cell>
          <cell r="F30">
            <v>319634.78999999998</v>
          </cell>
          <cell r="G30">
            <v>220350.23</v>
          </cell>
          <cell r="H30">
            <v>217547.94</v>
          </cell>
          <cell r="I30">
            <v>301201.89</v>
          </cell>
          <cell r="J30">
            <v>336939.35</v>
          </cell>
          <cell r="O30" t="str">
            <v>93130</v>
          </cell>
          <cell r="P30">
            <v>402161.65</v>
          </cell>
          <cell r="Q30">
            <v>718617.96</v>
          </cell>
          <cell r="R30">
            <v>973833.36</v>
          </cell>
          <cell r="S30">
            <v>1305772.8700000001</v>
          </cell>
          <cell r="T30">
            <v>1625407.6600000001</v>
          </cell>
          <cell r="U30">
            <v>1845757.8900000001</v>
          </cell>
          <cell r="V30">
            <v>2063305.83</v>
          </cell>
          <cell r="W30">
            <v>2364507.7200000002</v>
          </cell>
          <cell r="X30">
            <v>2701447.0700000003</v>
          </cell>
          <cell r="Y30">
            <v>2701447.0700000003</v>
          </cell>
          <cell r="Z30">
            <v>2701447.0700000003</v>
          </cell>
          <cell r="AA30">
            <v>2701447.0700000003</v>
          </cell>
        </row>
        <row r="31">
          <cell r="A31" t="str">
            <v>93150</v>
          </cell>
          <cell r="B31">
            <v>40482.629999999997</v>
          </cell>
          <cell r="C31">
            <v>174544.55</v>
          </cell>
          <cell r="D31">
            <v>144281.84</v>
          </cell>
          <cell r="E31">
            <v>9173.06</v>
          </cell>
          <cell r="F31">
            <v>107321.3</v>
          </cell>
          <cell r="G31">
            <v>68657.23</v>
          </cell>
          <cell r="H31">
            <v>100005.52</v>
          </cell>
          <cell r="I31">
            <v>120258.91</v>
          </cell>
          <cell r="J31">
            <v>121412.44</v>
          </cell>
          <cell r="O31" t="str">
            <v>93150</v>
          </cell>
          <cell r="P31">
            <v>40482.629999999997</v>
          </cell>
          <cell r="Q31">
            <v>215027.18</v>
          </cell>
          <cell r="R31">
            <v>359309.02</v>
          </cell>
          <cell r="S31">
            <v>368482.08</v>
          </cell>
          <cell r="T31">
            <v>475803.38</v>
          </cell>
          <cell r="U31">
            <v>544460.61</v>
          </cell>
          <cell r="V31">
            <v>644466.13</v>
          </cell>
          <cell r="W31">
            <v>764725.04</v>
          </cell>
          <cell r="X31">
            <v>886137.48</v>
          </cell>
          <cell r="Y31">
            <v>886137.48</v>
          </cell>
          <cell r="Z31">
            <v>886137.48</v>
          </cell>
          <cell r="AA31">
            <v>886137.48</v>
          </cell>
        </row>
        <row r="32">
          <cell r="A32" t="str">
            <v>93200</v>
          </cell>
          <cell r="B32">
            <v>466430.75</v>
          </cell>
          <cell r="C32">
            <v>632403.06999999995</v>
          </cell>
          <cell r="D32">
            <v>534486.89</v>
          </cell>
          <cell r="E32">
            <v>607306.52</v>
          </cell>
          <cell r="F32">
            <v>549195.06999999995</v>
          </cell>
          <cell r="G32">
            <v>462982.16</v>
          </cell>
          <cell r="H32">
            <v>328035.63</v>
          </cell>
          <cell r="I32">
            <v>571094.92000000004</v>
          </cell>
          <cell r="J32">
            <v>615783.69999999995</v>
          </cell>
          <cell r="O32" t="str">
            <v>93200</v>
          </cell>
          <cell r="P32">
            <v>466430.75</v>
          </cell>
          <cell r="Q32">
            <v>1098833.8199999998</v>
          </cell>
          <cell r="R32">
            <v>1633320.71</v>
          </cell>
          <cell r="S32">
            <v>2240627.23</v>
          </cell>
          <cell r="T32">
            <v>2789822.3</v>
          </cell>
          <cell r="U32">
            <v>3252804.46</v>
          </cell>
          <cell r="V32">
            <v>3580840.09</v>
          </cell>
          <cell r="W32">
            <v>4151935.01</v>
          </cell>
          <cell r="X32">
            <v>4767718.71</v>
          </cell>
          <cell r="Y32">
            <v>4767718.71</v>
          </cell>
          <cell r="Z32">
            <v>4767718.71</v>
          </cell>
          <cell r="AA32">
            <v>4767718.71</v>
          </cell>
        </row>
        <row r="33">
          <cell r="A33" t="str">
            <v>93300</v>
          </cell>
          <cell r="B33">
            <v>318087.92</v>
          </cell>
          <cell r="C33">
            <v>399476.15</v>
          </cell>
          <cell r="D33">
            <v>423306.91</v>
          </cell>
          <cell r="E33">
            <v>418291.79</v>
          </cell>
          <cell r="F33">
            <v>353357.96</v>
          </cell>
          <cell r="G33">
            <v>384061.18</v>
          </cell>
          <cell r="H33">
            <v>258426.69</v>
          </cell>
          <cell r="I33">
            <v>385136.55</v>
          </cell>
          <cell r="J33">
            <v>434136.87</v>
          </cell>
          <cell r="O33" t="str">
            <v>93300</v>
          </cell>
          <cell r="P33">
            <v>318087.92</v>
          </cell>
          <cell r="Q33">
            <v>717564.07000000007</v>
          </cell>
          <cell r="R33">
            <v>1140870.98</v>
          </cell>
          <cell r="S33">
            <v>1559162.77</v>
          </cell>
          <cell r="T33">
            <v>1912520.73</v>
          </cell>
          <cell r="U33">
            <v>2296581.91</v>
          </cell>
          <cell r="V33">
            <v>2555008.6</v>
          </cell>
          <cell r="W33">
            <v>2940145.15</v>
          </cell>
          <cell r="X33">
            <v>3374282.02</v>
          </cell>
          <cell r="Y33">
            <v>3374282.02</v>
          </cell>
          <cell r="Z33">
            <v>3374282.02</v>
          </cell>
          <cell r="AA33">
            <v>3374282.02</v>
          </cell>
        </row>
        <row r="34">
          <cell r="A34" t="str">
            <v>93400</v>
          </cell>
          <cell r="B34">
            <v>166675.70000000001</v>
          </cell>
          <cell r="C34">
            <v>884139.99</v>
          </cell>
          <cell r="D34">
            <v>446130.11</v>
          </cell>
          <cell r="E34">
            <v>350469.27</v>
          </cell>
          <cell r="F34">
            <v>414043.75</v>
          </cell>
          <cell r="G34">
            <v>479006.54</v>
          </cell>
          <cell r="H34">
            <v>396794.95</v>
          </cell>
          <cell r="I34">
            <v>494917.31</v>
          </cell>
          <cell r="J34">
            <v>410201.34</v>
          </cell>
          <cell r="O34" t="str">
            <v>93400</v>
          </cell>
          <cell r="P34">
            <v>166675.70000000001</v>
          </cell>
          <cell r="Q34">
            <v>1050815.69</v>
          </cell>
          <cell r="R34">
            <v>1496945.7999999998</v>
          </cell>
          <cell r="S34">
            <v>1847415.0699999998</v>
          </cell>
          <cell r="T34">
            <v>2261458.8199999998</v>
          </cell>
          <cell r="U34">
            <v>2740465.36</v>
          </cell>
          <cell r="V34">
            <v>3137260.31</v>
          </cell>
          <cell r="W34">
            <v>3632177.62</v>
          </cell>
          <cell r="X34">
            <v>4042378.96</v>
          </cell>
          <cell r="Y34">
            <v>4042378.96</v>
          </cell>
          <cell r="Z34">
            <v>4042378.96</v>
          </cell>
          <cell r="AA34">
            <v>4042378.96</v>
          </cell>
        </row>
        <row r="35">
          <cell r="A35" t="str">
            <v>93500</v>
          </cell>
          <cell r="B35">
            <v>574802.68000000005</v>
          </cell>
          <cell r="C35">
            <v>56956.49</v>
          </cell>
          <cell r="D35">
            <v>187665.51</v>
          </cell>
          <cell r="E35">
            <v>448583.7</v>
          </cell>
          <cell r="F35">
            <v>967807.07</v>
          </cell>
          <cell r="G35">
            <v>86891.040000000066</v>
          </cell>
          <cell r="H35">
            <v>980962.6</v>
          </cell>
          <cell r="I35">
            <v>473239.34</v>
          </cell>
          <cell r="J35">
            <v>544567.19999999995</v>
          </cell>
          <cell r="O35" t="str">
            <v>93500</v>
          </cell>
          <cell r="P35">
            <v>574802.68000000005</v>
          </cell>
          <cell r="Q35">
            <v>631759.17000000004</v>
          </cell>
          <cell r="R35">
            <v>819424.68</v>
          </cell>
          <cell r="S35">
            <v>1268008.3800000001</v>
          </cell>
          <cell r="T35">
            <v>2235815.4500000002</v>
          </cell>
          <cell r="U35">
            <v>2322706.4900000002</v>
          </cell>
          <cell r="V35">
            <v>3303669.0900000003</v>
          </cell>
          <cell r="W35">
            <v>3776908.43</v>
          </cell>
          <cell r="X35">
            <v>4321475.63</v>
          </cell>
          <cell r="Y35">
            <v>4321475.63</v>
          </cell>
          <cell r="Z35">
            <v>4321475.63</v>
          </cell>
          <cell r="AA35">
            <v>4321475.63</v>
          </cell>
        </row>
        <row r="36">
          <cell r="A36" t="str">
            <v>93550</v>
          </cell>
          <cell r="B36">
            <v>775470.37</v>
          </cell>
          <cell r="C36">
            <v>660106.03</v>
          </cell>
          <cell r="D36">
            <v>677748.4</v>
          </cell>
          <cell r="E36">
            <v>801176.83</v>
          </cell>
          <cell r="F36">
            <v>735927.51</v>
          </cell>
          <cell r="G36">
            <v>547091.32999999996</v>
          </cell>
          <cell r="H36">
            <v>858161.08</v>
          </cell>
          <cell r="I36">
            <v>625363.65</v>
          </cell>
          <cell r="J36">
            <v>715900.49</v>
          </cell>
          <cell r="O36" t="str">
            <v>93550</v>
          </cell>
          <cell r="P36">
            <v>775470.37</v>
          </cell>
          <cell r="Q36">
            <v>1435576.4</v>
          </cell>
          <cell r="R36">
            <v>2113324.7999999998</v>
          </cell>
          <cell r="S36">
            <v>2914501.63</v>
          </cell>
          <cell r="T36">
            <v>3650429.1399999997</v>
          </cell>
          <cell r="U36">
            <v>4197520.47</v>
          </cell>
          <cell r="V36">
            <v>5055681.55</v>
          </cell>
          <cell r="W36">
            <v>5681045.2000000002</v>
          </cell>
          <cell r="X36">
            <v>6396945.6900000004</v>
          </cell>
          <cell r="Y36">
            <v>6396945.6900000004</v>
          </cell>
          <cell r="Z36">
            <v>6396945.6900000004</v>
          </cell>
          <cell r="AA36">
            <v>6396945.6900000004</v>
          </cell>
        </row>
        <row r="37">
          <cell r="A37" t="str">
            <v>93600</v>
          </cell>
          <cell r="B37">
            <v>1218911.99</v>
          </cell>
          <cell r="C37">
            <v>1194422.7</v>
          </cell>
          <cell r="D37">
            <v>1061550.6100000001</v>
          </cell>
          <cell r="E37">
            <v>1060979.99</v>
          </cell>
          <cell r="F37">
            <v>1203023.8600000001</v>
          </cell>
          <cell r="G37">
            <v>1165314.1499999999</v>
          </cell>
          <cell r="H37">
            <v>1165579.3899999999</v>
          </cell>
          <cell r="I37">
            <v>1294197.93</v>
          </cell>
          <cell r="J37">
            <v>1133771.8</v>
          </cell>
          <cell r="O37" t="str">
            <v>93600</v>
          </cell>
          <cell r="P37">
            <v>1218911.99</v>
          </cell>
          <cell r="Q37">
            <v>2413334.69</v>
          </cell>
          <cell r="R37">
            <v>3474885.3</v>
          </cell>
          <cell r="S37">
            <v>4535865.29</v>
          </cell>
          <cell r="T37">
            <v>5738889.1500000004</v>
          </cell>
          <cell r="U37">
            <v>6904203.3000000007</v>
          </cell>
          <cell r="V37">
            <v>8069782.6900000004</v>
          </cell>
          <cell r="W37">
            <v>9363980.620000001</v>
          </cell>
          <cell r="X37">
            <v>10497752.420000002</v>
          </cell>
          <cell r="Y37">
            <v>10497752.420000002</v>
          </cell>
          <cell r="Z37">
            <v>10497752.420000002</v>
          </cell>
          <cell r="AA37">
            <v>10497752.420000002</v>
          </cell>
        </row>
        <row r="38">
          <cell r="A38" t="str">
            <v>93650</v>
          </cell>
          <cell r="B38">
            <v>2358279.0499999998</v>
          </cell>
          <cell r="C38">
            <v>1683877.04</v>
          </cell>
          <cell r="D38">
            <v>2202545.4700000002</v>
          </cell>
          <cell r="E38">
            <v>2226436.61</v>
          </cell>
          <cell r="F38">
            <v>1716917.06</v>
          </cell>
          <cell r="G38">
            <v>3140712.33</v>
          </cell>
          <cell r="H38">
            <v>2456515.4700000002</v>
          </cell>
          <cell r="I38">
            <v>2209956.81</v>
          </cell>
          <cell r="J38">
            <v>5419539.0000000019</v>
          </cell>
          <cell r="O38" t="str">
            <v>93650</v>
          </cell>
          <cell r="P38">
            <v>2358279.0499999998</v>
          </cell>
          <cell r="Q38">
            <v>4042156.09</v>
          </cell>
          <cell r="R38">
            <v>6244701.5600000005</v>
          </cell>
          <cell r="S38">
            <v>8471138.1699999999</v>
          </cell>
          <cell r="T38">
            <v>10188055.23</v>
          </cell>
          <cell r="U38">
            <v>13328767.560000001</v>
          </cell>
          <cell r="V38">
            <v>15785283.030000001</v>
          </cell>
          <cell r="W38">
            <v>17995239.84</v>
          </cell>
          <cell r="X38">
            <v>23414778.840000004</v>
          </cell>
          <cell r="Y38">
            <v>23414778.840000004</v>
          </cell>
          <cell r="Z38">
            <v>23414778.840000004</v>
          </cell>
          <cell r="AA38">
            <v>23414778.840000004</v>
          </cell>
        </row>
        <row r="39">
          <cell r="A39" t="str">
            <v>93700</v>
          </cell>
          <cell r="B39">
            <v>727319.35</v>
          </cell>
          <cell r="C39">
            <v>438319.41</v>
          </cell>
          <cell r="D39">
            <v>780954.1</v>
          </cell>
          <cell r="E39">
            <v>671152.48</v>
          </cell>
          <cell r="F39">
            <v>670773.32999999996</v>
          </cell>
          <cell r="G39">
            <v>669424.89</v>
          </cell>
          <cell r="H39">
            <v>532002.03</v>
          </cell>
          <cell r="I39">
            <v>598141.31000000006</v>
          </cell>
          <cell r="J39">
            <v>678485.71</v>
          </cell>
          <cell r="O39" t="str">
            <v>93700</v>
          </cell>
          <cell r="P39">
            <v>727319.35</v>
          </cell>
          <cell r="Q39">
            <v>1165638.76</v>
          </cell>
          <cell r="R39">
            <v>1946592.8599999999</v>
          </cell>
          <cell r="S39">
            <v>2617745.34</v>
          </cell>
          <cell r="T39">
            <v>3288518.67</v>
          </cell>
          <cell r="U39">
            <v>3957943.56</v>
          </cell>
          <cell r="V39">
            <v>4489945.59</v>
          </cell>
          <cell r="W39">
            <v>5088086.9000000004</v>
          </cell>
          <cell r="X39">
            <v>5766572.6100000003</v>
          </cell>
          <cell r="Y39">
            <v>5766572.6100000003</v>
          </cell>
          <cell r="Z39">
            <v>5766572.6100000003</v>
          </cell>
          <cell r="AA39">
            <v>5766572.6100000003</v>
          </cell>
        </row>
        <row r="40">
          <cell r="A40" t="str">
            <v>93750</v>
          </cell>
          <cell r="B40">
            <v>1111973.77</v>
          </cell>
          <cell r="C40">
            <v>1498143.25</v>
          </cell>
          <cell r="D40">
            <v>999781.04</v>
          </cell>
          <cell r="E40">
            <v>1300780.54</v>
          </cell>
          <cell r="F40">
            <v>1240287.68</v>
          </cell>
          <cell r="G40">
            <v>1044857.09</v>
          </cell>
          <cell r="H40">
            <v>944630.37</v>
          </cell>
          <cell r="I40">
            <v>1405966.99</v>
          </cell>
          <cell r="J40">
            <v>1240348.3400000001</v>
          </cell>
          <cell r="O40" t="str">
            <v>93750</v>
          </cell>
          <cell r="P40">
            <v>1111973.77</v>
          </cell>
          <cell r="Q40">
            <v>2610117.02</v>
          </cell>
          <cell r="R40">
            <v>3609898.06</v>
          </cell>
          <cell r="S40">
            <v>4910678.5999999996</v>
          </cell>
          <cell r="T40">
            <v>6150966.2799999993</v>
          </cell>
          <cell r="U40">
            <v>7195823.3699999992</v>
          </cell>
          <cell r="V40">
            <v>8140453.7399999993</v>
          </cell>
          <cell r="W40">
            <v>9546420.7299999986</v>
          </cell>
          <cell r="X40">
            <v>10786769.069999998</v>
          </cell>
          <cell r="Y40">
            <v>10786769.069999998</v>
          </cell>
          <cell r="Z40">
            <v>10786769.069999998</v>
          </cell>
          <cell r="AA40">
            <v>10786769.069999998</v>
          </cell>
        </row>
        <row r="41">
          <cell r="A41" t="str">
            <v>93755</v>
          </cell>
          <cell r="E41">
            <v>511881.91</v>
          </cell>
          <cell r="F41">
            <v>368461.5</v>
          </cell>
          <cell r="G41">
            <v>360739.09</v>
          </cell>
          <cell r="H41">
            <v>307714.59999999998</v>
          </cell>
          <cell r="I41">
            <v>450936.79</v>
          </cell>
          <cell r="J41">
            <v>539852.43000000005</v>
          </cell>
          <cell r="O41" t="str">
            <v>93755</v>
          </cell>
          <cell r="P41">
            <v>0</v>
          </cell>
          <cell r="Q41">
            <v>0</v>
          </cell>
          <cell r="R41">
            <v>0</v>
          </cell>
          <cell r="S41">
            <v>511881.91</v>
          </cell>
          <cell r="T41">
            <v>880343.40999999992</v>
          </cell>
          <cell r="U41">
            <v>1241082.5</v>
          </cell>
          <cell r="V41">
            <v>1548797.1</v>
          </cell>
          <cell r="W41">
            <v>1999733.8900000001</v>
          </cell>
          <cell r="X41">
            <v>2539586.3200000003</v>
          </cell>
          <cell r="Y41">
            <v>2539586.3200000003</v>
          </cell>
          <cell r="Z41">
            <v>2539586.3200000003</v>
          </cell>
          <cell r="AA41">
            <v>2539586.3200000003</v>
          </cell>
        </row>
        <row r="42">
          <cell r="A42" t="str">
            <v>93800</v>
          </cell>
          <cell r="B42">
            <v>572866.98</v>
          </cell>
          <cell r="C42">
            <v>1369316.31</v>
          </cell>
          <cell r="D42">
            <v>758405.56</v>
          </cell>
          <cell r="E42">
            <v>1106107.7</v>
          </cell>
          <cell r="F42">
            <v>638145.28000000003</v>
          </cell>
          <cell r="G42">
            <v>715703.27</v>
          </cell>
          <cell r="H42">
            <v>474723</v>
          </cell>
          <cell r="I42">
            <v>821912.5</v>
          </cell>
          <cell r="J42">
            <v>598235.06000000006</v>
          </cell>
          <cell r="O42" t="str">
            <v>93800</v>
          </cell>
          <cell r="P42">
            <v>572866.98</v>
          </cell>
          <cell r="Q42">
            <v>1942183.29</v>
          </cell>
          <cell r="R42">
            <v>2700588.85</v>
          </cell>
          <cell r="S42">
            <v>3806696.55</v>
          </cell>
          <cell r="T42">
            <v>4444841.83</v>
          </cell>
          <cell r="U42">
            <v>5160545.0999999996</v>
          </cell>
          <cell r="V42">
            <v>5635268.0999999996</v>
          </cell>
          <cell r="W42">
            <v>6457180.5999999996</v>
          </cell>
          <cell r="X42">
            <v>7055415.6600000001</v>
          </cell>
          <cell r="Y42">
            <v>7055415.6600000001</v>
          </cell>
          <cell r="Z42">
            <v>7055415.6600000001</v>
          </cell>
          <cell r="AA42">
            <v>7055415.6600000001</v>
          </cell>
        </row>
        <row r="43">
          <cell r="A43" t="str">
            <v>93850</v>
          </cell>
          <cell r="B43">
            <v>759733.8</v>
          </cell>
          <cell r="C43">
            <v>800381.13</v>
          </cell>
          <cell r="D43">
            <v>750862.33</v>
          </cell>
          <cell r="E43">
            <v>645342.57999999996</v>
          </cell>
          <cell r="F43">
            <v>740134.77</v>
          </cell>
          <cell r="G43">
            <v>622517.11</v>
          </cell>
          <cell r="H43">
            <v>602597.02</v>
          </cell>
          <cell r="I43">
            <v>633334.91</v>
          </cell>
          <cell r="J43">
            <v>553335.21</v>
          </cell>
          <cell r="O43" t="str">
            <v>93850</v>
          </cell>
          <cell r="P43">
            <v>759733.8</v>
          </cell>
          <cell r="Q43">
            <v>1560114.9300000002</v>
          </cell>
          <cell r="R43">
            <v>2310977.2600000002</v>
          </cell>
          <cell r="S43">
            <v>2956319.8400000003</v>
          </cell>
          <cell r="T43">
            <v>3696454.6100000003</v>
          </cell>
          <cell r="U43">
            <v>4318971.7200000007</v>
          </cell>
          <cell r="V43">
            <v>4921568.74</v>
          </cell>
          <cell r="W43">
            <v>5554903.6500000004</v>
          </cell>
          <cell r="X43">
            <v>6108238.8600000003</v>
          </cell>
          <cell r="Y43">
            <v>6108238.8600000003</v>
          </cell>
          <cell r="Z43">
            <v>6108238.8600000003</v>
          </cell>
          <cell r="AA43">
            <v>6108238.8600000003</v>
          </cell>
        </row>
        <row r="44">
          <cell r="A44" t="str">
            <v>93900</v>
          </cell>
          <cell r="B44">
            <v>197200.52</v>
          </cell>
          <cell r="C44">
            <v>149903.72</v>
          </cell>
          <cell r="D44">
            <v>139839.48000000001</v>
          </cell>
          <cell r="E44">
            <v>172218.21</v>
          </cell>
          <cell r="F44">
            <v>196478.18</v>
          </cell>
          <cell r="G44">
            <v>168157.74</v>
          </cell>
          <cell r="H44">
            <v>184461.13</v>
          </cell>
          <cell r="I44">
            <v>183368.55</v>
          </cell>
          <cell r="J44">
            <v>102828.86</v>
          </cell>
          <cell r="O44" t="str">
            <v>93900</v>
          </cell>
          <cell r="P44">
            <v>197200.52</v>
          </cell>
          <cell r="Q44">
            <v>347104.24</v>
          </cell>
          <cell r="R44">
            <v>486943.72</v>
          </cell>
          <cell r="S44">
            <v>659161.92999999993</v>
          </cell>
          <cell r="T44">
            <v>855640.10999999987</v>
          </cell>
          <cell r="U44">
            <v>1023797.8499999999</v>
          </cell>
          <cell r="V44">
            <v>1208258.98</v>
          </cell>
          <cell r="W44">
            <v>1391627.53</v>
          </cell>
          <cell r="X44">
            <v>1494456.3900000001</v>
          </cell>
          <cell r="Y44">
            <v>1494456.3900000001</v>
          </cell>
          <cell r="Z44">
            <v>1494456.3900000001</v>
          </cell>
          <cell r="AA44">
            <v>1494456.3900000001</v>
          </cell>
        </row>
        <row r="45">
          <cell r="A45" t="str">
            <v>93910</v>
          </cell>
          <cell r="B45">
            <v>463042.39</v>
          </cell>
          <cell r="C45">
            <v>739315.9</v>
          </cell>
          <cell r="D45">
            <v>624629.06000000006</v>
          </cell>
          <cell r="E45">
            <v>515284.52</v>
          </cell>
          <cell r="F45">
            <v>647018.17000000004</v>
          </cell>
          <cell r="G45">
            <v>701803.98</v>
          </cell>
          <cell r="H45">
            <v>607567.79</v>
          </cell>
          <cell r="I45">
            <v>596272.54</v>
          </cell>
          <cell r="J45">
            <v>510434.79</v>
          </cell>
          <cell r="O45" t="str">
            <v>93910</v>
          </cell>
          <cell r="P45">
            <v>463042.39</v>
          </cell>
          <cell r="Q45">
            <v>1202358.29</v>
          </cell>
          <cell r="R45">
            <v>1826987.35</v>
          </cell>
          <cell r="S45">
            <v>2342271.87</v>
          </cell>
          <cell r="T45">
            <v>2989290.04</v>
          </cell>
          <cell r="U45">
            <v>3691094.02</v>
          </cell>
          <cell r="V45">
            <v>4298661.8100000005</v>
          </cell>
          <cell r="W45">
            <v>4894934.3500000006</v>
          </cell>
          <cell r="X45">
            <v>5405369.1400000006</v>
          </cell>
          <cell r="Y45">
            <v>5405369.1400000006</v>
          </cell>
          <cell r="Z45">
            <v>5405369.1400000006</v>
          </cell>
          <cell r="AA45">
            <v>5405369.1400000006</v>
          </cell>
        </row>
        <row r="46">
          <cell r="A46" t="str">
            <v>93920</v>
          </cell>
          <cell r="B46">
            <v>1083120.26</v>
          </cell>
          <cell r="C46">
            <v>375386.28</v>
          </cell>
          <cell r="D46">
            <v>227947.08</v>
          </cell>
          <cell r="E46">
            <v>682570.17</v>
          </cell>
          <cell r="F46">
            <v>622381.71</v>
          </cell>
          <cell r="G46">
            <v>587426.86</v>
          </cell>
          <cell r="H46">
            <v>1097771.8500000001</v>
          </cell>
          <cell r="I46">
            <v>557018.4</v>
          </cell>
          <cell r="J46">
            <v>1241134.95</v>
          </cell>
          <cell r="O46" t="str">
            <v>93920</v>
          </cell>
          <cell r="P46">
            <v>1083120.26</v>
          </cell>
          <cell r="Q46">
            <v>1458506.54</v>
          </cell>
          <cell r="R46">
            <v>1686453.62</v>
          </cell>
          <cell r="S46">
            <v>2369023.79</v>
          </cell>
          <cell r="T46">
            <v>2991405.5</v>
          </cell>
          <cell r="U46">
            <v>3578832.36</v>
          </cell>
          <cell r="V46">
            <v>4676604.21</v>
          </cell>
          <cell r="W46">
            <v>5233622.6100000003</v>
          </cell>
          <cell r="X46">
            <v>6474757.5600000005</v>
          </cell>
          <cell r="Y46">
            <v>6474757.5600000005</v>
          </cell>
          <cell r="Z46">
            <v>6474757.5600000005</v>
          </cell>
          <cell r="AA46">
            <v>6474757.5600000005</v>
          </cell>
        </row>
        <row r="47">
          <cell r="A47" t="str">
            <v>93930</v>
          </cell>
          <cell r="B47">
            <v>503253.07</v>
          </cell>
          <cell r="C47">
            <v>649279.89</v>
          </cell>
          <cell r="D47">
            <v>173137.34</v>
          </cell>
          <cell r="E47">
            <v>723989.02</v>
          </cell>
          <cell r="F47">
            <v>392686.9</v>
          </cell>
          <cell r="G47">
            <v>581295.93999999994</v>
          </cell>
          <cell r="H47">
            <v>565798.24</v>
          </cell>
          <cell r="I47">
            <v>501445.91</v>
          </cell>
          <cell r="J47">
            <v>572687</v>
          </cell>
          <cell r="O47" t="str">
            <v>93930</v>
          </cell>
          <cell r="P47">
            <v>503253.07</v>
          </cell>
          <cell r="Q47">
            <v>1152532.96</v>
          </cell>
          <cell r="R47">
            <v>1325670.3</v>
          </cell>
          <cell r="S47">
            <v>2049659.32</v>
          </cell>
          <cell r="T47">
            <v>2442346.2200000002</v>
          </cell>
          <cell r="U47">
            <v>3023642.16</v>
          </cell>
          <cell r="V47">
            <v>3589440.4000000004</v>
          </cell>
          <cell r="W47">
            <v>4090886.3100000005</v>
          </cell>
          <cell r="X47">
            <v>4663573.3100000005</v>
          </cell>
          <cell r="Y47">
            <v>4663573.3100000005</v>
          </cell>
          <cell r="Z47">
            <v>4663573.3100000005</v>
          </cell>
          <cell r="AA47">
            <v>4663573.3100000005</v>
          </cell>
        </row>
        <row r="48">
          <cell r="A48" t="str">
            <v>93940</v>
          </cell>
          <cell r="B48">
            <v>252585.82</v>
          </cell>
          <cell r="C48">
            <v>411386.43</v>
          </cell>
          <cell r="D48">
            <v>258155.07</v>
          </cell>
          <cell r="E48">
            <v>292729.99</v>
          </cell>
          <cell r="F48">
            <v>345405.52</v>
          </cell>
          <cell r="G48">
            <v>333705.39</v>
          </cell>
          <cell r="H48">
            <v>274337.63</v>
          </cell>
          <cell r="I48">
            <v>295643.25</v>
          </cell>
          <cell r="J48">
            <v>308278.09000000003</v>
          </cell>
          <cell r="O48" t="str">
            <v>93940</v>
          </cell>
          <cell r="P48">
            <v>252585.82</v>
          </cell>
          <cell r="Q48">
            <v>663972.25</v>
          </cell>
          <cell r="R48">
            <v>922127.32000000007</v>
          </cell>
          <cell r="S48">
            <v>1214857.31</v>
          </cell>
          <cell r="T48">
            <v>1560262.83</v>
          </cell>
          <cell r="U48">
            <v>1893968.2200000002</v>
          </cell>
          <cell r="V48">
            <v>2168305.85</v>
          </cell>
          <cell r="W48">
            <v>2463949.1</v>
          </cell>
          <cell r="X48">
            <v>2772227.19</v>
          </cell>
          <cell r="Y48">
            <v>2772227.19</v>
          </cell>
          <cell r="Z48">
            <v>2772227.19</v>
          </cell>
          <cell r="AA48">
            <v>2772227.19</v>
          </cell>
        </row>
        <row r="49">
          <cell r="A49" t="str">
            <v>93950</v>
          </cell>
          <cell r="B49">
            <v>538864.72</v>
          </cell>
          <cell r="C49">
            <v>456766.91</v>
          </cell>
          <cell r="D49">
            <v>678204.88</v>
          </cell>
          <cell r="E49">
            <v>262510.24</v>
          </cell>
          <cell r="F49">
            <v>240521.89</v>
          </cell>
          <cell r="G49">
            <v>375490.56</v>
          </cell>
          <cell r="H49">
            <v>374488.03</v>
          </cell>
          <cell r="I49">
            <v>434291.88</v>
          </cell>
          <cell r="J49">
            <v>327398.58</v>
          </cell>
          <cell r="O49" t="str">
            <v>93950</v>
          </cell>
          <cell r="P49">
            <v>538864.72</v>
          </cell>
          <cell r="Q49">
            <v>995631.62999999989</v>
          </cell>
          <cell r="R49">
            <v>1673836.5099999998</v>
          </cell>
          <cell r="S49">
            <v>1936346.7499999998</v>
          </cell>
          <cell r="T49">
            <v>2176868.6399999997</v>
          </cell>
          <cell r="U49">
            <v>2552359.1999999997</v>
          </cell>
          <cell r="V49">
            <v>2926847.2299999995</v>
          </cell>
          <cell r="W49">
            <v>3361139.1099999994</v>
          </cell>
          <cell r="X49">
            <v>3688537.6899999995</v>
          </cell>
          <cell r="Y49">
            <v>3688537.6899999995</v>
          </cell>
          <cell r="Z49">
            <v>3688537.6899999995</v>
          </cell>
          <cell r="AA49">
            <v>3688537.6899999995</v>
          </cell>
        </row>
        <row r="50">
          <cell r="A50" t="str">
            <v>92345</v>
          </cell>
          <cell r="J50">
            <v>10595</v>
          </cell>
          <cell r="O50" t="str">
            <v>92345</v>
          </cell>
          <cell r="P50">
            <v>0</v>
          </cell>
          <cell r="Q50">
            <v>0</v>
          </cell>
          <cell r="R50">
            <v>0</v>
          </cell>
          <cell r="S50">
            <v>0</v>
          </cell>
          <cell r="T50">
            <v>0</v>
          </cell>
          <cell r="U50">
            <v>0</v>
          </cell>
          <cell r="V50">
            <v>0</v>
          </cell>
          <cell r="W50">
            <v>0</v>
          </cell>
          <cell r="X50">
            <v>10595</v>
          </cell>
          <cell r="Y50">
            <v>10595</v>
          </cell>
          <cell r="Z50">
            <v>10595</v>
          </cell>
          <cell r="AA50">
            <v>10595</v>
          </cell>
        </row>
        <row r="51">
          <cell r="A51" t="str">
            <v>92356</v>
          </cell>
          <cell r="I51">
            <v>2011.79</v>
          </cell>
          <cell r="J51">
            <v>-105.85</v>
          </cell>
          <cell r="O51" t="str">
            <v>92356</v>
          </cell>
          <cell r="P51">
            <v>0</v>
          </cell>
          <cell r="Q51">
            <v>0</v>
          </cell>
          <cell r="R51">
            <v>0</v>
          </cell>
          <cell r="S51">
            <v>0</v>
          </cell>
          <cell r="T51">
            <v>0</v>
          </cell>
          <cell r="U51">
            <v>0</v>
          </cell>
          <cell r="V51">
            <v>0</v>
          </cell>
          <cell r="W51">
            <v>2011.79</v>
          </cell>
          <cell r="X51">
            <v>1905.94</v>
          </cell>
          <cell r="Y51">
            <v>1905.94</v>
          </cell>
          <cell r="Z51">
            <v>1905.94</v>
          </cell>
          <cell r="AA51">
            <v>1905.94</v>
          </cell>
        </row>
        <row r="52">
          <cell r="A52" t="str">
            <v>92394</v>
          </cell>
          <cell r="J52">
            <v>2261.09</v>
          </cell>
          <cell r="O52" t="str">
            <v>92394</v>
          </cell>
          <cell r="P52">
            <v>0</v>
          </cell>
          <cell r="Q52">
            <v>0</v>
          </cell>
          <cell r="R52">
            <v>0</v>
          </cell>
          <cell r="S52">
            <v>0</v>
          </cell>
          <cell r="T52">
            <v>0</v>
          </cell>
          <cell r="U52">
            <v>0</v>
          </cell>
          <cell r="V52">
            <v>0</v>
          </cell>
          <cell r="W52">
            <v>0</v>
          </cell>
          <cell r="X52">
            <v>2261.09</v>
          </cell>
          <cell r="Y52">
            <v>2261.09</v>
          </cell>
          <cell r="Z52">
            <v>2261.09</v>
          </cell>
          <cell r="AA52">
            <v>2261.09</v>
          </cell>
        </row>
        <row r="53">
          <cell r="O53" t="str">
            <v>Totalt</v>
          </cell>
          <cell r="P53">
            <v>15158173.500000002</v>
          </cell>
          <cell r="Q53">
            <v>30240132.810000002</v>
          </cell>
          <cell r="R53">
            <v>44023400.440000005</v>
          </cell>
          <cell r="S53">
            <v>60007732.700000003</v>
          </cell>
          <cell r="T53">
            <v>74873996.210000008</v>
          </cell>
          <cell r="U53">
            <v>92908293.300000012</v>
          </cell>
          <cell r="V53">
            <v>107912361.93000001</v>
          </cell>
          <cell r="W53">
            <v>123948291.04000001</v>
          </cell>
          <cell r="X53">
            <v>143766527.56</v>
          </cell>
          <cell r="Y53">
            <v>143766527.56</v>
          </cell>
          <cell r="Z53">
            <v>143766527.56</v>
          </cell>
          <cell r="AA53">
            <v>143766527.56</v>
          </cell>
        </row>
        <row r="54">
          <cell r="O54">
            <v>0</v>
          </cell>
          <cell r="P54">
            <v>0</v>
          </cell>
          <cell r="Q54">
            <v>0</v>
          </cell>
          <cell r="R54">
            <v>0</v>
          </cell>
          <cell r="S54">
            <v>0</v>
          </cell>
          <cell r="T54">
            <v>0</v>
          </cell>
          <cell r="U54">
            <v>0</v>
          </cell>
          <cell r="V54">
            <v>0</v>
          </cell>
          <cell r="W54">
            <v>0</v>
          </cell>
          <cell r="X54">
            <v>0</v>
          </cell>
          <cell r="Y54">
            <v>0</v>
          </cell>
          <cell r="Z54">
            <v>0</v>
          </cell>
          <cell r="AA54">
            <v>0</v>
          </cell>
        </row>
        <row r="55">
          <cell r="O55">
            <v>0</v>
          </cell>
          <cell r="P55">
            <v>0</v>
          </cell>
          <cell r="Q55">
            <v>0</v>
          </cell>
          <cell r="R55">
            <v>0</v>
          </cell>
          <cell r="S55">
            <v>0</v>
          </cell>
          <cell r="T55">
            <v>0</v>
          </cell>
          <cell r="U55">
            <v>0</v>
          </cell>
          <cell r="V55">
            <v>0</v>
          </cell>
          <cell r="W55">
            <v>0</v>
          </cell>
          <cell r="X55">
            <v>0</v>
          </cell>
          <cell r="Y55">
            <v>0</v>
          </cell>
          <cell r="Z55">
            <v>0</v>
          </cell>
          <cell r="AA55">
            <v>0</v>
          </cell>
        </row>
        <row r="56">
          <cell r="O56">
            <v>0</v>
          </cell>
          <cell r="P56">
            <v>0</v>
          </cell>
          <cell r="Q56">
            <v>0</v>
          </cell>
          <cell r="R56">
            <v>0</v>
          </cell>
          <cell r="S56">
            <v>0</v>
          </cell>
          <cell r="T56">
            <v>0</v>
          </cell>
          <cell r="U56">
            <v>0</v>
          </cell>
          <cell r="V56">
            <v>0</v>
          </cell>
          <cell r="W56">
            <v>0</v>
          </cell>
          <cell r="X56">
            <v>0</v>
          </cell>
          <cell r="Y56">
            <v>0</v>
          </cell>
          <cell r="Z56">
            <v>0</v>
          </cell>
          <cell r="AA56">
            <v>0</v>
          </cell>
        </row>
        <row r="57">
          <cell r="O57">
            <v>0</v>
          </cell>
          <cell r="P57">
            <v>0</v>
          </cell>
          <cell r="Q57">
            <v>0</v>
          </cell>
          <cell r="R57">
            <v>0</v>
          </cell>
          <cell r="S57">
            <v>0</v>
          </cell>
          <cell r="T57">
            <v>0</v>
          </cell>
          <cell r="U57">
            <v>0</v>
          </cell>
          <cell r="V57">
            <v>0</v>
          </cell>
          <cell r="W57">
            <v>0</v>
          </cell>
          <cell r="X57">
            <v>0</v>
          </cell>
          <cell r="Y57">
            <v>0</v>
          </cell>
          <cell r="Z57">
            <v>0</v>
          </cell>
          <cell r="AA57">
            <v>0</v>
          </cell>
        </row>
        <row r="58">
          <cell r="O58">
            <v>0</v>
          </cell>
          <cell r="P58">
            <v>0</v>
          </cell>
          <cell r="Q58">
            <v>0</v>
          </cell>
          <cell r="R58">
            <v>0</v>
          </cell>
          <cell r="S58">
            <v>0</v>
          </cell>
          <cell r="T58">
            <v>0</v>
          </cell>
          <cell r="U58">
            <v>0</v>
          </cell>
          <cell r="V58">
            <v>0</v>
          </cell>
          <cell r="W58">
            <v>0</v>
          </cell>
          <cell r="X58">
            <v>0</v>
          </cell>
          <cell r="Y58">
            <v>0</v>
          </cell>
          <cell r="Z58">
            <v>0</v>
          </cell>
          <cell r="AA58">
            <v>0</v>
          </cell>
        </row>
        <row r="59">
          <cell r="O59">
            <v>0</v>
          </cell>
          <cell r="P59">
            <v>0</v>
          </cell>
          <cell r="Q59">
            <v>0</v>
          </cell>
          <cell r="R59">
            <v>0</v>
          </cell>
          <cell r="S59">
            <v>0</v>
          </cell>
          <cell r="T59">
            <v>0</v>
          </cell>
          <cell r="U59">
            <v>0</v>
          </cell>
          <cell r="V59">
            <v>0</v>
          </cell>
          <cell r="W59">
            <v>0</v>
          </cell>
          <cell r="X59">
            <v>0</v>
          </cell>
          <cell r="Y59">
            <v>0</v>
          </cell>
          <cell r="Z59">
            <v>0</v>
          </cell>
          <cell r="AA59">
            <v>0</v>
          </cell>
        </row>
      </sheetData>
      <sheetData sheetId="12" refreshError="1">
        <row r="8">
          <cell r="O8">
            <v>0</v>
          </cell>
          <cell r="P8">
            <v>-3253058.74</v>
          </cell>
          <cell r="Q8">
            <v>-6804979.9000000004</v>
          </cell>
          <cell r="R8">
            <v>-5587279.3100000005</v>
          </cell>
          <cell r="S8">
            <v>-4555082.0100000007</v>
          </cell>
          <cell r="T8">
            <v>-4029511.3200000008</v>
          </cell>
          <cell r="U8">
            <v>-1975689.6800000009</v>
          </cell>
          <cell r="V8">
            <v>-1862725.9000000008</v>
          </cell>
          <cell r="W8">
            <v>-801891.48000000091</v>
          </cell>
          <cell r="X8">
            <v>-226879.35000000149</v>
          </cell>
          <cell r="Y8">
            <v>-226879.35000000149</v>
          </cell>
          <cell r="Z8">
            <v>-226879.35000000149</v>
          </cell>
          <cell r="AA8">
            <v>-226879.35000000149</v>
          </cell>
        </row>
        <row r="9">
          <cell r="A9" t="str">
            <v>1000</v>
          </cell>
          <cell r="C9">
            <v>10734.55</v>
          </cell>
          <cell r="D9">
            <v>99372.68</v>
          </cell>
          <cell r="E9">
            <v>105783.9</v>
          </cell>
          <cell r="F9">
            <v>1945.82</v>
          </cell>
          <cell r="G9">
            <v>105987.06</v>
          </cell>
          <cell r="H9">
            <v>310557.03000000003</v>
          </cell>
          <cell r="I9">
            <v>30048.79</v>
          </cell>
          <cell r="J9">
            <v>69861.3</v>
          </cell>
          <cell r="O9" t="str">
            <v>1000</v>
          </cell>
          <cell r="P9">
            <v>0</v>
          </cell>
          <cell r="Q9">
            <v>10734.55</v>
          </cell>
          <cell r="R9">
            <v>110107.23</v>
          </cell>
          <cell r="S9">
            <v>215891.13</v>
          </cell>
          <cell r="T9">
            <v>217836.95</v>
          </cell>
          <cell r="U9">
            <v>323824.01</v>
          </cell>
          <cell r="V9">
            <v>634381.04</v>
          </cell>
          <cell r="W9">
            <v>664429.83000000007</v>
          </cell>
          <cell r="X9">
            <v>734291.13000000012</v>
          </cell>
          <cell r="Y9">
            <v>734291.13000000012</v>
          </cell>
          <cell r="Z9">
            <v>734291.13000000012</v>
          </cell>
          <cell r="AA9">
            <v>734291.13000000012</v>
          </cell>
        </row>
        <row r="10">
          <cell r="A10" t="str">
            <v>1001</v>
          </cell>
          <cell r="C10">
            <v>783</v>
          </cell>
          <cell r="D10">
            <v>13757.66</v>
          </cell>
          <cell r="E10">
            <v>980.31</v>
          </cell>
          <cell r="G10">
            <v>6624.6</v>
          </cell>
          <cell r="H10">
            <v>9402.5</v>
          </cell>
          <cell r="J10">
            <v>4466.13</v>
          </cell>
          <cell r="O10" t="str">
            <v>1001</v>
          </cell>
          <cell r="P10">
            <v>0</v>
          </cell>
          <cell r="Q10">
            <v>783</v>
          </cell>
          <cell r="R10">
            <v>14540.66</v>
          </cell>
          <cell r="S10">
            <v>15520.97</v>
          </cell>
          <cell r="T10">
            <v>15520.97</v>
          </cell>
          <cell r="U10">
            <v>22145.57</v>
          </cell>
          <cell r="V10">
            <v>31548.07</v>
          </cell>
          <cell r="W10">
            <v>31548.07</v>
          </cell>
          <cell r="X10">
            <v>36014.199999999997</v>
          </cell>
          <cell r="Y10">
            <v>36014.199999999997</v>
          </cell>
          <cell r="Z10">
            <v>36014.199999999997</v>
          </cell>
          <cell r="AA10">
            <v>36014.199999999997</v>
          </cell>
        </row>
        <row r="11">
          <cell r="A11" t="str">
            <v>1003</v>
          </cell>
          <cell r="B11">
            <v>7252.82</v>
          </cell>
          <cell r="C11">
            <v>11719.36</v>
          </cell>
          <cell r="H11">
            <v>16566.939999999999</v>
          </cell>
          <cell r="O11" t="str">
            <v>1003</v>
          </cell>
          <cell r="P11">
            <v>7252.82</v>
          </cell>
          <cell r="Q11">
            <v>18972.18</v>
          </cell>
          <cell r="R11">
            <v>18972.18</v>
          </cell>
          <cell r="S11">
            <v>18972.18</v>
          </cell>
          <cell r="T11">
            <v>18972.18</v>
          </cell>
          <cell r="U11">
            <v>18972.18</v>
          </cell>
          <cell r="V11">
            <v>35539.119999999995</v>
          </cell>
          <cell r="W11">
            <v>35539.119999999995</v>
          </cell>
          <cell r="X11">
            <v>35539.119999999995</v>
          </cell>
          <cell r="Y11">
            <v>35539.119999999995</v>
          </cell>
          <cell r="Z11">
            <v>35539.119999999995</v>
          </cell>
          <cell r="AA11">
            <v>35539.119999999995</v>
          </cell>
        </row>
        <row r="12">
          <cell r="A12" t="str">
            <v>1004</v>
          </cell>
          <cell r="B12">
            <v>125256.69</v>
          </cell>
          <cell r="C12">
            <v>152568.29</v>
          </cell>
          <cell r="D12">
            <v>254694.15</v>
          </cell>
          <cell r="E12">
            <v>255796.06</v>
          </cell>
          <cell r="F12">
            <v>373843.05</v>
          </cell>
          <cell r="G12">
            <v>218222.04</v>
          </cell>
          <cell r="H12">
            <v>193944.73</v>
          </cell>
          <cell r="I12">
            <v>230540.95</v>
          </cell>
          <cell r="J12">
            <v>231949.71</v>
          </cell>
          <cell r="O12" t="str">
            <v>1004</v>
          </cell>
          <cell r="P12">
            <v>125256.69</v>
          </cell>
          <cell r="Q12">
            <v>277824.98</v>
          </cell>
          <cell r="R12">
            <v>532519.13</v>
          </cell>
          <cell r="S12">
            <v>788315.19</v>
          </cell>
          <cell r="T12">
            <v>1162158.24</v>
          </cell>
          <cell r="U12">
            <v>1380380.28</v>
          </cell>
          <cell r="V12">
            <v>1574325.01</v>
          </cell>
          <cell r="W12">
            <v>1804865.96</v>
          </cell>
          <cell r="X12">
            <v>2036815.67</v>
          </cell>
          <cell r="Y12">
            <v>2036815.67</v>
          </cell>
          <cell r="Z12">
            <v>2036815.67</v>
          </cell>
          <cell r="AA12">
            <v>2036815.67</v>
          </cell>
        </row>
        <row r="13">
          <cell r="A13" t="str">
            <v>1005</v>
          </cell>
          <cell r="C13">
            <v>70422.179999999993</v>
          </cell>
          <cell r="E13">
            <v>0</v>
          </cell>
          <cell r="O13" t="str">
            <v>1005</v>
          </cell>
          <cell r="P13">
            <v>0</v>
          </cell>
          <cell r="Q13">
            <v>70422.179999999993</v>
          </cell>
          <cell r="R13">
            <v>70422.179999999993</v>
          </cell>
          <cell r="S13">
            <v>70422.179999999993</v>
          </cell>
          <cell r="T13">
            <v>70422.179999999993</v>
          </cell>
          <cell r="U13">
            <v>70422.179999999993</v>
          </cell>
          <cell r="V13">
            <v>70422.179999999993</v>
          </cell>
          <cell r="W13">
            <v>70422.179999999993</v>
          </cell>
          <cell r="X13">
            <v>70422.179999999993</v>
          </cell>
          <cell r="Y13">
            <v>70422.179999999993</v>
          </cell>
          <cell r="Z13">
            <v>70422.179999999993</v>
          </cell>
          <cell r="AA13">
            <v>70422.179999999993</v>
          </cell>
        </row>
        <row r="14">
          <cell r="A14" t="str">
            <v>1006</v>
          </cell>
          <cell r="B14">
            <v>125329.58</v>
          </cell>
          <cell r="C14">
            <v>72683.47</v>
          </cell>
          <cell r="D14">
            <v>2657.66</v>
          </cell>
          <cell r="E14">
            <v>97391.8</v>
          </cell>
          <cell r="F14">
            <v>32741.93</v>
          </cell>
          <cell r="G14">
            <v>79330.53</v>
          </cell>
          <cell r="H14">
            <v>96612.89</v>
          </cell>
          <cell r="I14">
            <v>9633.06</v>
          </cell>
          <cell r="J14">
            <v>50100.41</v>
          </cell>
          <cell r="O14" t="str">
            <v>1006</v>
          </cell>
          <cell r="P14">
            <v>125329.58</v>
          </cell>
          <cell r="Q14">
            <v>198013.05</v>
          </cell>
          <cell r="R14">
            <v>200670.71</v>
          </cell>
          <cell r="S14">
            <v>298062.51</v>
          </cell>
          <cell r="T14">
            <v>330804.44</v>
          </cell>
          <cell r="U14">
            <v>410134.97</v>
          </cell>
          <cell r="V14">
            <v>506747.86</v>
          </cell>
          <cell r="W14">
            <v>516380.92</v>
          </cell>
          <cell r="X14">
            <v>566481.32999999996</v>
          </cell>
          <cell r="Y14">
            <v>566481.32999999996</v>
          </cell>
          <cell r="Z14">
            <v>566481.32999999996</v>
          </cell>
          <cell r="AA14">
            <v>566481.32999999996</v>
          </cell>
        </row>
        <row r="15">
          <cell r="A15" t="str">
            <v>1007</v>
          </cell>
          <cell r="C15">
            <v>93265.33</v>
          </cell>
          <cell r="D15">
            <v>104084.64</v>
          </cell>
          <cell r="F15">
            <v>67436.7</v>
          </cell>
          <cell r="H15">
            <v>6677.42</v>
          </cell>
          <cell r="J15">
            <v>71000.009999999995</v>
          </cell>
          <cell r="O15" t="str">
            <v>1007</v>
          </cell>
          <cell r="P15">
            <v>0</v>
          </cell>
          <cell r="Q15">
            <v>93265.33</v>
          </cell>
          <cell r="R15">
            <v>197349.97</v>
          </cell>
          <cell r="S15">
            <v>197349.97</v>
          </cell>
          <cell r="T15">
            <v>264786.67</v>
          </cell>
          <cell r="U15">
            <v>264786.67</v>
          </cell>
          <cell r="V15">
            <v>271464.08999999997</v>
          </cell>
          <cell r="W15">
            <v>271464.08999999997</v>
          </cell>
          <cell r="X15">
            <v>342464.1</v>
          </cell>
          <cell r="Y15">
            <v>342464.1</v>
          </cell>
          <cell r="Z15">
            <v>342464.1</v>
          </cell>
          <cell r="AA15">
            <v>342464.1</v>
          </cell>
        </row>
        <row r="16">
          <cell r="A16" t="str">
            <v>1008</v>
          </cell>
          <cell r="B16">
            <v>65075.49</v>
          </cell>
          <cell r="C16">
            <v>4339.5200000000004</v>
          </cell>
          <cell r="D16">
            <v>1577.82</v>
          </cell>
          <cell r="E16">
            <v>20674.13</v>
          </cell>
          <cell r="F16">
            <v>433.87</v>
          </cell>
          <cell r="G16">
            <v>1880.24</v>
          </cell>
          <cell r="H16">
            <v>51478.720000000001</v>
          </cell>
          <cell r="J16">
            <v>1446.37</v>
          </cell>
          <cell r="O16" t="str">
            <v>1008</v>
          </cell>
          <cell r="P16">
            <v>65075.49</v>
          </cell>
          <cell r="Q16">
            <v>69415.009999999995</v>
          </cell>
          <cell r="R16">
            <v>70992.83</v>
          </cell>
          <cell r="S16">
            <v>91666.96</v>
          </cell>
          <cell r="T16">
            <v>92100.83</v>
          </cell>
          <cell r="U16">
            <v>93981.07</v>
          </cell>
          <cell r="V16">
            <v>145459.79</v>
          </cell>
          <cell r="W16">
            <v>145459.79</v>
          </cell>
          <cell r="X16">
            <v>146906.16</v>
          </cell>
          <cell r="Y16">
            <v>146906.16</v>
          </cell>
          <cell r="Z16">
            <v>146906.16</v>
          </cell>
          <cell r="AA16">
            <v>146906.16</v>
          </cell>
        </row>
        <row r="17">
          <cell r="A17" t="str">
            <v>1012</v>
          </cell>
          <cell r="B17">
            <v>43359.92</v>
          </cell>
          <cell r="C17">
            <v>1703.22</v>
          </cell>
          <cell r="D17">
            <v>1883.87</v>
          </cell>
          <cell r="F17">
            <v>570.53</v>
          </cell>
          <cell r="H17">
            <v>465.56</v>
          </cell>
          <cell r="O17" t="str">
            <v>1012</v>
          </cell>
          <cell r="P17">
            <v>43359.92</v>
          </cell>
          <cell r="Q17">
            <v>45063.14</v>
          </cell>
          <cell r="R17">
            <v>46947.01</v>
          </cell>
          <cell r="S17">
            <v>46947.01</v>
          </cell>
          <cell r="T17">
            <v>47517.54</v>
          </cell>
          <cell r="U17">
            <v>47517.54</v>
          </cell>
          <cell r="V17">
            <v>47983.1</v>
          </cell>
          <cell r="W17">
            <v>47983.1</v>
          </cell>
          <cell r="X17">
            <v>47983.1</v>
          </cell>
          <cell r="Y17">
            <v>47983.1</v>
          </cell>
          <cell r="Z17">
            <v>47983.1</v>
          </cell>
          <cell r="AA17">
            <v>47983.1</v>
          </cell>
        </row>
        <row r="18">
          <cell r="A18" t="str">
            <v>1013</v>
          </cell>
          <cell r="C18">
            <v>3800</v>
          </cell>
          <cell r="D18">
            <v>10462.9</v>
          </cell>
          <cell r="E18">
            <v>13703.63</v>
          </cell>
          <cell r="F18">
            <v>13165.73</v>
          </cell>
          <cell r="G18">
            <v>3600</v>
          </cell>
          <cell r="H18">
            <v>1923.79</v>
          </cell>
          <cell r="O18" t="str">
            <v>1013</v>
          </cell>
          <cell r="P18">
            <v>0</v>
          </cell>
          <cell r="Q18">
            <v>3800</v>
          </cell>
          <cell r="R18">
            <v>14262.9</v>
          </cell>
          <cell r="S18">
            <v>27966.53</v>
          </cell>
          <cell r="T18">
            <v>41132.259999999995</v>
          </cell>
          <cell r="U18">
            <v>44732.259999999995</v>
          </cell>
          <cell r="V18">
            <v>46656.049999999996</v>
          </cell>
          <cell r="W18">
            <v>46656.049999999996</v>
          </cell>
          <cell r="X18">
            <v>46656.049999999996</v>
          </cell>
          <cell r="Y18">
            <v>46656.049999999996</v>
          </cell>
          <cell r="Z18">
            <v>46656.049999999996</v>
          </cell>
          <cell r="AA18">
            <v>46656.049999999996</v>
          </cell>
        </row>
        <row r="19">
          <cell r="A19" t="str">
            <v>1016</v>
          </cell>
          <cell r="D19">
            <v>3514.5</v>
          </cell>
          <cell r="O19" t="str">
            <v>1016</v>
          </cell>
          <cell r="P19">
            <v>0</v>
          </cell>
          <cell r="Q19">
            <v>0</v>
          </cell>
          <cell r="R19">
            <v>3514.5</v>
          </cell>
          <cell r="S19">
            <v>3514.5</v>
          </cell>
          <cell r="T19">
            <v>3514.5</v>
          </cell>
          <cell r="U19">
            <v>3514.5</v>
          </cell>
          <cell r="V19">
            <v>3514.5</v>
          </cell>
          <cell r="W19">
            <v>3514.5</v>
          </cell>
          <cell r="X19">
            <v>3514.5</v>
          </cell>
          <cell r="Y19">
            <v>3514.5</v>
          </cell>
          <cell r="Z19">
            <v>3514.5</v>
          </cell>
          <cell r="AA19">
            <v>3514.5</v>
          </cell>
        </row>
        <row r="20">
          <cell r="A20" t="str">
            <v>1017</v>
          </cell>
          <cell r="C20">
            <v>240346.37</v>
          </cell>
          <cell r="D20">
            <v>5232.26</v>
          </cell>
          <cell r="F20">
            <v>4409.68</v>
          </cell>
          <cell r="G20">
            <v>54895.97</v>
          </cell>
          <cell r="H20">
            <v>79080</v>
          </cell>
          <cell r="I20">
            <v>8561.69</v>
          </cell>
          <cell r="J20">
            <v>55701.61</v>
          </cell>
          <cell r="O20" t="str">
            <v>1017</v>
          </cell>
          <cell r="P20">
            <v>0</v>
          </cell>
          <cell r="Q20">
            <v>240346.37</v>
          </cell>
          <cell r="R20">
            <v>245578.63</v>
          </cell>
          <cell r="S20">
            <v>245578.63</v>
          </cell>
          <cell r="T20">
            <v>249988.31</v>
          </cell>
          <cell r="U20">
            <v>304884.28000000003</v>
          </cell>
          <cell r="V20">
            <v>383964.28</v>
          </cell>
          <cell r="W20">
            <v>392525.97000000003</v>
          </cell>
          <cell r="X20">
            <v>448227.58</v>
          </cell>
          <cell r="Y20">
            <v>448227.58</v>
          </cell>
          <cell r="Z20">
            <v>448227.58</v>
          </cell>
          <cell r="AA20">
            <v>448227.58</v>
          </cell>
        </row>
        <row r="21">
          <cell r="A21" t="str">
            <v>1020</v>
          </cell>
          <cell r="F21">
            <v>8747.98</v>
          </cell>
          <cell r="O21" t="str">
            <v>1020</v>
          </cell>
          <cell r="P21">
            <v>0</v>
          </cell>
          <cell r="Q21">
            <v>0</v>
          </cell>
          <cell r="R21">
            <v>0</v>
          </cell>
          <cell r="S21">
            <v>0</v>
          </cell>
          <cell r="T21">
            <v>8747.98</v>
          </cell>
          <cell r="U21">
            <v>8747.98</v>
          </cell>
          <cell r="V21">
            <v>8747.98</v>
          </cell>
          <cell r="W21">
            <v>8747.98</v>
          </cell>
          <cell r="X21">
            <v>8747.98</v>
          </cell>
          <cell r="Y21">
            <v>8747.98</v>
          </cell>
          <cell r="Z21">
            <v>8747.98</v>
          </cell>
          <cell r="AA21">
            <v>8747.98</v>
          </cell>
        </row>
        <row r="22">
          <cell r="A22" t="str">
            <v>1023</v>
          </cell>
          <cell r="B22">
            <v>186060.88</v>
          </cell>
          <cell r="C22">
            <v>273755.46999999997</v>
          </cell>
          <cell r="D22">
            <v>146726.29</v>
          </cell>
          <cell r="E22">
            <v>13760.05</v>
          </cell>
          <cell r="F22">
            <v>92150</v>
          </cell>
          <cell r="O22" t="str">
            <v>1023</v>
          </cell>
          <cell r="P22">
            <v>186060.88</v>
          </cell>
          <cell r="Q22">
            <v>459816.35</v>
          </cell>
          <cell r="R22">
            <v>606542.64</v>
          </cell>
          <cell r="S22">
            <v>620302.69000000006</v>
          </cell>
          <cell r="T22">
            <v>712452.69000000006</v>
          </cell>
          <cell r="U22">
            <v>712452.69000000006</v>
          </cell>
          <cell r="V22">
            <v>712452.69000000006</v>
          </cell>
          <cell r="W22">
            <v>712452.69000000006</v>
          </cell>
          <cell r="X22">
            <v>712452.69000000006</v>
          </cell>
          <cell r="Y22">
            <v>712452.69000000006</v>
          </cell>
          <cell r="Z22">
            <v>712452.69000000006</v>
          </cell>
          <cell r="AA22">
            <v>712452.69000000006</v>
          </cell>
        </row>
        <row r="23">
          <cell r="A23" t="str">
            <v>1026</v>
          </cell>
          <cell r="B23">
            <v>62901.73</v>
          </cell>
          <cell r="C23">
            <v>38014.53</v>
          </cell>
          <cell r="D23">
            <v>34565.15</v>
          </cell>
          <cell r="E23">
            <v>81638.86</v>
          </cell>
          <cell r="F23">
            <v>2472.1799999999998</v>
          </cell>
          <cell r="G23">
            <v>7131.05</v>
          </cell>
          <cell r="H23">
            <v>35044.94</v>
          </cell>
          <cell r="I23">
            <v>32319.35</v>
          </cell>
          <cell r="J23">
            <v>5726.61</v>
          </cell>
          <cell r="O23" t="str">
            <v>1026</v>
          </cell>
          <cell r="P23">
            <v>62901.73</v>
          </cell>
          <cell r="Q23">
            <v>100916.26000000001</v>
          </cell>
          <cell r="R23">
            <v>135481.41</v>
          </cell>
          <cell r="S23">
            <v>217120.27000000002</v>
          </cell>
          <cell r="T23">
            <v>219592.45</v>
          </cell>
          <cell r="U23">
            <v>226723.5</v>
          </cell>
          <cell r="V23">
            <v>261768.44</v>
          </cell>
          <cell r="W23">
            <v>294087.78999999998</v>
          </cell>
          <cell r="X23">
            <v>299814.39999999997</v>
          </cell>
          <cell r="Y23">
            <v>299814.39999999997</v>
          </cell>
          <cell r="Z23">
            <v>299814.39999999997</v>
          </cell>
          <cell r="AA23">
            <v>299814.39999999997</v>
          </cell>
        </row>
        <row r="24">
          <cell r="A24" t="str">
            <v>1027</v>
          </cell>
          <cell r="B24">
            <v>695086.45</v>
          </cell>
          <cell r="C24">
            <v>115326.13</v>
          </cell>
          <cell r="D24">
            <v>760261.6</v>
          </cell>
          <cell r="E24">
            <v>297089.65000000002</v>
          </cell>
          <cell r="F24">
            <v>326701.17</v>
          </cell>
          <cell r="G24">
            <v>232835.29</v>
          </cell>
          <cell r="H24">
            <v>484816.37</v>
          </cell>
          <cell r="I24">
            <v>9011.7799999999897</v>
          </cell>
          <cell r="J24">
            <v>300199.38</v>
          </cell>
          <cell r="O24" t="str">
            <v>1027</v>
          </cell>
          <cell r="P24">
            <v>695086.45</v>
          </cell>
          <cell r="Q24">
            <v>810412.58</v>
          </cell>
          <cell r="R24">
            <v>1570674.18</v>
          </cell>
          <cell r="S24">
            <v>1867763.83</v>
          </cell>
          <cell r="T24">
            <v>2194465</v>
          </cell>
          <cell r="U24">
            <v>2427300.29</v>
          </cell>
          <cell r="V24">
            <v>2912116.66</v>
          </cell>
          <cell r="W24">
            <v>2921128.44</v>
          </cell>
          <cell r="X24">
            <v>3221327.82</v>
          </cell>
          <cell r="Y24">
            <v>3221327.82</v>
          </cell>
          <cell r="Z24">
            <v>3221327.82</v>
          </cell>
          <cell r="AA24">
            <v>3221327.82</v>
          </cell>
        </row>
        <row r="25">
          <cell r="A25" t="str">
            <v>1029</v>
          </cell>
          <cell r="B25">
            <v>376376.57</v>
          </cell>
          <cell r="C25">
            <v>576810.86</v>
          </cell>
          <cell r="D25">
            <v>461804.34</v>
          </cell>
          <cell r="E25">
            <v>420383.84</v>
          </cell>
          <cell r="F25">
            <v>451789.49</v>
          </cell>
          <cell r="G25">
            <v>613153.30000000005</v>
          </cell>
          <cell r="H25">
            <v>328829.34000000003</v>
          </cell>
          <cell r="I25">
            <v>473806.46</v>
          </cell>
          <cell r="J25">
            <v>330743.55</v>
          </cell>
          <cell r="O25" t="str">
            <v>1029</v>
          </cell>
          <cell r="P25">
            <v>376376.57</v>
          </cell>
          <cell r="Q25">
            <v>953187.42999999993</v>
          </cell>
          <cell r="R25">
            <v>1414991.77</v>
          </cell>
          <cell r="S25">
            <v>1835375.61</v>
          </cell>
          <cell r="T25">
            <v>2287165.1</v>
          </cell>
          <cell r="U25">
            <v>2900318.4000000004</v>
          </cell>
          <cell r="V25">
            <v>3229147.74</v>
          </cell>
          <cell r="W25">
            <v>3702954.2</v>
          </cell>
          <cell r="X25">
            <v>4033697.75</v>
          </cell>
          <cell r="Y25">
            <v>4033697.75</v>
          </cell>
          <cell r="Z25">
            <v>4033697.75</v>
          </cell>
          <cell r="AA25">
            <v>4033697.75</v>
          </cell>
        </row>
        <row r="26">
          <cell r="A26" t="str">
            <v>1032</v>
          </cell>
          <cell r="C26">
            <v>14815</v>
          </cell>
          <cell r="D26">
            <v>2037.9</v>
          </cell>
          <cell r="E26">
            <v>2037.9</v>
          </cell>
          <cell r="F26">
            <v>2037.9</v>
          </cell>
          <cell r="G26">
            <v>2037.9</v>
          </cell>
          <cell r="H26">
            <v>61294.35</v>
          </cell>
          <cell r="I26">
            <v>6113.71</v>
          </cell>
          <cell r="O26" t="str">
            <v>1032</v>
          </cell>
          <cell r="P26">
            <v>0</v>
          </cell>
          <cell r="Q26">
            <v>14815</v>
          </cell>
          <cell r="R26">
            <v>16852.900000000001</v>
          </cell>
          <cell r="S26">
            <v>18890.800000000003</v>
          </cell>
          <cell r="T26">
            <v>20928.700000000004</v>
          </cell>
          <cell r="U26">
            <v>22966.600000000006</v>
          </cell>
          <cell r="V26">
            <v>84260.950000000012</v>
          </cell>
          <cell r="W26">
            <v>90374.660000000018</v>
          </cell>
          <cell r="X26">
            <v>90374.660000000018</v>
          </cell>
          <cell r="Y26">
            <v>90374.660000000018</v>
          </cell>
          <cell r="Z26">
            <v>90374.660000000018</v>
          </cell>
          <cell r="AA26">
            <v>90374.660000000018</v>
          </cell>
        </row>
        <row r="27">
          <cell r="A27" t="str">
            <v>1033</v>
          </cell>
          <cell r="C27">
            <v>5635.5</v>
          </cell>
          <cell r="E27">
            <v>10967.04</v>
          </cell>
          <cell r="G27">
            <v>5369.89</v>
          </cell>
          <cell r="H27">
            <v>3882.51</v>
          </cell>
          <cell r="J27">
            <v>660.98</v>
          </cell>
          <cell r="O27" t="str">
            <v>1033</v>
          </cell>
          <cell r="P27">
            <v>0</v>
          </cell>
          <cell r="Q27">
            <v>5635.5</v>
          </cell>
          <cell r="R27">
            <v>5635.5</v>
          </cell>
          <cell r="S27">
            <v>16602.54</v>
          </cell>
          <cell r="T27">
            <v>16602.54</v>
          </cell>
          <cell r="U27">
            <v>21972.43</v>
          </cell>
          <cell r="V27">
            <v>25854.940000000002</v>
          </cell>
          <cell r="W27">
            <v>25854.940000000002</v>
          </cell>
          <cell r="X27">
            <v>26515.920000000002</v>
          </cell>
          <cell r="Y27">
            <v>26515.920000000002</v>
          </cell>
          <cell r="Z27">
            <v>26515.920000000002</v>
          </cell>
          <cell r="AA27">
            <v>26515.920000000002</v>
          </cell>
        </row>
        <row r="28">
          <cell r="A28" t="str">
            <v>1035</v>
          </cell>
          <cell r="D28">
            <v>74637</v>
          </cell>
          <cell r="O28" t="str">
            <v>1035</v>
          </cell>
          <cell r="P28">
            <v>0</v>
          </cell>
          <cell r="Q28">
            <v>0</v>
          </cell>
          <cell r="R28">
            <v>74637</v>
          </cell>
          <cell r="S28">
            <v>74637</v>
          </cell>
          <cell r="T28">
            <v>74637</v>
          </cell>
          <cell r="U28">
            <v>74637</v>
          </cell>
          <cell r="V28">
            <v>74637</v>
          </cell>
          <cell r="W28">
            <v>74637</v>
          </cell>
          <cell r="X28">
            <v>74637</v>
          </cell>
          <cell r="Y28">
            <v>74637</v>
          </cell>
          <cell r="Z28">
            <v>74637</v>
          </cell>
          <cell r="AA28">
            <v>74637</v>
          </cell>
        </row>
        <row r="29">
          <cell r="A29" t="str">
            <v>1036</v>
          </cell>
          <cell r="D29">
            <v>36366.379999999997</v>
          </cell>
          <cell r="O29" t="str">
            <v>1036</v>
          </cell>
          <cell r="P29">
            <v>0</v>
          </cell>
          <cell r="Q29">
            <v>0</v>
          </cell>
          <cell r="R29">
            <v>36366.379999999997</v>
          </cell>
          <cell r="S29">
            <v>36366.379999999997</v>
          </cell>
          <cell r="T29">
            <v>36366.379999999997</v>
          </cell>
          <cell r="U29">
            <v>36366.379999999997</v>
          </cell>
          <cell r="V29">
            <v>36366.379999999997</v>
          </cell>
          <cell r="W29">
            <v>36366.379999999997</v>
          </cell>
          <cell r="X29">
            <v>36366.379999999997</v>
          </cell>
          <cell r="Y29">
            <v>36366.379999999997</v>
          </cell>
          <cell r="Z29">
            <v>36366.379999999997</v>
          </cell>
          <cell r="AA29">
            <v>36366.379999999997</v>
          </cell>
        </row>
        <row r="30">
          <cell r="A30" t="str">
            <v>1037</v>
          </cell>
          <cell r="E30">
            <v>-14702.36</v>
          </cell>
          <cell r="H30">
            <v>1922.08</v>
          </cell>
          <cell r="I30">
            <v>2108.29</v>
          </cell>
          <cell r="J30">
            <v>7333.49</v>
          </cell>
          <cell r="O30" t="str">
            <v>1037</v>
          </cell>
          <cell r="P30">
            <v>0</v>
          </cell>
          <cell r="Q30">
            <v>0</v>
          </cell>
          <cell r="R30">
            <v>0</v>
          </cell>
          <cell r="S30">
            <v>-14702.36</v>
          </cell>
          <cell r="T30">
            <v>-14702.36</v>
          </cell>
          <cell r="U30">
            <v>-14702.36</v>
          </cell>
          <cell r="V30">
            <v>-12780.28</v>
          </cell>
          <cell r="W30">
            <v>-10671.990000000002</v>
          </cell>
          <cell r="X30">
            <v>-3338.5000000000018</v>
          </cell>
          <cell r="Y30">
            <v>-3338.5000000000018</v>
          </cell>
          <cell r="Z30">
            <v>-3338.5000000000018</v>
          </cell>
          <cell r="AA30">
            <v>-3338.5000000000018</v>
          </cell>
        </row>
        <row r="31">
          <cell r="A31" t="str">
            <v>1038</v>
          </cell>
          <cell r="E31">
            <v>-10429.4</v>
          </cell>
          <cell r="O31" t="str">
            <v>1038</v>
          </cell>
          <cell r="P31">
            <v>0</v>
          </cell>
          <cell r="Q31">
            <v>0</v>
          </cell>
          <cell r="R31">
            <v>0</v>
          </cell>
          <cell r="S31">
            <v>-10429.4</v>
          </cell>
          <cell r="T31">
            <v>-10429.4</v>
          </cell>
          <cell r="U31">
            <v>-10429.4</v>
          </cell>
          <cell r="V31">
            <v>-10429.4</v>
          </cell>
          <cell r="W31">
            <v>-10429.4</v>
          </cell>
          <cell r="X31">
            <v>-10429.4</v>
          </cell>
          <cell r="Y31">
            <v>-10429.4</v>
          </cell>
          <cell r="Z31">
            <v>-10429.4</v>
          </cell>
          <cell r="AA31">
            <v>-10429.4</v>
          </cell>
        </row>
        <row r="32">
          <cell r="A32" t="str">
            <v>1040</v>
          </cell>
          <cell r="D32">
            <v>145</v>
          </cell>
          <cell r="E32">
            <v>4817.68</v>
          </cell>
          <cell r="I32">
            <v>450</v>
          </cell>
          <cell r="O32" t="str">
            <v>1040</v>
          </cell>
          <cell r="P32">
            <v>0</v>
          </cell>
          <cell r="Q32">
            <v>0</v>
          </cell>
          <cell r="R32">
            <v>145</v>
          </cell>
          <cell r="S32">
            <v>4962.68</v>
          </cell>
          <cell r="T32">
            <v>4962.68</v>
          </cell>
          <cell r="U32">
            <v>4962.68</v>
          </cell>
          <cell r="V32">
            <v>4962.68</v>
          </cell>
          <cell r="W32">
            <v>5412.68</v>
          </cell>
          <cell r="X32">
            <v>5412.68</v>
          </cell>
          <cell r="Y32">
            <v>5412.68</v>
          </cell>
          <cell r="Z32">
            <v>5412.68</v>
          </cell>
          <cell r="AA32">
            <v>5412.68</v>
          </cell>
        </row>
        <row r="33">
          <cell r="A33" t="str">
            <v>1041</v>
          </cell>
          <cell r="C33">
            <v>23551.18</v>
          </cell>
          <cell r="E33">
            <v>-1.0000000002037268E-2</v>
          </cell>
          <cell r="O33" t="str">
            <v>1041</v>
          </cell>
          <cell r="P33">
            <v>0</v>
          </cell>
          <cell r="Q33">
            <v>23551.18</v>
          </cell>
          <cell r="R33">
            <v>23551.18</v>
          </cell>
          <cell r="S33">
            <v>23551.17</v>
          </cell>
          <cell r="T33">
            <v>23551.17</v>
          </cell>
          <cell r="U33">
            <v>23551.17</v>
          </cell>
          <cell r="V33">
            <v>23551.17</v>
          </cell>
          <cell r="W33">
            <v>23551.17</v>
          </cell>
          <cell r="X33">
            <v>23551.17</v>
          </cell>
          <cell r="Y33">
            <v>23551.17</v>
          </cell>
          <cell r="Z33">
            <v>23551.17</v>
          </cell>
          <cell r="AA33">
            <v>23551.17</v>
          </cell>
        </row>
        <row r="34">
          <cell r="A34" t="str">
            <v>1046</v>
          </cell>
          <cell r="D34">
            <v>136259.07</v>
          </cell>
          <cell r="F34">
            <v>3348.79</v>
          </cell>
          <cell r="O34" t="str">
            <v>1046</v>
          </cell>
          <cell r="P34">
            <v>0</v>
          </cell>
          <cell r="Q34">
            <v>0</v>
          </cell>
          <cell r="R34">
            <v>136259.07</v>
          </cell>
          <cell r="S34">
            <v>136259.07</v>
          </cell>
          <cell r="T34">
            <v>139607.86000000002</v>
          </cell>
          <cell r="U34">
            <v>139607.86000000002</v>
          </cell>
          <cell r="V34">
            <v>139607.86000000002</v>
          </cell>
          <cell r="W34">
            <v>139607.86000000002</v>
          </cell>
          <cell r="X34">
            <v>139607.86000000002</v>
          </cell>
          <cell r="Y34">
            <v>139607.86000000002</v>
          </cell>
          <cell r="Z34">
            <v>139607.86000000002</v>
          </cell>
          <cell r="AA34">
            <v>139607.86000000002</v>
          </cell>
        </row>
        <row r="35">
          <cell r="A35" t="str">
            <v>1048</v>
          </cell>
          <cell r="C35">
            <v>21662</v>
          </cell>
          <cell r="O35" t="str">
            <v>1048</v>
          </cell>
          <cell r="P35">
            <v>0</v>
          </cell>
          <cell r="Q35">
            <v>21662</v>
          </cell>
          <cell r="R35">
            <v>21662</v>
          </cell>
          <cell r="S35">
            <v>21662</v>
          </cell>
          <cell r="T35">
            <v>21662</v>
          </cell>
          <cell r="U35">
            <v>21662</v>
          </cell>
          <cell r="V35">
            <v>21662</v>
          </cell>
          <cell r="W35">
            <v>21662</v>
          </cell>
          <cell r="X35">
            <v>21662</v>
          </cell>
          <cell r="Y35">
            <v>21662</v>
          </cell>
          <cell r="Z35">
            <v>21662</v>
          </cell>
          <cell r="AA35">
            <v>21662</v>
          </cell>
        </row>
        <row r="36">
          <cell r="A36" t="str">
            <v>1053</v>
          </cell>
          <cell r="E36">
            <v>350</v>
          </cell>
          <cell r="O36" t="str">
            <v>1053</v>
          </cell>
          <cell r="P36">
            <v>0</v>
          </cell>
          <cell r="Q36">
            <v>0</v>
          </cell>
          <cell r="R36">
            <v>0</v>
          </cell>
          <cell r="S36">
            <v>350</v>
          </cell>
          <cell r="T36">
            <v>350</v>
          </cell>
          <cell r="U36">
            <v>350</v>
          </cell>
          <cell r="V36">
            <v>350</v>
          </cell>
          <cell r="W36">
            <v>350</v>
          </cell>
          <cell r="X36">
            <v>350</v>
          </cell>
          <cell r="Y36">
            <v>350</v>
          </cell>
          <cell r="Z36">
            <v>350</v>
          </cell>
          <cell r="AA36">
            <v>350</v>
          </cell>
        </row>
        <row r="37">
          <cell r="A37" t="str">
            <v>1055</v>
          </cell>
          <cell r="G37">
            <v>143.69</v>
          </cell>
          <cell r="H37">
            <v>2095.75</v>
          </cell>
          <cell r="I37">
            <v>2204.84</v>
          </cell>
          <cell r="J37">
            <v>133127.01</v>
          </cell>
          <cell r="O37" t="str">
            <v>1055</v>
          </cell>
          <cell r="P37">
            <v>0</v>
          </cell>
          <cell r="Q37">
            <v>0</v>
          </cell>
          <cell r="R37">
            <v>0</v>
          </cell>
          <cell r="S37">
            <v>0</v>
          </cell>
          <cell r="T37">
            <v>0</v>
          </cell>
          <cell r="U37">
            <v>143.69</v>
          </cell>
          <cell r="V37">
            <v>2239.44</v>
          </cell>
          <cell r="W37">
            <v>4444.2800000000007</v>
          </cell>
          <cell r="X37">
            <v>137571.29</v>
          </cell>
          <cell r="Y37">
            <v>137571.29</v>
          </cell>
          <cell r="Z37">
            <v>137571.29</v>
          </cell>
          <cell r="AA37">
            <v>137571.29</v>
          </cell>
        </row>
        <row r="38">
          <cell r="O38" t="str">
            <v>Totalt</v>
          </cell>
          <cell r="P38">
            <v>-1566358.61</v>
          </cell>
          <cell r="Q38">
            <v>-3386343.81</v>
          </cell>
          <cell r="R38">
            <v>-18602.350000000093</v>
          </cell>
          <cell r="S38">
            <v>2313838.0299999998</v>
          </cell>
          <cell r="T38">
            <v>4221203.54</v>
          </cell>
          <cell r="U38">
            <v>7606236.7400000002</v>
          </cell>
          <cell r="V38">
            <v>9403795.4399999995</v>
          </cell>
          <cell r="W38">
            <v>11269428.779999999</v>
          </cell>
          <cell r="X38">
            <v>13106757.469999999</v>
          </cell>
          <cell r="Y38">
            <v>13106757.469999999</v>
          </cell>
          <cell r="Z38">
            <v>13106757.469999999</v>
          </cell>
          <cell r="AA38">
            <v>13106757.469999999</v>
          </cell>
        </row>
        <row r="39">
          <cell r="O39">
            <v>0</v>
          </cell>
          <cell r="P39">
            <v>0</v>
          </cell>
          <cell r="Q39">
            <v>0</v>
          </cell>
          <cell r="R39">
            <v>0</v>
          </cell>
          <cell r="S39">
            <v>0</v>
          </cell>
          <cell r="T39">
            <v>0</v>
          </cell>
          <cell r="U39">
            <v>0</v>
          </cell>
          <cell r="V39">
            <v>0</v>
          </cell>
          <cell r="W39">
            <v>0</v>
          </cell>
          <cell r="X39">
            <v>0</v>
          </cell>
          <cell r="Y39">
            <v>0</v>
          </cell>
          <cell r="Z39">
            <v>0</v>
          </cell>
          <cell r="AA39">
            <v>0</v>
          </cell>
        </row>
        <row r="40">
          <cell r="O40">
            <v>0</v>
          </cell>
          <cell r="P40">
            <v>0</v>
          </cell>
          <cell r="Q40">
            <v>0</v>
          </cell>
          <cell r="R40">
            <v>0</v>
          </cell>
          <cell r="S40">
            <v>0</v>
          </cell>
          <cell r="T40">
            <v>0</v>
          </cell>
          <cell r="U40">
            <v>0</v>
          </cell>
          <cell r="V40">
            <v>0</v>
          </cell>
          <cell r="W40">
            <v>0</v>
          </cell>
          <cell r="X40">
            <v>0</v>
          </cell>
          <cell r="Y40">
            <v>0</v>
          </cell>
          <cell r="Z40">
            <v>0</v>
          </cell>
          <cell r="AA40">
            <v>0</v>
          </cell>
        </row>
        <row r="41">
          <cell r="O41">
            <v>0</v>
          </cell>
          <cell r="P41">
            <v>0</v>
          </cell>
          <cell r="Q41">
            <v>0</v>
          </cell>
          <cell r="R41">
            <v>0</v>
          </cell>
          <cell r="S41">
            <v>0</v>
          </cell>
          <cell r="T41">
            <v>0</v>
          </cell>
          <cell r="U41">
            <v>0</v>
          </cell>
          <cell r="V41">
            <v>0</v>
          </cell>
          <cell r="W41">
            <v>0</v>
          </cell>
          <cell r="X41">
            <v>0</v>
          </cell>
          <cell r="Y41">
            <v>0</v>
          </cell>
          <cell r="Z41">
            <v>0</v>
          </cell>
          <cell r="AA41">
            <v>0</v>
          </cell>
        </row>
        <row r="42">
          <cell r="O42">
            <v>0</v>
          </cell>
          <cell r="P42">
            <v>0</v>
          </cell>
          <cell r="Q42">
            <v>0</v>
          </cell>
          <cell r="R42">
            <v>0</v>
          </cell>
          <cell r="S42">
            <v>0</v>
          </cell>
          <cell r="T42">
            <v>0</v>
          </cell>
          <cell r="U42">
            <v>0</v>
          </cell>
          <cell r="V42">
            <v>0</v>
          </cell>
          <cell r="W42">
            <v>0</v>
          </cell>
          <cell r="X42">
            <v>0</v>
          </cell>
          <cell r="Y42">
            <v>0</v>
          </cell>
          <cell r="Z42">
            <v>0</v>
          </cell>
          <cell r="AA42">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Group"/>
      <sheetName val="Quarterlies"/>
      <sheetName val="Valuation"/>
      <sheetName val="Wireline"/>
      <sheetName val="Market"/>
      <sheetName val="Outpayments"/>
      <sheetName val="Sheet1"/>
      <sheetName val="Global Services"/>
      <sheetName val="FRS17"/>
      <sheetName val="George"/>
      <sheetName val="Cost Analy"/>
      <sheetName val="charts"/>
      <sheetName val="questions"/>
      <sheetName val="IM"/>
      <sheetName val="Debt"/>
      <sheetName val="debt 20F"/>
      <sheetName val="Debt ratios"/>
      <sheetName val="Charts Jan 05"/>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refreshError="1">
        <row r="12">
          <cell r="K12" t="str">
            <v>UKP millions</v>
          </cell>
          <cell r="L12" t="str">
            <v>v3</v>
          </cell>
          <cell r="M12">
            <v>38008.59294386574</v>
          </cell>
        </row>
        <row r="13">
          <cell r="K13" t="str">
            <v>UKP millions</v>
          </cell>
          <cell r="L13" t="str">
            <v>v3</v>
          </cell>
          <cell r="M13">
            <v>38008.59294386574</v>
          </cell>
        </row>
        <row r="14">
          <cell r="K14" t="str">
            <v>UKP millions</v>
          </cell>
          <cell r="L14" t="str">
            <v>v3</v>
          </cell>
          <cell r="M14">
            <v>38008.59294386574</v>
          </cell>
          <cell r="AA14">
            <v>12387.769999999999</v>
          </cell>
          <cell r="AB14">
            <v>13370</v>
          </cell>
          <cell r="AC14">
            <v>14067.191011100091</v>
          </cell>
          <cell r="AD14">
            <v>13817.320772919136</v>
          </cell>
          <cell r="AE14">
            <v>13809.68496666932</v>
          </cell>
          <cell r="AF14">
            <v>14082.449148150023</v>
          </cell>
          <cell r="AG14">
            <v>14129.228105830436</v>
          </cell>
          <cell r="AH14">
            <v>14140.064355242996</v>
          </cell>
          <cell r="AI14">
            <v>14087.20710586432</v>
          </cell>
          <cell r="AJ14">
            <v>14021.5411091519</v>
          </cell>
          <cell r="AK14">
            <v>13940.313693105927</v>
          </cell>
          <cell r="AL14">
            <v>13823.741864644662</v>
          </cell>
        </row>
        <row r="15">
          <cell r="K15" t="str">
            <v>UKP millions</v>
          </cell>
          <cell r="L15" t="str">
            <v>v3</v>
          </cell>
          <cell r="M15">
            <v>38008.59294386574</v>
          </cell>
          <cell r="AA15">
            <v>344.75</v>
          </cell>
          <cell r="AB15">
            <v>361.17999999999984</v>
          </cell>
          <cell r="AC15">
            <v>330.4422676171057</v>
          </cell>
          <cell r="AD15">
            <v>394.19119123862538</v>
          </cell>
          <cell r="AE15">
            <v>354.05332148453499</v>
          </cell>
          <cell r="AF15">
            <v>162.16521066052019</v>
          </cell>
          <cell r="AG15">
            <v>124.76613676321813</v>
          </cell>
          <cell r="AH15">
            <v>167.77386253554914</v>
          </cell>
          <cell r="AI15">
            <v>194.12031483954661</v>
          </cell>
          <cell r="AJ15">
            <v>214.03415076793772</v>
          </cell>
          <cell r="AK15">
            <v>226.06293048617135</v>
          </cell>
          <cell r="AL15">
            <v>226.34094569312174</v>
          </cell>
        </row>
        <row r="16">
          <cell r="K16" t="str">
            <v>UKP millions</v>
          </cell>
          <cell r="L16" t="str">
            <v>v3</v>
          </cell>
          <cell r="M16">
            <v>38008.59294386574</v>
          </cell>
        </row>
        <row r="17">
          <cell r="K17" t="str">
            <v>UKP millions</v>
          </cell>
          <cell r="L17" t="str">
            <v>v3</v>
          </cell>
          <cell r="M17">
            <v>38008.59294386574</v>
          </cell>
          <cell r="W17">
            <v>721.7593283582089</v>
          </cell>
          <cell r="X17">
            <v>810.6343283582089</v>
          </cell>
          <cell r="Y17">
            <v>1081.6809701492537</v>
          </cell>
          <cell r="Z17">
            <v>1535.1940298507461</v>
          </cell>
          <cell r="AA17">
            <v>1941.75</v>
          </cell>
          <cell r="AB17">
            <v>1898.57</v>
          </cell>
          <cell r="AC17">
            <v>1769.3858</v>
          </cell>
          <cell r="AD17">
            <v>1663.2226519999999</v>
          </cell>
          <cell r="AE17">
            <v>1587.9857739199999</v>
          </cell>
          <cell r="AF17">
            <v>1524.4663429631996</v>
          </cell>
          <cell r="AG17">
            <v>1463.4876892446719</v>
          </cell>
          <cell r="AH17">
            <v>1404.9481816748851</v>
          </cell>
          <cell r="AI17">
            <v>1348.7502544078893</v>
          </cell>
          <cell r="AJ17">
            <v>1294.8002442315737</v>
          </cell>
          <cell r="AK17">
            <v>1243.0082344623108</v>
          </cell>
          <cell r="AL17">
            <v>1193.2879050838183</v>
          </cell>
        </row>
        <row r="18">
          <cell r="K18" t="str">
            <v>UKP millions</v>
          </cell>
          <cell r="L18" t="str">
            <v>v3</v>
          </cell>
          <cell r="M18">
            <v>38008.59294386574</v>
          </cell>
          <cell r="W18">
            <v>448.97867803837971</v>
          </cell>
          <cell r="X18">
            <v>504.26439232409399</v>
          </cell>
          <cell r="Y18">
            <v>672.87206823027725</v>
          </cell>
          <cell r="Z18">
            <v>954.98507462686575</v>
          </cell>
          <cell r="AA18">
            <v>1239.75</v>
          </cell>
          <cell r="AB18">
            <v>1309</v>
          </cell>
          <cell r="AC18">
            <v>1279.5475000000001</v>
          </cell>
          <cell r="AD18">
            <v>1241.161075</v>
          </cell>
          <cell r="AE18">
            <v>1203.9262427499998</v>
          </cell>
          <cell r="AF18">
            <v>1194.6889569999998</v>
          </cell>
          <cell r="AG18">
            <v>1194.6889569999998</v>
          </cell>
          <cell r="AH18">
            <v>1194.6889569999998</v>
          </cell>
          <cell r="AI18">
            <v>1194.6889569999998</v>
          </cell>
          <cell r="AJ18">
            <v>1194.6889569999998</v>
          </cell>
          <cell r="AK18">
            <v>1194.6889569999998</v>
          </cell>
          <cell r="AL18">
            <v>1194.6889569999998</v>
          </cell>
        </row>
        <row r="19">
          <cell r="K19" t="str">
            <v>UKP millions</v>
          </cell>
          <cell r="L19" t="str">
            <v>v3</v>
          </cell>
          <cell r="M19">
            <v>38008.59294386574</v>
          </cell>
          <cell r="W19">
            <v>1170.7380063965884</v>
          </cell>
          <cell r="X19">
            <v>1314.8987206823028</v>
          </cell>
          <cell r="Y19">
            <v>1754.553038379531</v>
          </cell>
          <cell r="Z19">
            <v>2490.1791044776119</v>
          </cell>
          <cell r="AA19">
            <v>3181.5</v>
          </cell>
          <cell r="AB19">
            <v>3207.57</v>
          </cell>
          <cell r="AC19">
            <v>3048.9333000000001</v>
          </cell>
          <cell r="AD19">
            <v>2904.3837269999999</v>
          </cell>
          <cell r="AE19">
            <v>2791.91201667</v>
          </cell>
          <cell r="AF19">
            <v>2719.1552999631995</v>
          </cell>
          <cell r="AG19">
            <v>2658.1766462446712</v>
          </cell>
          <cell r="AH19">
            <v>2599.6371386748847</v>
          </cell>
          <cell r="AI19">
            <v>2543.4392114078892</v>
          </cell>
          <cell r="AJ19">
            <v>2489.4892012315736</v>
          </cell>
          <cell r="AK19">
            <v>2437.6971914623105</v>
          </cell>
          <cell r="AL19">
            <v>2387.9768620838181</v>
          </cell>
        </row>
        <row r="20">
          <cell r="K20" t="str">
            <v>UKP millions</v>
          </cell>
          <cell r="L20" t="str">
            <v>v3</v>
          </cell>
          <cell r="M20">
            <v>38008.59294386574</v>
          </cell>
          <cell r="AA20">
            <v>3526.25</v>
          </cell>
          <cell r="AB20">
            <v>3568.75</v>
          </cell>
          <cell r="AC20">
            <v>3379.3755676171058</v>
          </cell>
          <cell r="AD20">
            <v>3298.5749182386253</v>
          </cell>
          <cell r="AE20">
            <v>3145.9653381545349</v>
          </cell>
          <cell r="AF20">
            <v>2881.3205106237197</v>
          </cell>
          <cell r="AG20">
            <v>2782.9427830078894</v>
          </cell>
          <cell r="AH20">
            <v>2767.4110012104338</v>
          </cell>
          <cell r="AI20">
            <v>2737.5595262474358</v>
          </cell>
          <cell r="AJ20">
            <v>2703.5233519995113</v>
          </cell>
          <cell r="AK20">
            <v>2663.7601219484818</v>
          </cell>
          <cell r="AL20">
            <v>2614.3178077769398</v>
          </cell>
        </row>
        <row r="21">
          <cell r="K21" t="str">
            <v>UKP millions</v>
          </cell>
          <cell r="L21" t="str">
            <v>v3</v>
          </cell>
          <cell r="M21">
            <v>38008.59294386574</v>
          </cell>
          <cell r="AA21">
            <v>819.37999999999988</v>
          </cell>
          <cell r="AB21">
            <v>445.25</v>
          </cell>
          <cell r="AC21">
            <v>582.88414993538868</v>
          </cell>
          <cell r="AD21">
            <v>641.48201070082541</v>
          </cell>
          <cell r="AE21">
            <v>699.17210170468263</v>
          </cell>
          <cell r="AF21">
            <v>755.82983505789366</v>
          </cell>
          <cell r="AG21">
            <v>809.80310581909021</v>
          </cell>
          <cell r="AH21">
            <v>853.8763578963642</v>
          </cell>
          <cell r="AI21">
            <v>888.39280864194222</v>
          </cell>
          <cell r="AJ21">
            <v>919.94926442896531</v>
          </cell>
          <cell r="AK21">
            <v>950.43277877101912</v>
          </cell>
          <cell r="AL21">
            <v>975.29784627268793</v>
          </cell>
        </row>
        <row r="22">
          <cell r="K22" t="str">
            <v>UKP millions</v>
          </cell>
          <cell r="L22" t="str">
            <v>v3</v>
          </cell>
          <cell r="M22">
            <v>38008.59294386574</v>
          </cell>
          <cell r="AA22">
            <v>16733.399999999998</v>
          </cell>
          <cell r="AB22">
            <v>17384</v>
          </cell>
          <cell r="AC22">
            <v>18029.450728652584</v>
          </cell>
          <cell r="AD22">
            <v>17757.37770185859</v>
          </cell>
          <cell r="AE22">
            <v>17654.822406528539</v>
          </cell>
          <cell r="AF22">
            <v>17719.599493831636</v>
          </cell>
          <cell r="AG22">
            <v>17721.973994657415</v>
          </cell>
          <cell r="AH22">
            <v>17761.351714349792</v>
          </cell>
          <cell r="AI22">
            <v>17713.159440753698</v>
          </cell>
          <cell r="AJ22">
            <v>17645.013725580375</v>
          </cell>
          <cell r="AK22">
            <v>17554.50659382543</v>
          </cell>
          <cell r="AL22">
            <v>17413.357518694291</v>
          </cell>
        </row>
        <row r="24">
          <cell r="L24" t="str">
            <v>v3</v>
          </cell>
          <cell r="M24">
            <v>38008.59294386574</v>
          </cell>
        </row>
        <row r="25">
          <cell r="L25" t="str">
            <v>v3</v>
          </cell>
          <cell r="M25">
            <v>38008.59294386574</v>
          </cell>
        </row>
        <row r="26">
          <cell r="L26" t="str">
            <v>v3</v>
          </cell>
          <cell r="M26">
            <v>38008.59294386574</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row>
        <row r="27">
          <cell r="K27" t="str">
            <v>UKP millions</v>
          </cell>
          <cell r="L27" t="str">
            <v>v3</v>
          </cell>
          <cell r="M27">
            <v>38008.59294386574</v>
          </cell>
        </row>
        <row r="28">
          <cell r="K28" t="str">
            <v>UKP millions</v>
          </cell>
          <cell r="L28" t="str">
            <v>v3</v>
          </cell>
          <cell r="M28">
            <v>38008.59294386574</v>
          </cell>
        </row>
        <row r="29">
          <cell r="K29" t="str">
            <v>UKP millions</v>
          </cell>
          <cell r="L29" t="str">
            <v>v3</v>
          </cell>
          <cell r="M29">
            <v>38008.59294386574</v>
          </cell>
          <cell r="AA29" t="e">
            <v>#REF!</v>
          </cell>
          <cell r="AB29" t="e">
            <v>#REF!</v>
          </cell>
          <cell r="AC29" t="e">
            <v>#REF!</v>
          </cell>
          <cell r="AD29" t="e">
            <v>#REF!</v>
          </cell>
          <cell r="AE29" t="e">
            <v>#REF!</v>
          </cell>
          <cell r="AF29" t="e">
            <v>#REF!</v>
          </cell>
          <cell r="AG29" t="e">
            <v>#REF!</v>
          </cell>
          <cell r="AH29" t="e">
            <v>#REF!</v>
          </cell>
          <cell r="AI29" t="e">
            <v>#REF!</v>
          </cell>
          <cell r="AJ29" t="e">
            <v>#REF!</v>
          </cell>
          <cell r="AK29" t="e">
            <v>#REF!</v>
          </cell>
          <cell r="AL29" t="e">
            <v>#REF!</v>
          </cell>
        </row>
        <row r="31">
          <cell r="L31" t="str">
            <v>v3</v>
          </cell>
          <cell r="M31">
            <v>38008.59294386574</v>
          </cell>
        </row>
        <row r="32">
          <cell r="L32" t="str">
            <v>v3</v>
          </cell>
          <cell r="M32">
            <v>38008.59294386574</v>
          </cell>
        </row>
        <row r="33">
          <cell r="L33" t="str">
            <v>v3</v>
          </cell>
          <cell r="M33">
            <v>38008.59294386574</v>
          </cell>
        </row>
        <row r="34">
          <cell r="L34" t="str">
            <v>v3</v>
          </cell>
          <cell r="M34">
            <v>38008.59294386574</v>
          </cell>
        </row>
        <row r="35">
          <cell r="L35" t="str">
            <v>v3</v>
          </cell>
          <cell r="M35">
            <v>38008.59294386574</v>
          </cell>
          <cell r="W35" t="e">
            <v>#REF!</v>
          </cell>
          <cell r="X35" t="e">
            <v>#REF!</v>
          </cell>
          <cell r="Y35" t="e">
            <v>#REF!</v>
          </cell>
          <cell r="Z35" t="e">
            <v>#REF!</v>
          </cell>
          <cell r="AA35" t="e">
            <v>#REF!</v>
          </cell>
          <cell r="AB35" t="e">
            <v>#REF!</v>
          </cell>
          <cell r="AC35" t="e">
            <v>#REF!</v>
          </cell>
          <cell r="AD35" t="e">
            <v>#REF!</v>
          </cell>
          <cell r="AE35" t="e">
            <v>#REF!</v>
          </cell>
          <cell r="AF35" t="e">
            <v>#REF!</v>
          </cell>
          <cell r="AG35" t="e">
            <v>#REF!</v>
          </cell>
          <cell r="AH35" t="e">
            <v>#REF!</v>
          </cell>
          <cell r="AI35" t="e">
            <v>#REF!</v>
          </cell>
          <cell r="AJ35" t="e">
            <v>#REF!</v>
          </cell>
          <cell r="AK35" t="e">
            <v>#REF!</v>
          </cell>
          <cell r="AL35" t="e">
            <v>#REF!</v>
          </cell>
        </row>
        <row r="36">
          <cell r="L36" t="str">
            <v>v3</v>
          </cell>
          <cell r="M36">
            <v>38008.59294386574</v>
          </cell>
        </row>
        <row r="37">
          <cell r="L37" t="str">
            <v>v3</v>
          </cell>
          <cell r="M37">
            <v>38008.59294386574</v>
          </cell>
        </row>
        <row r="38">
          <cell r="L38" t="str">
            <v>v3</v>
          </cell>
          <cell r="M38">
            <v>38008.59294386574</v>
          </cell>
        </row>
        <row r="39">
          <cell r="L39" t="str">
            <v>v3</v>
          </cell>
          <cell r="M39">
            <v>38008.59294386574</v>
          </cell>
        </row>
        <row r="40">
          <cell r="L40" t="str">
            <v>v3</v>
          </cell>
          <cell r="M40">
            <v>38008.59294386574</v>
          </cell>
        </row>
        <row r="41">
          <cell r="L41" t="str">
            <v>v3</v>
          </cell>
          <cell r="M41">
            <v>38008.59294386574</v>
          </cell>
        </row>
        <row r="42">
          <cell r="L42" t="str">
            <v>v3</v>
          </cell>
          <cell r="M42">
            <v>38008.59294386574</v>
          </cell>
        </row>
        <row r="43">
          <cell r="L43" t="str">
            <v>v3</v>
          </cell>
          <cell r="M43">
            <v>38008.59294386574</v>
          </cell>
          <cell r="W43" t="e">
            <v>#REF!</v>
          </cell>
          <cell r="X43" t="e">
            <v>#REF!</v>
          </cell>
          <cell r="Y43" t="e">
            <v>#REF!</v>
          </cell>
          <cell r="Z43" t="e">
            <v>#REF!</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row>
        <row r="44">
          <cell r="L44" t="str">
            <v>v3</v>
          </cell>
          <cell r="M44">
            <v>38008.59294386574</v>
          </cell>
          <cell r="W44">
            <v>26582</v>
          </cell>
          <cell r="X44">
            <v>25816</v>
          </cell>
          <cell r="Y44">
            <v>25703</v>
          </cell>
          <cell r="Z44">
            <v>25306</v>
          </cell>
          <cell r="AA44">
            <v>25036</v>
          </cell>
          <cell r="AB44">
            <v>25402</v>
          </cell>
          <cell r="AC44">
            <v>25345</v>
          </cell>
          <cell r="AD44">
            <v>24885.325423607123</v>
          </cell>
          <cell r="AE44">
            <v>24330.42903683228</v>
          </cell>
          <cell r="AF44">
            <v>23784.142045250574</v>
          </cell>
          <cell r="AG44">
            <v>23246.347750596819</v>
          </cell>
          <cell r="AH44">
            <v>22716.930927631613</v>
          </cell>
          <cell r="AI44">
            <v>22195.777806350652</v>
          </cell>
          <cell r="AJ44">
            <v>21682.776054402548</v>
          </cell>
          <cell r="AK44">
            <v>21177.814759712768</v>
          </cell>
          <cell r="AL44">
            <v>20680.784413311347</v>
          </cell>
        </row>
        <row r="45">
          <cell r="L45" t="str">
            <v>v3</v>
          </cell>
          <cell r="M45">
            <v>38008.59294386574</v>
          </cell>
          <cell r="W45" t="e">
            <v>#REF!</v>
          </cell>
          <cell r="X45" t="e">
            <v>#REF!</v>
          </cell>
          <cell r="Y45" t="e">
            <v>#REF!</v>
          </cell>
          <cell r="Z45" t="e">
            <v>#REF!</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row>
        <row r="46">
          <cell r="L46" t="str">
            <v>v3</v>
          </cell>
          <cell r="M46">
            <v>38008.59294386574</v>
          </cell>
          <cell r="W46" t="e">
            <v>#REF!</v>
          </cell>
          <cell r="X46" t="e">
            <v>#REF!</v>
          </cell>
          <cell r="Y46" t="e">
            <v>#REF!</v>
          </cell>
          <cell r="Z46" t="e">
            <v>#REF!</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row>
        <row r="48">
          <cell r="L48" t="str">
            <v>v3</v>
          </cell>
          <cell r="M48">
            <v>38008.59294386574</v>
          </cell>
          <cell r="AA48">
            <v>85523</v>
          </cell>
          <cell r="AB48">
            <v>82490</v>
          </cell>
        </row>
      </sheetData>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Name val="PL"/>
      <sheetName val="IC-PL"/>
      <sheetName val="EXT-INC"/>
      <sheetName val="TRAF-COST"/>
      <sheetName val="INT-traf-cost"/>
      <sheetName val="OWN-WORK-CAP"/>
      <sheetName val="PAYROLL"/>
      <sheetName val="OPR-COST"/>
      <sheetName val="INT-OPR-COST"/>
      <sheetName val="FIN-PL"/>
      <sheetName val="Investments"/>
      <sheetName val="M-BALANCE"/>
      <sheetName val="IC-BAL"/>
      <sheetName val="CASH"/>
      <sheetName val="PROVISIONS"/>
      <sheetName val="EQUITY"/>
      <sheetName val="COMMITMENTS"/>
      <sheetName val="PERS-ADD"/>
      <sheetName val="AQUISITIONS"/>
      <sheetName val="Statistics"/>
      <sheetName val="Definitions"/>
    </sheetNames>
    <sheetDataSet>
      <sheetData sheetId="0" refreshError="1">
        <row r="10">
          <cell r="E10" t="str">
            <v>&lt;Code&gt;</v>
          </cell>
        </row>
        <row r="11">
          <cell r="E11" t="str">
            <v>&lt;Name&gt;</v>
          </cell>
        </row>
        <row r="12">
          <cell r="E12" t="str">
            <v>0006</v>
          </cell>
        </row>
        <row r="15">
          <cell r="E15" t="str">
            <v>NOK</v>
          </cell>
        </row>
        <row r="16">
          <cell r="E16">
            <v>36692</v>
          </cell>
        </row>
        <row r="20">
          <cell r="E20" t="str">
            <v>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TP"/>
      <sheetName val="P&amp;L"/>
      <sheetName val="BS"/>
      <sheetName val="CF"/>
      <sheetName val="Cons. Revs"/>
      <sheetName val="Prop. Revs"/>
      <sheetName val="Cons. EBITDA"/>
      <sheetName val="Prop. EBITDA"/>
      <sheetName val="EBITDA Margins"/>
      <sheetName val="Capex"/>
      <sheetName val="USA"/>
      <sheetName val="UK"/>
      <sheetName val="Germany"/>
      <sheetName val="Italy"/>
      <sheetName val="J-Phone"/>
      <sheetName val="Spain"/>
      <sheetName val="Ireland"/>
      <sheetName val="Egypt"/>
      <sheetName val="Australia"/>
      <sheetName val="NZ"/>
      <sheetName val="NL"/>
      <sheetName val="Greece"/>
      <sheetName val="Portugal"/>
      <sheetName val="Sweden"/>
      <sheetName val="Switzerland"/>
      <sheetName val="Jap Fixed"/>
      <sheetName val="SFR"/>
      <sheetName val="Belgium"/>
      <sheetName val="Arcor"/>
      <sheetName val="Cegetel7"/>
      <sheetName val="Depreciaton schedule"/>
      <sheetName val="Cash Tax"/>
      <sheetName val="Bill"/>
      <sheetName val="Multip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TP"/>
      <sheetName val="P&amp;L"/>
      <sheetName val="BS"/>
      <sheetName val="CF"/>
      <sheetName val="Cons. Revs"/>
      <sheetName val="Prop. Revs"/>
      <sheetName val="Cons. EBITDA"/>
      <sheetName val="Prop. EBITDA"/>
      <sheetName val="EBITDA Margins"/>
      <sheetName val="Capex"/>
      <sheetName val="USA"/>
      <sheetName val="UK"/>
      <sheetName val="Germany"/>
      <sheetName val="Italy"/>
      <sheetName val="J-Phone"/>
      <sheetName val="Spain"/>
      <sheetName val="Ireland"/>
      <sheetName val="Egypt"/>
      <sheetName val="Australia"/>
      <sheetName val="NZ"/>
      <sheetName val="NL"/>
      <sheetName val="Greece"/>
      <sheetName val="Portugal"/>
      <sheetName val="Sweden"/>
      <sheetName val="Switzerland"/>
      <sheetName val="Jap Fixed"/>
      <sheetName val="SFR"/>
      <sheetName val="Belgium"/>
      <sheetName val="Arcor"/>
      <sheetName val="Cegetel7"/>
      <sheetName val="Depreciaton schedule"/>
      <sheetName val="Cash Tax"/>
      <sheetName val="Bill"/>
      <sheetName val="Multip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 Run"/>
      <sheetName val="Analysts"/>
      <sheetName val="Contents (US$)"/>
      <sheetName val="Output page - US$"/>
      <sheetName val="Drivers - US$"/>
      <sheetName val="JT Global Link Page"/>
      <sheetName val="NTT Global Link Page"/>
      <sheetName val="KDDI Global Link Page"/>
      <sheetName val="Docomo Global Link Page"/>
      <sheetName val="Contents Local"/>
      <sheetName val="Output page - Local"/>
      <sheetName val="Drivers - Local"/>
      <sheetName val="Ratio's Defined"/>
      <sheetName val="Created Indices"/>
      <sheetName val="Recognised Indices"/>
      <sheetName val="Price Relative"/>
      <sheetName val="Global Link Page"/>
      <sheetName val="Conditional Formatting"/>
      <sheetName val="Sum of parts (1)"/>
      <sheetName val="Sum of part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56">
          <cell r="AC56" t="str">
            <v>DJ EURO STOXX  - performance comparison (US$) *</v>
          </cell>
        </row>
        <row r="57">
          <cell r="AC57" t="str">
            <v xml:space="preserve"> -  7 Days</v>
          </cell>
          <cell r="AD57" t="str">
            <v xml:space="preserve"> - 1 Month</v>
          </cell>
          <cell r="AE57" t="str">
            <v xml:space="preserve"> -  3 Months</v>
          </cell>
          <cell r="AF57" t="str">
            <v xml:space="preserve"> - 1 Year</v>
          </cell>
          <cell r="AG57" t="str">
            <v xml:space="preserve"> - 15 Months</v>
          </cell>
          <cell r="AH57" t="str">
            <v xml:space="preserve"> - 18 Months</v>
          </cell>
          <cell r="AI57" t="str">
            <v xml:space="preserve"> - 2 Years</v>
          </cell>
        </row>
        <row r="60">
          <cell r="AC60" t="e">
            <v>#DIV/0!</v>
          </cell>
          <cell r="AD60" t="e">
            <v>#DIV/0!</v>
          </cell>
          <cell r="AE60" t="e">
            <v>#DIV/0!</v>
          </cell>
          <cell r="AF60" t="e">
            <v>#DIV/0!</v>
          </cell>
          <cell r="AG60" t="e">
            <v>#DIV/0!</v>
          </cell>
          <cell r="AH60" t="e">
            <v>#DIV/0!</v>
          </cell>
          <cell r="AI60" t="e">
            <v>#DIV/0!</v>
          </cell>
        </row>
        <row r="61">
          <cell r="AC61" t="e">
            <v>#DIV/0!</v>
          </cell>
          <cell r="AD61" t="e">
            <v>#DIV/0!</v>
          </cell>
          <cell r="AE61" t="e">
            <v>#DIV/0!</v>
          </cell>
          <cell r="AF61" t="e">
            <v>#DIV/0!</v>
          </cell>
          <cell r="AG61" t="e">
            <v>#DIV/0!</v>
          </cell>
          <cell r="AH61" t="e">
            <v>#DIV/0!</v>
          </cell>
          <cell r="AI61" t="e">
            <v>#DIV/0!</v>
          </cell>
        </row>
        <row r="62">
          <cell r="AC62" t="e">
            <v>#DIV/0!</v>
          </cell>
          <cell r="AD62" t="e">
            <v>#DIV/0!</v>
          </cell>
          <cell r="AE62" t="e">
            <v>#DIV/0!</v>
          </cell>
          <cell r="AF62" t="e">
            <v>#DIV/0!</v>
          </cell>
          <cell r="AG62" t="e">
            <v>#DIV/0!</v>
          </cell>
          <cell r="AH62" t="e">
            <v>#DIV/0!</v>
          </cell>
          <cell r="AI62" t="e">
            <v>#DIV/0!</v>
          </cell>
        </row>
        <row r="65">
          <cell r="AC65" t="e">
            <v>#DIV/0!</v>
          </cell>
          <cell r="AD65" t="e">
            <v>#DIV/0!</v>
          </cell>
          <cell r="AE65" t="e">
            <v>#DIV/0!</v>
          </cell>
          <cell r="AF65" t="e">
            <v>#DIV/0!</v>
          </cell>
          <cell r="AG65" t="e">
            <v>#DIV/0!</v>
          </cell>
          <cell r="AH65" t="e">
            <v>#DIV/0!</v>
          </cell>
          <cell r="AI65" t="e">
            <v>#DIV/0!</v>
          </cell>
        </row>
      </sheetData>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1"/>
      <sheetName val="Sheet2"/>
      <sheetName val="Sheet3"/>
      <sheetName val="RAK1"/>
    </sheetNames>
    <sheetDataSet>
      <sheetData sheetId="0"/>
      <sheetData sheetId="1"/>
      <sheetData sheetId="2"/>
      <sheetData sheetId="3"/>
      <sheetData sheetId="4">
        <row r="9">
          <cell r="AB9" t="str">
            <v>KT</v>
          </cell>
        </row>
      </sheetData>
    </sheetDataSet>
  </externalBook>
</externalLink>
</file>

<file path=xl/theme/theme1.xml><?xml version="1.0" encoding="utf-8"?>
<a:theme xmlns:a="http://schemas.openxmlformats.org/drawingml/2006/main" name="Office Theme">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hyperlink" Target="mailto:kelvin@newstreetresearch.com" TargetMode="External"/><Relationship Id="rId2" Type="http://schemas.openxmlformats.org/officeDocument/2006/relationships/hyperlink" Target="mailto:david@newstreetresearch.com" TargetMode="External"/><Relationship Id="rId1" Type="http://schemas.openxmlformats.org/officeDocument/2006/relationships/hyperlink" Target="mailto:chris@newstreetresearch.com"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7.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A5EE5-5708-42D0-8F3C-C2A18A285CFA}">
  <sheetPr codeName="Sheet12"/>
  <dimension ref="A1:B1"/>
  <sheetViews>
    <sheetView workbookViewId="0"/>
  </sheetViews>
  <sheetFormatPr defaultRowHeight="14.5"/>
  <sheetData>
    <row r="1" spans="1:2">
      <c r="B1" t="s">
        <v>1008</v>
      </c>
    </row>
  </sheetData>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5F4D-3A76-43FE-8B50-F2EC75DBA943}">
  <sheetPr>
    <tabColor theme="0"/>
  </sheetPr>
  <dimension ref="B2:B6"/>
  <sheetViews>
    <sheetView workbookViewId="0">
      <selection activeCell="E14" sqref="E14"/>
    </sheetView>
  </sheetViews>
  <sheetFormatPr defaultRowHeight="14.5"/>
  <cols>
    <col min="2" max="2" width="9.36328125" bestFit="1" customWidth="1"/>
  </cols>
  <sheetData>
    <row r="2" spans="2:2">
      <c r="B2" s="1512">
        <v>45911</v>
      </c>
    </row>
    <row r="4" spans="2:2">
      <c r="B4" t="s">
        <v>1503</v>
      </c>
    </row>
    <row r="5" spans="2:2">
      <c r="B5" t="s">
        <v>1504</v>
      </c>
    </row>
    <row r="6" spans="2:2">
      <c r="B6" t="s">
        <v>1508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0E30-ADFC-4973-963D-22E28FC01ABB}">
  <sheetPr codeName="Sheet18">
    <tabColor theme="2"/>
  </sheetPr>
  <dimension ref="A1:BL64"/>
  <sheetViews>
    <sheetView zoomScale="85" zoomScaleNormal="85" workbookViewId="0">
      <pane xSplit="3" ySplit="3" topLeftCell="J12" activePane="bottomRight" state="frozen"/>
      <selection pane="topRight" activeCell="D1" sqref="D1"/>
      <selection pane="bottomLeft" activeCell="A3" sqref="A3"/>
      <selection pane="bottomRight" activeCell="Q36" sqref="Q36"/>
    </sheetView>
  </sheetViews>
  <sheetFormatPr defaultColWidth="7.90625" defaultRowHeight="12.5"/>
  <cols>
    <col min="1" max="1" width="7.90625" style="720"/>
    <col min="2" max="2" width="26.81640625" style="720" bestFit="1" customWidth="1"/>
    <col min="3" max="3" width="26.81640625" style="721" customWidth="1"/>
    <col min="4" max="19" width="7.90625" style="720"/>
    <col min="20" max="20" width="26.81640625" style="721" customWidth="1"/>
    <col min="21" max="16384" width="7.90625" style="720"/>
  </cols>
  <sheetData>
    <row r="1" spans="1:64" ht="13">
      <c r="BD1" s="722" t="s">
        <v>952</v>
      </c>
    </row>
    <row r="2" spans="1:64" ht="13">
      <c r="D2" s="723">
        <v>2015</v>
      </c>
      <c r="E2" s="723">
        <f>D2+1</f>
        <v>2016</v>
      </c>
      <c r="F2" s="723">
        <f t="shared" ref="F2:S2" si="0">E2+1</f>
        <v>2017</v>
      </c>
      <c r="G2" s="723">
        <f t="shared" si="0"/>
        <v>2018</v>
      </c>
      <c r="H2" s="723">
        <f t="shared" si="0"/>
        <v>2019</v>
      </c>
      <c r="I2" s="723">
        <f t="shared" si="0"/>
        <v>2020</v>
      </c>
      <c r="J2" s="723">
        <f t="shared" si="0"/>
        <v>2021</v>
      </c>
      <c r="K2" s="723">
        <f t="shared" si="0"/>
        <v>2022</v>
      </c>
      <c r="L2" s="723">
        <f t="shared" si="0"/>
        <v>2023</v>
      </c>
      <c r="M2" s="723">
        <f t="shared" si="0"/>
        <v>2024</v>
      </c>
      <c r="N2" s="724">
        <f t="shared" si="0"/>
        <v>2025</v>
      </c>
      <c r="O2" s="724">
        <f t="shared" si="0"/>
        <v>2026</v>
      </c>
      <c r="P2" s="724">
        <f t="shared" si="0"/>
        <v>2027</v>
      </c>
      <c r="Q2" s="724">
        <f t="shared" si="0"/>
        <v>2028</v>
      </c>
      <c r="R2" s="724">
        <f t="shared" si="0"/>
        <v>2029</v>
      </c>
      <c r="S2" s="724">
        <f t="shared" si="0"/>
        <v>2030</v>
      </c>
      <c r="T2" s="725"/>
      <c r="U2" s="723" t="str">
        <f t="shared" ref="U2:AS2" si="1">IF(MONTH(U$3)=3,"Q1"&amp;" "&amp;RIGHT(YEAR(U$3),2),IF(MONTH(U$3)=6,"Q2"&amp;" "&amp;RIGHT(YEAR(U$3),2),IF(MONTH(U$3)=9,"Q3"&amp;" "&amp;RIGHT(YEAR(U$3),2),IF(MONTH(U$3)=12,"Q4"&amp;" "&amp;RIGHT(YEAR(U$3),2),"nm"))))</f>
        <v>Q1 19</v>
      </c>
      <c r="V2" s="723" t="str">
        <f t="shared" si="1"/>
        <v>Q2 19</v>
      </c>
      <c r="W2" s="723" t="str">
        <f t="shared" si="1"/>
        <v>Q3 19</v>
      </c>
      <c r="X2" s="723" t="str">
        <f t="shared" si="1"/>
        <v>Q4 19</v>
      </c>
      <c r="Y2" s="723" t="str">
        <f t="shared" si="1"/>
        <v>Q1 20</v>
      </c>
      <c r="Z2" s="723" t="str">
        <f t="shared" si="1"/>
        <v>Q2 20</v>
      </c>
      <c r="AA2" s="723" t="str">
        <f t="shared" si="1"/>
        <v>Q3 20</v>
      </c>
      <c r="AB2" s="723" t="str">
        <f t="shared" si="1"/>
        <v>Q4 20</v>
      </c>
      <c r="AC2" s="723" t="str">
        <f t="shared" si="1"/>
        <v>Q1 21</v>
      </c>
      <c r="AD2" s="723" t="str">
        <f t="shared" si="1"/>
        <v>Q2 21</v>
      </c>
      <c r="AE2" s="723" t="str">
        <f t="shared" si="1"/>
        <v>Q3 21</v>
      </c>
      <c r="AF2" s="723" t="str">
        <f t="shared" si="1"/>
        <v>Q4 21</v>
      </c>
      <c r="AG2" s="723" t="str">
        <f t="shared" si="1"/>
        <v>Q1 22</v>
      </c>
      <c r="AH2" s="723" t="str">
        <f t="shared" si="1"/>
        <v>Q2 22</v>
      </c>
      <c r="AI2" s="723" t="str">
        <f t="shared" si="1"/>
        <v>Q3 22</v>
      </c>
      <c r="AJ2" s="723" t="str">
        <f t="shared" si="1"/>
        <v>Q4 22</v>
      </c>
      <c r="AK2" s="723" t="str">
        <f t="shared" si="1"/>
        <v>Q1 23</v>
      </c>
      <c r="AL2" s="723" t="str">
        <f t="shared" si="1"/>
        <v>Q2 23</v>
      </c>
      <c r="AM2" s="723" t="str">
        <f t="shared" si="1"/>
        <v>Q3 23</v>
      </c>
      <c r="AN2" s="723" t="str">
        <f t="shared" si="1"/>
        <v>Q4 23</v>
      </c>
      <c r="AO2" s="723" t="str">
        <f t="shared" si="1"/>
        <v>Q1 24</v>
      </c>
      <c r="AP2" s="723" t="str">
        <f t="shared" si="1"/>
        <v>Q2 24</v>
      </c>
      <c r="AQ2" s="723" t="str">
        <f t="shared" si="1"/>
        <v>Q3 24</v>
      </c>
      <c r="AR2" s="723" t="str">
        <f t="shared" si="1"/>
        <v>Q4 24</v>
      </c>
      <c r="AS2" s="723" t="str">
        <f t="shared" si="1"/>
        <v>Q1 25</v>
      </c>
      <c r="AU2" s="722" t="s">
        <v>693</v>
      </c>
      <c r="AW2" s="722">
        <v>2015</v>
      </c>
      <c r="AX2" s="722">
        <f>AW2+1</f>
        <v>2016</v>
      </c>
      <c r="AY2" s="722">
        <f t="shared" ref="AY2:BL2" si="2">AX2+1</f>
        <v>2017</v>
      </c>
      <c r="AZ2" s="722">
        <f t="shared" si="2"/>
        <v>2018</v>
      </c>
      <c r="BA2" s="722">
        <f t="shared" si="2"/>
        <v>2019</v>
      </c>
      <c r="BB2" s="722">
        <f t="shared" si="2"/>
        <v>2020</v>
      </c>
      <c r="BC2" s="722">
        <f t="shared" si="2"/>
        <v>2021</v>
      </c>
      <c r="BD2" s="722">
        <f t="shared" si="2"/>
        <v>2022</v>
      </c>
      <c r="BE2" s="722">
        <f t="shared" si="2"/>
        <v>2023</v>
      </c>
      <c r="BF2" s="722">
        <f t="shared" si="2"/>
        <v>2024</v>
      </c>
      <c r="BG2" s="722">
        <f t="shared" si="2"/>
        <v>2025</v>
      </c>
      <c r="BH2" s="722">
        <f t="shared" si="2"/>
        <v>2026</v>
      </c>
      <c r="BI2" s="722">
        <f t="shared" si="2"/>
        <v>2027</v>
      </c>
      <c r="BJ2" s="722">
        <f t="shared" si="2"/>
        <v>2028</v>
      </c>
      <c r="BK2" s="722">
        <f t="shared" si="2"/>
        <v>2029</v>
      </c>
      <c r="BL2" s="722">
        <f t="shared" si="2"/>
        <v>2030</v>
      </c>
    </row>
    <row r="3" spans="1:64" ht="13">
      <c r="B3" s="720" t="s">
        <v>953</v>
      </c>
      <c r="D3" s="726">
        <v>42369</v>
      </c>
      <c r="E3" s="726">
        <f>EOMONTH(D3,12)</f>
        <v>42735</v>
      </c>
      <c r="F3" s="726">
        <f t="shared" ref="F3:S3" si="3">EOMONTH(E3,12)</f>
        <v>43100</v>
      </c>
      <c r="G3" s="726">
        <f t="shared" si="3"/>
        <v>43465</v>
      </c>
      <c r="H3" s="726">
        <f t="shared" si="3"/>
        <v>43830</v>
      </c>
      <c r="I3" s="726">
        <f t="shared" si="3"/>
        <v>44196</v>
      </c>
      <c r="J3" s="726">
        <f t="shared" si="3"/>
        <v>44561</v>
      </c>
      <c r="K3" s="726">
        <f t="shared" si="3"/>
        <v>44926</v>
      </c>
      <c r="L3" s="726">
        <f t="shared" si="3"/>
        <v>45291</v>
      </c>
      <c r="M3" s="726">
        <f t="shared" si="3"/>
        <v>45657</v>
      </c>
      <c r="N3" s="727">
        <f t="shared" si="3"/>
        <v>46022</v>
      </c>
      <c r="O3" s="727">
        <f t="shared" si="3"/>
        <v>46387</v>
      </c>
      <c r="P3" s="727">
        <f t="shared" si="3"/>
        <v>46752</v>
      </c>
      <c r="Q3" s="727">
        <f t="shared" si="3"/>
        <v>47118</v>
      </c>
      <c r="R3" s="727">
        <f t="shared" si="3"/>
        <v>47483</v>
      </c>
      <c r="S3" s="727">
        <f t="shared" si="3"/>
        <v>47848</v>
      </c>
      <c r="T3" s="728"/>
      <c r="U3" s="726">
        <v>43555</v>
      </c>
      <c r="V3" s="726">
        <f>EOMONTH(U3,3)</f>
        <v>43646</v>
      </c>
      <c r="W3" s="726">
        <f t="shared" ref="W3:AQ3" si="4">EOMONTH(V3,3)</f>
        <v>43738</v>
      </c>
      <c r="X3" s="726">
        <f t="shared" si="4"/>
        <v>43830</v>
      </c>
      <c r="Y3" s="726">
        <f t="shared" si="4"/>
        <v>43921</v>
      </c>
      <c r="Z3" s="726">
        <f t="shared" si="4"/>
        <v>44012</v>
      </c>
      <c r="AA3" s="726">
        <f t="shared" si="4"/>
        <v>44104</v>
      </c>
      <c r="AB3" s="726">
        <f t="shared" si="4"/>
        <v>44196</v>
      </c>
      <c r="AC3" s="726">
        <f t="shared" si="4"/>
        <v>44286</v>
      </c>
      <c r="AD3" s="726">
        <f t="shared" si="4"/>
        <v>44377</v>
      </c>
      <c r="AE3" s="726">
        <f t="shared" si="4"/>
        <v>44469</v>
      </c>
      <c r="AF3" s="726">
        <f t="shared" si="4"/>
        <v>44561</v>
      </c>
      <c r="AG3" s="726">
        <f t="shared" si="4"/>
        <v>44651</v>
      </c>
      <c r="AH3" s="726">
        <f t="shared" si="4"/>
        <v>44742</v>
      </c>
      <c r="AI3" s="726">
        <f t="shared" si="4"/>
        <v>44834</v>
      </c>
      <c r="AJ3" s="726">
        <f t="shared" si="4"/>
        <v>44926</v>
      </c>
      <c r="AK3" s="726">
        <f t="shared" si="4"/>
        <v>45016</v>
      </c>
      <c r="AL3" s="726">
        <f t="shared" si="4"/>
        <v>45107</v>
      </c>
      <c r="AM3" s="726">
        <f t="shared" si="4"/>
        <v>45199</v>
      </c>
      <c r="AN3" s="726">
        <f t="shared" si="4"/>
        <v>45291</v>
      </c>
      <c r="AO3" s="726">
        <f t="shared" si="4"/>
        <v>45382</v>
      </c>
      <c r="AP3" s="726">
        <f t="shared" si="4"/>
        <v>45473</v>
      </c>
      <c r="AQ3" s="726">
        <f t="shared" si="4"/>
        <v>45565</v>
      </c>
      <c r="AR3" s="726">
        <f t="shared" ref="AR3" si="5">EOMONTH(AQ3,3)</f>
        <v>45657</v>
      </c>
      <c r="AS3" s="726">
        <f t="shared" ref="AS3" si="6">EOMONTH(AR3,3)</f>
        <v>45747</v>
      </c>
    </row>
    <row r="4" spans="1:64" ht="13">
      <c r="D4" s="729"/>
      <c r="E4" s="729"/>
      <c r="F4" s="729"/>
      <c r="G4" s="729"/>
      <c r="H4" s="729"/>
      <c r="I4" s="729"/>
      <c r="J4" s="729"/>
      <c r="K4" s="729"/>
      <c r="L4" s="729"/>
      <c r="M4" s="729"/>
      <c r="N4" s="729"/>
      <c r="O4" s="729"/>
      <c r="P4" s="729"/>
      <c r="Q4" s="729"/>
      <c r="R4" s="729"/>
      <c r="S4" s="729"/>
      <c r="U4" s="730"/>
      <c r="V4" s="730"/>
      <c r="W4" s="730"/>
      <c r="X4" s="730"/>
      <c r="Y4" s="730"/>
      <c r="Z4" s="730"/>
      <c r="AA4" s="730"/>
      <c r="AB4" s="730"/>
      <c r="AC4" s="730"/>
      <c r="AD4" s="730"/>
      <c r="AE4" s="730"/>
      <c r="AF4" s="730"/>
      <c r="AG4" s="730"/>
      <c r="AH4" s="730"/>
      <c r="AI4" s="730"/>
      <c r="AJ4" s="730"/>
      <c r="AK4" s="730"/>
      <c r="AL4" s="730"/>
      <c r="AM4" s="730"/>
      <c r="AN4" s="730"/>
      <c r="AO4" s="730"/>
      <c r="AP4" s="730"/>
      <c r="AQ4" s="730"/>
      <c r="AR4" s="730"/>
      <c r="AS4" s="730"/>
    </row>
    <row r="5" spans="1:64" ht="13">
      <c r="A5" s="720" t="s">
        <v>615</v>
      </c>
      <c r="B5" s="722" t="s">
        <v>687</v>
      </c>
      <c r="D5" s="729"/>
      <c r="E5" s="729"/>
      <c r="F5" s="729"/>
      <c r="G5" s="729"/>
      <c r="H5" s="729"/>
      <c r="I5" s="729"/>
      <c r="J5" s="729"/>
      <c r="K5" s="729"/>
      <c r="L5" s="729"/>
      <c r="M5" s="729"/>
      <c r="N5" s="729"/>
      <c r="O5" s="729"/>
      <c r="P5" s="729"/>
      <c r="Q5" s="729"/>
      <c r="R5" s="729"/>
      <c r="S5" s="729"/>
      <c r="U5" s="730"/>
      <c r="V5" s="730"/>
      <c r="W5" s="730"/>
      <c r="X5" s="730"/>
      <c r="Y5" s="730"/>
      <c r="Z5" s="730"/>
      <c r="AA5" s="730"/>
      <c r="AB5" s="730"/>
      <c r="AC5" s="730"/>
      <c r="AD5" s="730"/>
      <c r="AE5" s="730"/>
      <c r="AF5" s="730"/>
      <c r="AG5" s="730"/>
      <c r="AH5" s="730"/>
      <c r="AI5" s="730"/>
      <c r="AJ5" s="730"/>
      <c r="AK5" s="730"/>
      <c r="AL5" s="730"/>
      <c r="AM5" s="730"/>
      <c r="AN5" s="730"/>
      <c r="AO5" s="730"/>
      <c r="AP5" s="730"/>
      <c r="AQ5" s="730"/>
      <c r="AR5" s="730"/>
      <c r="AS5" s="730"/>
    </row>
    <row r="6" spans="1:64" s="733" customFormat="1" ht="13">
      <c r="A6" s="720"/>
      <c r="B6" s="720" t="s">
        <v>862</v>
      </c>
      <c r="C6" s="721"/>
      <c r="D6" s="731">
        <f>'Income Statement'!AQ234</f>
        <v>22895</v>
      </c>
      <c r="E6" s="731">
        <f>'Income Statement'!AV234</f>
        <v>21341</v>
      </c>
      <c r="F6" s="731">
        <f>'Income Statement'!BA234</f>
        <v>22875</v>
      </c>
      <c r="G6" s="731">
        <f>'Income Statement'!BF234</f>
        <v>22938.811999999998</v>
      </c>
      <c r="H6" s="731">
        <f>'Income Statement'!BK234</f>
        <v>25132.627999999997</v>
      </c>
      <c r="I6" s="731">
        <f>'Income Statement'!BP234</f>
        <v>26009.095000000001</v>
      </c>
      <c r="J6" s="731">
        <f>'Income Statement'!BU234</f>
        <v>26754.050000000003</v>
      </c>
      <c r="K6" s="731">
        <f>'Income Statement'!BZ234</f>
        <v>28930.258000000002</v>
      </c>
      <c r="L6" s="731">
        <f>'Income Statement'!CE234</f>
        <v>31821.641</v>
      </c>
      <c r="M6" s="731">
        <f>'Income Statement'!CJ234</f>
        <v>33616.408600000002</v>
      </c>
      <c r="N6" s="731">
        <f>'Income Statement'!CO234</f>
        <v>41621.398591966368</v>
      </c>
      <c r="O6" s="731">
        <f>'Income Statement'!CP234</f>
        <v>46360.601610579382</v>
      </c>
      <c r="P6" s="731">
        <f>'Income Statement'!CQ234</f>
        <v>48366.641492874762</v>
      </c>
      <c r="Q6" s="731">
        <f>'Income Statement'!CR234</f>
        <v>50456.274701629292</v>
      </c>
      <c r="R6" s="731">
        <f>'Income Statement'!CS234</f>
        <v>52632.959800596625</v>
      </c>
      <c r="S6" s="731">
        <f>'Income Statement'!CT234</f>
        <v>54900.298738490848</v>
      </c>
      <c r="T6" s="721"/>
      <c r="U6" s="731">
        <f>'Income Statement'!BG234</f>
        <v>5967.2240000000002</v>
      </c>
      <c r="V6" s="731">
        <f>'Income Statement'!BH234</f>
        <v>6289.6049999999996</v>
      </c>
      <c r="W6" s="731">
        <f>'Income Statement'!BI234</f>
        <v>6463.6930000000011</v>
      </c>
      <c r="X6" s="731">
        <f>'Income Statement'!BJ234</f>
        <v>6412.1059999999979</v>
      </c>
      <c r="Y6" s="731">
        <f>'Income Statement'!BL234</f>
        <v>6497.1509999999998</v>
      </c>
      <c r="Z6" s="731">
        <f>'Income Statement'!BM234</f>
        <v>6589.268</v>
      </c>
      <c r="AA6" s="731">
        <f>'Income Statement'!BN234</f>
        <v>6569.732</v>
      </c>
      <c r="AB6" s="731">
        <f>'Income Statement'!BO234</f>
        <v>6352.9440000000013</v>
      </c>
      <c r="AC6" s="731">
        <f>'Income Statement'!BQ234</f>
        <v>6247.3630000000003</v>
      </c>
      <c r="AD6" s="731">
        <f>'Income Statement'!BR234</f>
        <v>6726.8360000000002</v>
      </c>
      <c r="AE6" s="731">
        <f>'Income Statement'!BS234</f>
        <v>6825.9939999999997</v>
      </c>
      <c r="AF6" s="731">
        <f>'Income Statement'!BT234</f>
        <v>6953.857</v>
      </c>
      <c r="AG6" s="731">
        <f>'Income Statement'!BV234</f>
        <v>6742.0590000000002</v>
      </c>
      <c r="AH6" s="731">
        <f>'Income Statement'!BW234</f>
        <v>7308.3810000000003</v>
      </c>
      <c r="AI6" s="731">
        <f>'Income Statement'!BX234</f>
        <v>7437.7220000000007</v>
      </c>
      <c r="AJ6" s="731">
        <f>'Income Statement'!BY234</f>
        <v>7442.0959999999995</v>
      </c>
      <c r="AK6" s="731">
        <f>'Income Statement'!CA234</f>
        <v>7419.5280000000002</v>
      </c>
      <c r="AL6" s="731">
        <f>'Income Statement'!CB234</f>
        <v>8108.1239999999998</v>
      </c>
      <c r="AM6" s="731">
        <f>'Income Statement'!CC234</f>
        <v>7981.8030000000017</v>
      </c>
      <c r="AN6" s="731">
        <f>'Income Statement'!CD234</f>
        <v>8312.1859999999961</v>
      </c>
      <c r="AO6" s="731">
        <f>'Income Statement'!CF234</f>
        <v>8272.5849999999991</v>
      </c>
      <c r="AP6" s="731">
        <f>'Income Statement'!CG234</f>
        <v>8421.2880000000005</v>
      </c>
      <c r="AQ6" s="731">
        <f>'Income Statement'!CH234</f>
        <v>8091.4150000000009</v>
      </c>
      <c r="AR6" s="731">
        <f>'Income Statement'!CI234</f>
        <v>8831.120600000002</v>
      </c>
      <c r="AS6" s="731">
        <f>'Income Statement'!CK234</f>
        <v>8475.3469999999998</v>
      </c>
      <c r="AT6" s="731"/>
    </row>
    <row r="7" spans="1:64" s="733" customFormat="1" ht="13">
      <c r="A7" s="720"/>
      <c r="B7" s="349" t="s">
        <v>830</v>
      </c>
      <c r="C7" s="721"/>
      <c r="D7" s="731">
        <f>'Income Statement'!AQ235</f>
        <v>0</v>
      </c>
      <c r="E7" s="731">
        <f>'Income Statement'!AV235</f>
        <v>0</v>
      </c>
      <c r="F7" s="731">
        <f>'Income Statement'!BA235</f>
        <v>26</v>
      </c>
      <c r="G7" s="731">
        <f>'Income Statement'!BF235</f>
        <v>0</v>
      </c>
      <c r="H7" s="731">
        <f>'Income Statement'!BK235</f>
        <v>0.22400000000197906</v>
      </c>
      <c r="I7" s="731">
        <f>'Income Statement'!BP235</f>
        <v>0</v>
      </c>
      <c r="J7" s="731">
        <f>'Income Statement'!BU235</f>
        <v>0</v>
      </c>
      <c r="K7" s="731">
        <f>'Income Statement'!BZ235</f>
        <v>211.73600000000079</v>
      </c>
      <c r="L7" s="731">
        <f>'Income Statement'!CE235</f>
        <v>501.01000000000386</v>
      </c>
      <c r="M7" s="731">
        <f>'Income Statement'!CJ235</f>
        <v>775.18839999999909</v>
      </c>
      <c r="N7" s="731">
        <f>'Income Statement'!CO235</f>
        <v>852.70723999999905</v>
      </c>
      <c r="O7" s="731">
        <f>'Income Statement'!CP235</f>
        <v>920.923819199999</v>
      </c>
      <c r="P7" s="731">
        <f>'Income Statement'!CQ235</f>
        <v>976.17924835199904</v>
      </c>
      <c r="Q7" s="731">
        <f>'Income Statement'!CR235</f>
        <v>1034.7500032531191</v>
      </c>
      <c r="R7" s="731">
        <f>'Income Statement'!CS235</f>
        <v>1096.8350034483062</v>
      </c>
      <c r="S7" s="731">
        <f>'Income Statement'!CT235</f>
        <v>1162.6451036552046</v>
      </c>
      <c r="T7" s="721"/>
      <c r="U7" s="731">
        <f>'Income Statement'!BG235</f>
        <v>0</v>
      </c>
      <c r="V7" s="731">
        <f>'Income Statement'!BH235</f>
        <v>0</v>
      </c>
      <c r="W7" s="731">
        <f>'Income Statement'!BI235</f>
        <v>0</v>
      </c>
      <c r="X7" s="731">
        <f>'Income Statement'!BJ235</f>
        <v>0.22400000000197906</v>
      </c>
      <c r="Y7" s="731">
        <f>'Income Statement'!BL235</f>
        <v>0</v>
      </c>
      <c r="Z7" s="731">
        <f>'Income Statement'!BM235</f>
        <v>-4.2590000000000146</v>
      </c>
      <c r="AA7" s="731">
        <f>'Income Statement'!BN235</f>
        <v>4.2590000000000146</v>
      </c>
      <c r="AB7" s="731">
        <f>'Income Statement'!BO235</f>
        <v>0</v>
      </c>
      <c r="AC7" s="731">
        <f>'Income Statement'!BQ235</f>
        <v>0</v>
      </c>
      <c r="AD7" s="731">
        <f>'Income Statement'!BR235</f>
        <v>0</v>
      </c>
      <c r="AE7" s="731">
        <f>'Income Statement'!BS235</f>
        <v>0</v>
      </c>
      <c r="AF7" s="731">
        <f>'Income Statement'!BT235</f>
        <v>0</v>
      </c>
      <c r="AG7" s="731">
        <f>'Income Statement'!BV235</f>
        <v>0</v>
      </c>
      <c r="AH7" s="731">
        <f>'Income Statement'!BW235</f>
        <v>24.359999999998763</v>
      </c>
      <c r="AI7" s="731">
        <f>'Income Statement'!BX235</f>
        <v>82.87800000000334</v>
      </c>
      <c r="AJ7" s="731">
        <f>'Income Statement'!BY235</f>
        <v>104.49799999999868</v>
      </c>
      <c r="AK7" s="731">
        <f>'Income Statement'!CA235</f>
        <v>127.79599999999937</v>
      </c>
      <c r="AL7" s="731">
        <f>'Income Statement'!CB235</f>
        <v>109.07900000000154</v>
      </c>
      <c r="AM7" s="731">
        <f>'Income Statement'!CC235</f>
        <v>121.47399999999743</v>
      </c>
      <c r="AN7" s="731">
        <f>'Income Statement'!CD235</f>
        <v>142.66100000000552</v>
      </c>
      <c r="AO7" s="731">
        <f>'Income Statement'!CF235</f>
        <v>165.70000000000073</v>
      </c>
      <c r="AP7" s="731">
        <f>'Income Statement'!CG235</f>
        <v>192.02400000000125</v>
      </c>
      <c r="AQ7" s="731">
        <f>'Income Statement'!CH235</f>
        <v>218.39899999999761</v>
      </c>
      <c r="AR7" s="731">
        <f>'Income Statement'!CI235</f>
        <v>199.0653999999995</v>
      </c>
      <c r="AS7" s="731">
        <f>'Income Statement'!CK235</f>
        <v>125.82999999999993</v>
      </c>
    </row>
    <row r="8" spans="1:64" s="733" customFormat="1" ht="13">
      <c r="A8" s="720"/>
      <c r="B8" s="722" t="s">
        <v>389</v>
      </c>
      <c r="C8" s="734"/>
      <c r="D8" s="729">
        <f>'Income Statement'!AQ236</f>
        <v>22895</v>
      </c>
      <c r="E8" s="729">
        <f>'Income Statement'!AV236</f>
        <v>21341</v>
      </c>
      <c r="F8" s="729">
        <f>'Income Statement'!BA236</f>
        <v>22901</v>
      </c>
      <c r="G8" s="729">
        <f>'Income Statement'!BF236</f>
        <v>22938.811999999998</v>
      </c>
      <c r="H8" s="729">
        <f>'Income Statement'!BK236</f>
        <v>25132.851999999999</v>
      </c>
      <c r="I8" s="729">
        <f>'Income Statement'!BP236</f>
        <v>26009.095000000001</v>
      </c>
      <c r="J8" s="729">
        <f>'Income Statement'!BU236</f>
        <v>26754.050000000003</v>
      </c>
      <c r="K8" s="729">
        <f>'Income Statement'!BZ236</f>
        <v>29141.994000000002</v>
      </c>
      <c r="L8" s="729">
        <f>'Income Statement'!CE236</f>
        <v>32322.651000000005</v>
      </c>
      <c r="M8" s="729">
        <f>'Income Statement'!CJ236</f>
        <v>34391.597000000002</v>
      </c>
      <c r="N8" s="729">
        <f>'Income Statement'!CO236</f>
        <v>42474.105831966364</v>
      </c>
      <c r="O8" s="729">
        <f>'Income Statement'!CP236</f>
        <v>47281.52542977938</v>
      </c>
      <c r="P8" s="729">
        <f>'Income Statement'!CQ236</f>
        <v>49342.820741226758</v>
      </c>
      <c r="Q8" s="729">
        <f>'Income Statement'!CR236</f>
        <v>51491.024704882409</v>
      </c>
      <c r="R8" s="729">
        <f>'Income Statement'!CS236</f>
        <v>53729.794804044934</v>
      </c>
      <c r="S8" s="729">
        <f>'Income Statement'!CT236</f>
        <v>56062.943842146051</v>
      </c>
      <c r="T8" s="721"/>
      <c r="U8" s="729">
        <f>'Income Statement'!BG236</f>
        <v>5967.2240000000002</v>
      </c>
      <c r="V8" s="729">
        <f>'Income Statement'!BH236</f>
        <v>6289.6049999999996</v>
      </c>
      <c r="W8" s="729">
        <f>'Income Statement'!BI236</f>
        <v>6463.6930000000011</v>
      </c>
      <c r="X8" s="729">
        <f>'Income Statement'!BJ236</f>
        <v>6412.33</v>
      </c>
      <c r="Y8" s="729">
        <f>'Income Statement'!BL236</f>
        <v>6497.1509999999998</v>
      </c>
      <c r="Z8" s="729">
        <f>'Income Statement'!BM236</f>
        <v>6585.009</v>
      </c>
      <c r="AA8" s="729">
        <f>'Income Statement'!BN236</f>
        <v>6573.991</v>
      </c>
      <c r="AB8" s="729">
        <f>'Income Statement'!BO236</f>
        <v>6352.9440000000013</v>
      </c>
      <c r="AC8" s="729">
        <f>'Income Statement'!BQ236</f>
        <v>6247.3630000000003</v>
      </c>
      <c r="AD8" s="729">
        <f>'Income Statement'!BR236</f>
        <v>6726.8360000000002</v>
      </c>
      <c r="AE8" s="729">
        <f>'Income Statement'!BS236</f>
        <v>6825.9939999999997</v>
      </c>
      <c r="AF8" s="729">
        <f>'Income Statement'!BT236</f>
        <v>6953.857</v>
      </c>
      <c r="AG8" s="729">
        <f>'Income Statement'!BV236</f>
        <v>6742.0590000000002</v>
      </c>
      <c r="AH8" s="729">
        <f>'Income Statement'!BW236</f>
        <v>7332.7409999999991</v>
      </c>
      <c r="AI8" s="729">
        <f>'Income Statement'!BX236</f>
        <v>7520.600000000004</v>
      </c>
      <c r="AJ8" s="729">
        <f>'Income Statement'!BY236</f>
        <v>7546.5939999999982</v>
      </c>
      <c r="AK8" s="729">
        <f>'Income Statement'!CA236</f>
        <v>7547.3239999999996</v>
      </c>
      <c r="AL8" s="729">
        <f>'Income Statement'!CB236</f>
        <v>8217.2030000000013</v>
      </c>
      <c r="AM8" s="729">
        <f>'Income Statement'!CC236</f>
        <v>8103.2769999999991</v>
      </c>
      <c r="AN8" s="729">
        <f>'Income Statement'!CD236</f>
        <v>8454.8470000000016</v>
      </c>
      <c r="AO8" s="729">
        <f>'Income Statement'!CF236</f>
        <v>8438.2849999999999</v>
      </c>
      <c r="AP8" s="729">
        <f>'Income Statement'!CG236</f>
        <v>8613.3120000000017</v>
      </c>
      <c r="AQ8" s="729">
        <f>'Income Statement'!CH236</f>
        <v>8309.8139999999985</v>
      </c>
      <c r="AR8" s="729">
        <f>'Income Statement'!CI236</f>
        <v>9030.1860000000015</v>
      </c>
      <c r="AS8" s="729">
        <f>'Income Statement'!CK236</f>
        <v>8601.1769999999997</v>
      </c>
    </row>
    <row r="9" spans="1:64" ht="13">
      <c r="D9" s="729"/>
      <c r="E9" s="729"/>
      <c r="F9" s="729"/>
      <c r="G9" s="729"/>
      <c r="H9" s="729"/>
      <c r="I9" s="729"/>
      <c r="J9" s="729"/>
      <c r="K9" s="729"/>
      <c r="L9" s="729"/>
      <c r="M9" s="729"/>
      <c r="N9" s="729"/>
      <c r="O9" s="729"/>
      <c r="P9" s="729"/>
      <c r="Q9" s="729"/>
      <c r="R9" s="729"/>
      <c r="S9" s="729"/>
      <c r="U9" s="730"/>
      <c r="V9" s="730"/>
      <c r="W9" s="730"/>
      <c r="X9" s="730"/>
      <c r="Y9" s="730"/>
      <c r="Z9" s="730"/>
      <c r="AA9" s="730"/>
      <c r="AB9" s="730"/>
      <c r="AC9" s="730"/>
      <c r="AD9" s="730"/>
      <c r="AE9" s="730"/>
      <c r="AF9" s="730"/>
      <c r="AG9" s="730"/>
      <c r="AH9" s="730"/>
      <c r="AI9" s="730"/>
      <c r="AJ9" s="730"/>
      <c r="AK9" s="730"/>
      <c r="AL9" s="730"/>
      <c r="AM9" s="730"/>
      <c r="AN9" s="730"/>
      <c r="AO9" s="730"/>
      <c r="AP9" s="730"/>
      <c r="AQ9" s="730"/>
      <c r="AR9" s="730"/>
      <c r="AS9" s="730"/>
    </row>
    <row r="10" spans="1:64" ht="13">
      <c r="B10" s="1003" t="s">
        <v>2</v>
      </c>
      <c r="D10" s="731">
        <f>'Income Statement'!AQ248</f>
        <v>8393</v>
      </c>
      <c r="E10" s="731">
        <f>'Income Statement'!AV248</f>
        <v>8057</v>
      </c>
      <c r="F10" s="731">
        <f>'Income Statement'!BA248</f>
        <v>8321</v>
      </c>
      <c r="G10" s="731">
        <f>'Income Statement'!BF248</f>
        <v>8513</v>
      </c>
      <c r="H10" s="731">
        <f>'Income Statement'!BK248</f>
        <v>9966</v>
      </c>
      <c r="I10" s="731">
        <f>'Income Statement'!BP248</f>
        <v>13060</v>
      </c>
      <c r="J10" s="731">
        <f>'Income Statement'!BU248</f>
        <v>13287</v>
      </c>
      <c r="K10" s="731">
        <f>'Income Statement'!BZ248</f>
        <v>14235</v>
      </c>
      <c r="L10" s="731">
        <f>'Income Statement'!CE248</f>
        <v>15885</v>
      </c>
      <c r="M10" s="731">
        <f>'Income Statement'!CJ248</f>
        <v>17879</v>
      </c>
      <c r="N10" s="731">
        <f>'Income Statement'!CO248</f>
        <v>18547.777952688124</v>
      </c>
      <c r="O10" s="731">
        <f>'Income Statement'!CP248</f>
        <v>22026.102884302556</v>
      </c>
      <c r="P10" s="731">
        <f>'Income Statement'!CQ248</f>
        <v>24266.810115801967</v>
      </c>
      <c r="Q10" s="731">
        <f>'Income Statement'!CR248</f>
        <v>26620.859772424206</v>
      </c>
      <c r="R10" s="731">
        <f>'Income Statement'!CS248</f>
        <v>27939.493298103363</v>
      </c>
      <c r="S10" s="731">
        <f>'Income Statement'!CT248</f>
        <v>29320.919629442382</v>
      </c>
      <c r="U10" s="731">
        <f>'Income Statement'!BG248</f>
        <v>2279</v>
      </c>
      <c r="V10" s="731">
        <f>'Income Statement'!BH248</f>
        <v>2471</v>
      </c>
      <c r="W10" s="731">
        <f>'Income Statement'!BI248</f>
        <v>2608</v>
      </c>
      <c r="X10" s="731">
        <f>'Income Statement'!BJ248</f>
        <v>2608</v>
      </c>
      <c r="Y10" s="731">
        <f>'Income Statement'!BL248</f>
        <v>3184</v>
      </c>
      <c r="Z10" s="731">
        <f>'Income Statement'!BM248</f>
        <v>3306</v>
      </c>
      <c r="AA10" s="731">
        <f>'Income Statement'!BN248</f>
        <v>3405</v>
      </c>
      <c r="AB10" s="731">
        <f>'Income Statement'!BO248</f>
        <v>3165</v>
      </c>
      <c r="AC10" s="731">
        <f>'Income Statement'!BQ248</f>
        <v>3119</v>
      </c>
      <c r="AD10" s="731">
        <f>'Income Statement'!BR248</f>
        <v>3369</v>
      </c>
      <c r="AE10" s="731">
        <f>'Income Statement'!BS248</f>
        <v>3418</v>
      </c>
      <c r="AF10" s="731">
        <f>'Income Statement'!BT248</f>
        <v>3381</v>
      </c>
      <c r="AG10" s="731">
        <f>'Income Statement'!BV248</f>
        <v>3174</v>
      </c>
      <c r="AH10" s="731">
        <f>'Income Statement'!BW248</f>
        <v>3560</v>
      </c>
      <c r="AI10" s="731">
        <f>'Income Statement'!BX248</f>
        <v>3643</v>
      </c>
      <c r="AJ10" s="731">
        <f>'Income Statement'!BY248</f>
        <v>3858</v>
      </c>
      <c r="AK10" s="731">
        <f>'Income Statement'!CA248</f>
        <v>3583</v>
      </c>
      <c r="AL10" s="731">
        <f>'Income Statement'!CB248</f>
        <v>4069</v>
      </c>
      <c r="AM10" s="731">
        <f>'Income Statement'!CC248</f>
        <v>4103</v>
      </c>
      <c r="AN10" s="731">
        <f>'Income Statement'!CD248</f>
        <v>4130</v>
      </c>
      <c r="AO10" s="731">
        <f>'Income Statement'!CF248</f>
        <v>4454</v>
      </c>
      <c r="AP10" s="731">
        <f>'Income Statement'!CG248</f>
        <v>4503</v>
      </c>
      <c r="AQ10" s="731">
        <f>'Income Statement'!CH248</f>
        <v>4339</v>
      </c>
      <c r="AR10" s="731">
        <f>'Income Statement'!CI248</f>
        <v>4583</v>
      </c>
      <c r="AS10" s="731">
        <f>'Income Statement'!CK248</f>
        <v>4321</v>
      </c>
    </row>
    <row r="11" spans="1:64" ht="13">
      <c r="B11" s="1003" t="s">
        <v>1183</v>
      </c>
      <c r="D11" s="731">
        <f>'Income Statement'!AQ271</f>
        <v>-25</v>
      </c>
      <c r="E11" s="731">
        <f>'Income Statement'!AV271</f>
        <v>374</v>
      </c>
      <c r="F11" s="731">
        <f>'Income Statement'!BA271</f>
        <v>361</v>
      </c>
      <c r="G11" s="731">
        <f>'Income Statement'!BF271</f>
        <v>-3294</v>
      </c>
      <c r="H11" s="731">
        <f>'Income Statement'!BK271</f>
        <v>711</v>
      </c>
      <c r="I11" s="731">
        <f>'Income Statement'!BP271</f>
        <v>-1654.7730000000001</v>
      </c>
      <c r="J11" s="731">
        <f>'Income Statement'!BU271</f>
        <v>1287.8070000000002</v>
      </c>
      <c r="K11" s="731">
        <f>'Income Statement'!BZ271</f>
        <v>1121.1880000000001</v>
      </c>
      <c r="L11" s="731">
        <f>'Income Statement'!CE271</f>
        <v>1284.4479999999999</v>
      </c>
      <c r="M11" s="731">
        <f>'Income Statement'!CJ271</f>
        <v>1847.6309999999999</v>
      </c>
      <c r="N11" s="731">
        <f>'Income Statement'!CO271</f>
        <v>-2284.2333262787533</v>
      </c>
      <c r="O11" s="731">
        <f>'Income Statement'!CP271</f>
        <v>736.32068869677698</v>
      </c>
      <c r="P11" s="731">
        <f>'Income Statement'!CQ271</f>
        <v>2202.5305303360401</v>
      </c>
      <c r="Q11" s="731">
        <f>'Income Statement'!CR271</f>
        <v>4360.0040675784803</v>
      </c>
      <c r="R11" s="731">
        <f>'Income Statement'!CS271</f>
        <v>5570.065627360118</v>
      </c>
      <c r="S11" s="731">
        <f>'Income Statement'!CT271</f>
        <v>6701.2555973886965</v>
      </c>
      <c r="U11" s="731">
        <f>'Income Statement'!BG271</f>
        <v>78.575000000000003</v>
      </c>
      <c r="V11" s="731">
        <f>'Income Statement'!BH271</f>
        <v>203.42500000000001</v>
      </c>
      <c r="W11" s="731">
        <f>'Income Statement'!BI271</f>
        <v>215.99999999999989</v>
      </c>
      <c r="X11" s="731">
        <f>'Income Statement'!BJ271</f>
        <v>213</v>
      </c>
      <c r="Y11" s="731">
        <f>'Income Statement'!BL271</f>
        <v>1520.0000000000002</v>
      </c>
      <c r="Z11" s="731">
        <f>'Income Statement'!BM271</f>
        <v>224.00000000000006</v>
      </c>
      <c r="AA11" s="731">
        <f>'Income Statement'!BN271</f>
        <v>331</v>
      </c>
      <c r="AB11" s="731">
        <f>'Income Statement'!BO271</f>
        <v>-1703</v>
      </c>
      <c r="AC11" s="731">
        <f>'Income Statement'!BQ271</f>
        <v>321</v>
      </c>
      <c r="AD11" s="731">
        <f>'Income Statement'!BR271</f>
        <v>395.00000000000011</v>
      </c>
      <c r="AE11" s="731">
        <f>'Income Statement'!BS271</f>
        <v>299.99999999999994</v>
      </c>
      <c r="AF11" s="731">
        <f>'Income Statement'!BT271</f>
        <v>271.80700000000013</v>
      </c>
      <c r="AG11" s="731">
        <f>'Income Statement'!BV271</f>
        <v>139.09200000000007</v>
      </c>
      <c r="AH11" s="731">
        <f>'Income Statement'!BW271</f>
        <v>477.91999999999996</v>
      </c>
      <c r="AI11" s="731">
        <f>'Income Statement'!BX271</f>
        <v>371.76000000000016</v>
      </c>
      <c r="AJ11" s="731">
        <f>'Income Statement'!BY271</f>
        <v>132.41599999999994</v>
      </c>
      <c r="AK11" s="731">
        <f>'Income Statement'!CA271</f>
        <v>204.17500000000007</v>
      </c>
      <c r="AL11" s="731">
        <f>'Income Statement'!CB271</f>
        <v>453.34899999999999</v>
      </c>
      <c r="AM11" s="731">
        <f>'Income Statement'!CC271</f>
        <v>361.05899999999986</v>
      </c>
      <c r="AN11" s="731">
        <f>'Income Statement'!CD271</f>
        <v>265.86500000000007</v>
      </c>
      <c r="AO11" s="731">
        <f>'Income Statement'!CF271</f>
        <v>547.42999999999995</v>
      </c>
      <c r="AP11" s="731">
        <f>'Income Statement'!CG271</f>
        <v>489.73500000000001</v>
      </c>
      <c r="AQ11" s="731">
        <f>'Income Statement'!CH271</f>
        <v>297.76700000000005</v>
      </c>
      <c r="AR11" s="731">
        <f>'Income Statement'!CI271</f>
        <v>512.69899999999996</v>
      </c>
      <c r="AS11" s="731">
        <f>'Income Statement'!CK271</f>
        <v>388.23200000000003</v>
      </c>
    </row>
    <row r="12" spans="1:64" ht="13">
      <c r="B12" s="1003" t="s">
        <v>248</v>
      </c>
      <c r="D12" s="731">
        <f>'Income Statement'!AQ27</f>
        <v>4146</v>
      </c>
      <c r="E12" s="731">
        <f>'Income Statement'!AV27</f>
        <v>5584</v>
      </c>
      <c r="F12" s="731">
        <f>'Income Statement'!BA27</f>
        <v>6697</v>
      </c>
      <c r="G12" s="731">
        <f>'Income Statement'!BF27</f>
        <v>6792</v>
      </c>
      <c r="H12" s="731">
        <f>'Income Statement'!BK27</f>
        <v>7996</v>
      </c>
      <c r="I12" s="731">
        <f>'Income Statement'!BP27</f>
        <v>6155</v>
      </c>
      <c r="J12" s="731">
        <f>'Income Statement'!BU27</f>
        <v>9921</v>
      </c>
      <c r="K12" s="731">
        <f>'Income Statement'!BZ27</f>
        <v>9063</v>
      </c>
      <c r="L12" s="731">
        <f>'Income Statement'!CE27</f>
        <v>7158</v>
      </c>
      <c r="M12" s="731">
        <f>'Income Statement'!CJ27</f>
        <v>7382</v>
      </c>
      <c r="N12" s="731">
        <f>'Income Statement'!CO27</f>
        <v>20387.570799343855</v>
      </c>
      <c r="O12" s="731">
        <f>'Income Statement'!CP27</f>
        <v>10401.935594551464</v>
      </c>
      <c r="P12" s="731">
        <f>'Income Statement'!CQ27</f>
        <v>10361.99235565762</v>
      </c>
      <c r="Q12" s="731">
        <f>'Income Statement'!CR27</f>
        <v>10813.115188025306</v>
      </c>
      <c r="R12" s="731">
        <f>'Income Statement'!CS27</f>
        <v>11283.256908849437</v>
      </c>
      <c r="S12" s="731">
        <f>'Income Statement'!CT27</f>
        <v>12053.5329260614</v>
      </c>
      <c r="U12" s="731">
        <f>'Income Statement'!BG27</f>
        <v>1511</v>
      </c>
      <c r="V12" s="731">
        <f>'Income Statement'!BH27</f>
        <v>2095</v>
      </c>
      <c r="W12" s="731">
        <f>'Income Statement'!BI27</f>
        <v>1909</v>
      </c>
      <c r="X12" s="731">
        <f>'Income Statement'!BJ27</f>
        <v>2481</v>
      </c>
      <c r="Y12" s="731">
        <f>'Income Statement'!BL27</f>
        <v>1784</v>
      </c>
      <c r="Z12" s="731">
        <f>'Income Statement'!BM27</f>
        <v>1951</v>
      </c>
      <c r="AA12" s="731">
        <f>'Income Statement'!BN27</f>
        <v>1334</v>
      </c>
      <c r="AB12" s="731">
        <f>'Income Statement'!BO27</f>
        <v>1086</v>
      </c>
      <c r="AC12" s="731">
        <f>'Income Statement'!BQ27</f>
        <v>1716</v>
      </c>
      <c r="AD12" s="731">
        <f>'Income Statement'!BR27</f>
        <v>2857</v>
      </c>
      <c r="AE12" s="731">
        <f>'Income Statement'!BS27</f>
        <v>1783</v>
      </c>
      <c r="AF12" s="731">
        <f>'Income Statement'!BT27</f>
        <v>3565</v>
      </c>
      <c r="AG12" s="731">
        <f>'Income Statement'!BV27</f>
        <v>1234</v>
      </c>
      <c r="AH12" s="731">
        <f>'Income Statement'!BW27</f>
        <v>1983.5380000000005</v>
      </c>
      <c r="AI12" s="731">
        <f>'Income Statement'!BX27</f>
        <v>3102.4619999999995</v>
      </c>
      <c r="AJ12" s="731">
        <f>'Income Statement'!BY27</f>
        <v>2743</v>
      </c>
      <c r="AK12" s="731">
        <f>'Income Statement'!CA27</f>
        <v>1413</v>
      </c>
      <c r="AL12" s="731">
        <f>'Income Statement'!CB27</f>
        <v>1743</v>
      </c>
      <c r="AM12" s="731">
        <f>'Income Statement'!CC27</f>
        <v>2389</v>
      </c>
      <c r="AN12" s="731">
        <f>'Income Statement'!CD27</f>
        <v>1613</v>
      </c>
      <c r="AO12" s="731">
        <f>'Income Statement'!CF27</f>
        <v>2057</v>
      </c>
      <c r="AP12" s="731">
        <f>'Income Statement'!CG27</f>
        <v>2088</v>
      </c>
      <c r="AQ12" s="731">
        <f>'Income Statement'!CH27</f>
        <v>1504</v>
      </c>
      <c r="AR12" s="731">
        <f>'Income Statement'!CI27</f>
        <v>1733</v>
      </c>
      <c r="AS12" s="731">
        <f>'Income Statement'!CK27</f>
        <v>1241</v>
      </c>
    </row>
    <row r="13" spans="1:64" ht="13">
      <c r="B13" s="1003" t="s">
        <v>150</v>
      </c>
      <c r="D13" s="731">
        <f>'Balance Sheet and Cflow'!K49</f>
        <v>23641</v>
      </c>
      <c r="E13" s="731">
        <f>'Balance Sheet and Cflow'!L49</f>
        <v>13271</v>
      </c>
      <c r="F13" s="731">
        <f>'Balance Sheet and Cflow'!M49</f>
        <v>12296</v>
      </c>
      <c r="G13" s="731">
        <f>'Balance Sheet and Cflow'!N49</f>
        <v>11516.451999999999</v>
      </c>
      <c r="H13" s="731">
        <f>'Balance Sheet and Cflow'!O49</f>
        <v>25325.744000000002</v>
      </c>
      <c r="I13" s="731">
        <f>'Balance Sheet and Cflow'!P49</f>
        <v>30662.310000000005</v>
      </c>
      <c r="J13" s="731">
        <f>'Balance Sheet and Cflow'!Q49</f>
        <v>32984.250999999997</v>
      </c>
      <c r="K13" s="731">
        <f>'Balance Sheet and Cflow'!R49</f>
        <v>38775.660000000003</v>
      </c>
      <c r="L13" s="731">
        <f>'Balance Sheet and Cflow'!S49</f>
        <v>44952.006999999998</v>
      </c>
      <c r="M13" s="731">
        <f>'Balance Sheet and Cflow'!T49</f>
        <v>44701.377</v>
      </c>
      <c r="N13" s="731">
        <f>'Balance Sheet and Cflow'!V49</f>
        <v>71285.34308628444</v>
      </c>
      <c r="O13" s="731">
        <f>'Balance Sheet and Cflow'!W49</f>
        <v>68233.773515968904</v>
      </c>
      <c r="P13" s="731">
        <f>'Balance Sheet and Cflow'!X49</f>
        <v>65503.75152843594</v>
      </c>
      <c r="Q13" s="731">
        <f>'Balance Sheet and Cflow'!Y49</f>
        <v>62610.894403656333</v>
      </c>
      <c r="R13" s="731">
        <f>'Balance Sheet and Cflow'!Z49</f>
        <v>59849.334246644234</v>
      </c>
      <c r="S13" s="731">
        <f>'Balance Sheet and Cflow'!AA49</f>
        <v>57400.204263660402</v>
      </c>
      <c r="U13" s="731"/>
      <c r="V13" s="731"/>
      <c r="W13" s="731"/>
      <c r="X13" s="731"/>
      <c r="Y13" s="731"/>
      <c r="Z13" s="731"/>
      <c r="AA13" s="731"/>
      <c r="AB13" s="731"/>
      <c r="AC13" s="731"/>
      <c r="AD13" s="731"/>
      <c r="AE13" s="731"/>
      <c r="AF13" s="731"/>
      <c r="AG13" s="731"/>
      <c r="AH13" s="731"/>
      <c r="AI13" s="731"/>
      <c r="AJ13" s="731"/>
      <c r="AK13" s="731"/>
      <c r="AL13" s="731"/>
      <c r="AM13" s="731"/>
      <c r="AN13" s="731"/>
      <c r="AO13" s="731"/>
      <c r="AP13" s="731"/>
      <c r="AQ13" s="731"/>
      <c r="AR13" s="731"/>
      <c r="AS13" s="731"/>
    </row>
    <row r="14" spans="1:64" ht="13">
      <c r="D14" s="729"/>
      <c r="E14" s="729"/>
      <c r="F14" s="729"/>
      <c r="G14" s="729"/>
      <c r="H14" s="729"/>
      <c r="I14" s="729"/>
      <c r="J14" s="729"/>
      <c r="K14" s="729"/>
      <c r="L14" s="729"/>
      <c r="M14" s="729"/>
      <c r="N14" s="729"/>
      <c r="O14" s="729"/>
      <c r="P14" s="729"/>
      <c r="Q14" s="729"/>
      <c r="R14" s="729"/>
      <c r="S14" s="729"/>
      <c r="U14" s="730"/>
      <c r="V14" s="730"/>
      <c r="W14" s="730"/>
      <c r="X14" s="730"/>
      <c r="Y14" s="730"/>
      <c r="Z14" s="730"/>
      <c r="AA14" s="730"/>
      <c r="AB14" s="730"/>
      <c r="AC14" s="730"/>
      <c r="AD14" s="730"/>
      <c r="AE14" s="730"/>
      <c r="AF14" s="730"/>
      <c r="AG14" s="730"/>
      <c r="AH14" s="730"/>
      <c r="AI14" s="730"/>
      <c r="AJ14" s="730"/>
      <c r="AK14" s="730"/>
      <c r="AL14" s="730"/>
      <c r="AM14" s="730"/>
      <c r="AN14" s="730"/>
      <c r="AO14" s="730"/>
      <c r="AP14" s="730"/>
      <c r="AQ14" s="730"/>
      <c r="AR14" s="730"/>
      <c r="AS14" s="730"/>
    </row>
    <row r="15" spans="1:64" ht="13">
      <c r="A15" s="720" t="s">
        <v>615</v>
      </c>
      <c r="B15" s="722" t="s">
        <v>766</v>
      </c>
      <c r="D15" s="729"/>
      <c r="E15" s="729"/>
      <c r="F15" s="729"/>
      <c r="G15" s="729"/>
      <c r="H15" s="729"/>
      <c r="I15" s="729"/>
      <c r="J15" s="729"/>
      <c r="K15" s="729"/>
      <c r="L15" s="729"/>
      <c r="M15" s="729"/>
      <c r="N15" s="729"/>
      <c r="O15" s="729"/>
      <c r="P15" s="729"/>
      <c r="Q15" s="729"/>
      <c r="R15" s="729"/>
      <c r="S15" s="729"/>
      <c r="U15" s="730"/>
      <c r="V15" s="730"/>
      <c r="W15" s="730"/>
      <c r="X15" s="730"/>
      <c r="Y15" s="730"/>
      <c r="Z15" s="730"/>
      <c r="AA15" s="730"/>
      <c r="AB15" s="730"/>
      <c r="AC15" s="730"/>
      <c r="AD15" s="730"/>
      <c r="AE15" s="730"/>
      <c r="AF15" s="730"/>
      <c r="AG15" s="730"/>
      <c r="AH15" s="730"/>
      <c r="AI15" s="730"/>
      <c r="AJ15" s="730"/>
      <c r="AK15" s="730"/>
      <c r="AL15" s="730"/>
      <c r="AM15" s="730"/>
      <c r="AN15" s="730"/>
      <c r="AO15" s="730"/>
      <c r="AP15" s="730"/>
      <c r="AQ15" s="730"/>
      <c r="AR15" s="730"/>
      <c r="AS15" s="730"/>
    </row>
    <row r="16" spans="1:64" ht="13">
      <c r="B16" s="720" t="s">
        <v>653</v>
      </c>
      <c r="C16" s="738" t="s">
        <v>956</v>
      </c>
      <c r="D16" s="731">
        <f>'Income Statement'!AQ96</f>
        <v>42000</v>
      </c>
      <c r="E16" s="731">
        <f>'Income Statement'!AV96</f>
        <v>46500</v>
      </c>
      <c r="F16" s="731">
        <f>'Income Statement'!BA96</f>
        <v>53500</v>
      </c>
      <c r="G16" s="731">
        <f>'Income Statement'!BF96</f>
        <v>54900</v>
      </c>
      <c r="H16" s="731">
        <f>'Income Statement'!BK96</f>
        <v>56700</v>
      </c>
      <c r="I16" s="731">
        <f>'Income Statement'!BP96</f>
        <v>57890</v>
      </c>
      <c r="J16" s="731">
        <f>'Income Statement'!BU96</f>
        <v>57910</v>
      </c>
      <c r="K16" s="731">
        <f>'Income Statement'!BZ96</f>
        <v>57500</v>
      </c>
      <c r="L16" s="731">
        <f>'Income Statement'!CE96</f>
        <v>57500</v>
      </c>
      <c r="M16" s="731">
        <f>'Income Statement'!CJ96</f>
        <v>58800</v>
      </c>
      <c r="N16" s="731">
        <f>'Income Statement'!CO96</f>
        <v>82771.271720245146</v>
      </c>
      <c r="O16" s="731">
        <f>'Income Statement'!CP96</f>
        <v>83969.257163598711</v>
      </c>
      <c r="P16" s="731">
        <f>'Income Statement'!CQ96</f>
        <v>85182.942914061918</v>
      </c>
      <c r="Q16" s="731">
        <f>'Income Statement'!CR96</f>
        <v>86412.523357124315</v>
      </c>
      <c r="R16" s="731">
        <f>'Income Statement'!CS96</f>
        <v>87658.195197739857</v>
      </c>
      <c r="S16" s="731">
        <f>'Income Statement'!CT96</f>
        <v>88920.15748729551</v>
      </c>
      <c r="U16" s="731">
        <f>'Income Statement'!BG96</f>
        <v>55100</v>
      </c>
      <c r="V16" s="731">
        <f>'Income Statement'!BH96</f>
        <v>56600</v>
      </c>
      <c r="W16" s="731">
        <f>'Income Statement'!BI96</f>
        <v>55500</v>
      </c>
      <c r="X16" s="731">
        <f>'Income Statement'!BJ96</f>
        <v>56700</v>
      </c>
      <c r="Y16" s="731">
        <f>'Income Statement'!BL96</f>
        <v>55490</v>
      </c>
      <c r="Z16" s="731">
        <f>'Income Statement'!BM96</f>
        <v>55670</v>
      </c>
      <c r="AA16" s="731">
        <f>'Income Statement'!BN96</f>
        <v>56880</v>
      </c>
      <c r="AB16" s="731">
        <f>'Income Statement'!BO96</f>
        <v>57890</v>
      </c>
      <c r="AC16" s="731">
        <f>'Income Statement'!BQ96</f>
        <v>56010</v>
      </c>
      <c r="AD16" s="731">
        <f>'Income Statement'!BR96</f>
        <v>56770</v>
      </c>
      <c r="AE16" s="731">
        <f>'Income Statement'!BS96</f>
        <v>57980</v>
      </c>
      <c r="AF16" s="731">
        <f>'Income Statement'!BT96</f>
        <v>57910</v>
      </c>
      <c r="AG16" s="731">
        <f>'Income Statement'!BV96</f>
        <v>57000</v>
      </c>
      <c r="AH16" s="731">
        <f>'Income Statement'!BW96</f>
        <v>57230</v>
      </c>
      <c r="AI16" s="731">
        <f>'Income Statement'!BX96</f>
        <v>57400</v>
      </c>
      <c r="AJ16" s="731">
        <f>'Income Statement'!BY96</f>
        <v>57500</v>
      </c>
      <c r="AK16" s="731">
        <f>'Income Statement'!CA96</f>
        <v>57900</v>
      </c>
      <c r="AL16" s="731">
        <f>'Income Statement'!CB96</f>
        <v>58000</v>
      </c>
      <c r="AM16" s="731">
        <f>'Income Statement'!CC96</f>
        <v>57500</v>
      </c>
      <c r="AN16" s="731">
        <f>'Income Statement'!CD96</f>
        <v>57500</v>
      </c>
      <c r="AO16" s="731">
        <f>'Income Statement'!CF96</f>
        <v>57600</v>
      </c>
      <c r="AP16" s="731">
        <f>'Income Statement'!CG96</f>
        <v>58500</v>
      </c>
      <c r="AQ16" s="731">
        <f>'Income Statement'!CH96</f>
        <v>58600</v>
      </c>
      <c r="AR16" s="731">
        <f>'Income Statement'!CI96</f>
        <v>58800</v>
      </c>
      <c r="AS16" s="731">
        <f>'Income Statement'!CK96</f>
        <v>58900</v>
      </c>
    </row>
    <row r="17" spans="1:64" ht="13">
      <c r="B17" s="720" t="s">
        <v>775</v>
      </c>
      <c r="C17" s="721" t="s">
        <v>537</v>
      </c>
      <c r="D17" s="731">
        <f>'Income Statement'!AQ136</f>
        <v>34000</v>
      </c>
      <c r="E17" s="731">
        <f>'Income Statement'!AV136</f>
        <v>35000</v>
      </c>
      <c r="F17" s="731">
        <f>'Income Statement'!BA136</f>
        <v>34000</v>
      </c>
      <c r="G17" s="731">
        <f>'Income Statement'!BF136</f>
        <v>31500</v>
      </c>
      <c r="H17" s="731">
        <f>'Income Statement'!BK136</f>
        <v>34500</v>
      </c>
      <c r="I17" s="731">
        <f>'Income Statement'!BP136</f>
        <v>35750</v>
      </c>
      <c r="J17" s="731">
        <f>'Income Statement'!BU136</f>
        <v>36500</v>
      </c>
      <c r="K17" s="731">
        <f>'Income Statement'!BZ136</f>
        <v>38750</v>
      </c>
      <c r="L17" s="731">
        <f>'Income Statement'!CE136</f>
        <v>41750</v>
      </c>
      <c r="M17" s="731">
        <f>'Income Statement'!CJ136</f>
        <v>42500</v>
      </c>
      <c r="N17" s="731">
        <f>'Income Statement'!CO136</f>
        <v>35590.859765589783</v>
      </c>
      <c r="O17" s="731">
        <f>'Income Statement'!CP136</f>
        <v>39374.791688700709</v>
      </c>
      <c r="P17" s="731">
        <f>'Income Statement'!CQ136</f>
        <v>40551.975897513599</v>
      </c>
      <c r="Q17" s="731">
        <f>'Income Statement'!CR136</f>
        <v>41761.340435812359</v>
      </c>
      <c r="R17" s="731">
        <f>'Income Statement'!CS136</f>
        <v>43003.794818341128</v>
      </c>
      <c r="S17" s="731">
        <f>'Income Statement'!CT136</f>
        <v>44280.274625380138</v>
      </c>
      <c r="U17" s="731">
        <f>'Income Statement'!BG136</f>
        <v>33000</v>
      </c>
      <c r="V17" s="731">
        <f>'Income Statement'!BH136</f>
        <v>34000</v>
      </c>
      <c r="W17" s="731">
        <f>'Income Statement'!BI136</f>
        <v>35000</v>
      </c>
      <c r="X17" s="731">
        <f>'Income Statement'!BJ136</f>
        <v>36000</v>
      </c>
      <c r="Y17" s="731">
        <f>'Income Statement'!BL136</f>
        <v>36000</v>
      </c>
      <c r="Z17" s="731">
        <f>'Income Statement'!BM136</f>
        <v>37000</v>
      </c>
      <c r="AA17" s="731">
        <f>'Income Statement'!BN136</f>
        <v>36000</v>
      </c>
      <c r="AB17" s="731">
        <f>'Income Statement'!BO136</f>
        <v>34000</v>
      </c>
      <c r="AC17" s="731">
        <f>'Income Statement'!BQ136</f>
        <v>35000</v>
      </c>
      <c r="AD17" s="731">
        <f>'Income Statement'!BR136</f>
        <v>37000</v>
      </c>
      <c r="AE17" s="731">
        <f>'Income Statement'!BS136</f>
        <v>37000</v>
      </c>
      <c r="AF17" s="731">
        <f>'Income Statement'!BT136</f>
        <v>37000</v>
      </c>
      <c r="AG17" s="731">
        <f>'Income Statement'!BV136</f>
        <v>36000</v>
      </c>
      <c r="AH17" s="731">
        <f>'Income Statement'!BW136</f>
        <v>39000</v>
      </c>
      <c r="AI17" s="731">
        <f>'Income Statement'!BX136</f>
        <v>40000</v>
      </c>
      <c r="AJ17" s="731">
        <f>'Income Statement'!BY136</f>
        <v>40000</v>
      </c>
      <c r="AK17" s="731">
        <f>'Income Statement'!CA136</f>
        <v>40000</v>
      </c>
      <c r="AL17" s="731">
        <f>'Income Statement'!CB136</f>
        <v>42000</v>
      </c>
      <c r="AM17" s="731">
        <f>'Income Statement'!CC136</f>
        <v>42000</v>
      </c>
      <c r="AN17" s="731">
        <f>'Income Statement'!CD136</f>
        <v>43000</v>
      </c>
      <c r="AO17" s="731">
        <f>'Income Statement'!CF136</f>
        <v>44000</v>
      </c>
      <c r="AP17" s="731">
        <f>'Income Statement'!CG136</f>
        <v>44000</v>
      </c>
      <c r="AQ17" s="731">
        <f>'Income Statement'!CH136</f>
        <v>41000</v>
      </c>
      <c r="AR17" s="731">
        <f>'Income Statement'!CI136</f>
        <v>41000</v>
      </c>
      <c r="AS17" s="731">
        <f>'Income Statement'!CK136</f>
        <v>40000</v>
      </c>
    </row>
    <row r="18" spans="1:64" ht="13">
      <c r="D18" s="729"/>
      <c r="E18" s="729"/>
      <c r="F18" s="729"/>
      <c r="G18" s="729"/>
      <c r="H18" s="729"/>
      <c r="I18" s="729"/>
      <c r="J18" s="729"/>
      <c r="K18" s="729"/>
      <c r="L18" s="729"/>
      <c r="M18" s="729"/>
      <c r="N18" s="729"/>
      <c r="O18" s="729"/>
      <c r="P18" s="729"/>
      <c r="Q18" s="729"/>
      <c r="R18" s="729"/>
      <c r="S18" s="729"/>
      <c r="U18" s="730"/>
      <c r="V18" s="730"/>
      <c r="W18" s="730"/>
      <c r="X18" s="730"/>
      <c r="Y18" s="730"/>
      <c r="Z18" s="730"/>
      <c r="AA18" s="730"/>
      <c r="AB18" s="730"/>
      <c r="AC18" s="730"/>
      <c r="AD18" s="730"/>
      <c r="AE18" s="730"/>
      <c r="AF18" s="730"/>
      <c r="AG18" s="730"/>
      <c r="AH18" s="730"/>
      <c r="AI18" s="730"/>
      <c r="AJ18" s="730"/>
      <c r="AK18" s="730"/>
      <c r="AL18" s="730"/>
      <c r="AM18" s="730"/>
      <c r="AN18" s="730"/>
      <c r="AO18" s="730"/>
      <c r="AP18" s="730"/>
      <c r="AQ18" s="730"/>
      <c r="AR18" s="730"/>
      <c r="AS18" s="730"/>
    </row>
    <row r="19" spans="1:64" ht="13">
      <c r="A19" s="720" t="s">
        <v>615</v>
      </c>
      <c r="B19" s="722" t="s">
        <v>776</v>
      </c>
      <c r="C19" s="734"/>
      <c r="D19" s="736"/>
      <c r="E19" s="736"/>
      <c r="F19" s="736"/>
      <c r="G19" s="736"/>
      <c r="H19" s="736"/>
      <c r="I19" s="736"/>
      <c r="J19" s="736"/>
      <c r="K19" s="736"/>
      <c r="L19" s="736"/>
      <c r="M19" s="736"/>
      <c r="N19" s="736"/>
      <c r="O19" s="736"/>
      <c r="P19" s="736"/>
      <c r="Q19" s="736"/>
      <c r="R19" s="736"/>
      <c r="S19" s="736"/>
      <c r="T19" s="734"/>
    </row>
    <row r="20" spans="1:64">
      <c r="D20" s="736"/>
      <c r="E20" s="736"/>
      <c r="F20" s="736"/>
      <c r="G20" s="736"/>
      <c r="H20" s="736"/>
      <c r="I20" s="736"/>
      <c r="J20" s="736"/>
      <c r="K20" s="736"/>
      <c r="L20" s="736"/>
      <c r="M20" s="736"/>
      <c r="N20" s="736"/>
      <c r="O20" s="736"/>
      <c r="P20" s="736"/>
      <c r="Q20" s="736"/>
      <c r="R20" s="736"/>
      <c r="S20" s="736"/>
    </row>
    <row r="21" spans="1:64">
      <c r="B21" s="720" t="s">
        <v>954</v>
      </c>
      <c r="D21" s="732"/>
      <c r="E21" s="732"/>
      <c r="F21" s="732"/>
      <c r="G21" s="732"/>
      <c r="H21" s="732"/>
      <c r="I21" s="732"/>
      <c r="J21" s="732"/>
      <c r="K21" s="732"/>
      <c r="L21" s="732"/>
      <c r="M21" s="732"/>
      <c r="N21" s="732"/>
      <c r="O21" s="732"/>
      <c r="P21" s="732"/>
      <c r="Q21" s="732"/>
      <c r="R21" s="732"/>
      <c r="S21" s="732"/>
      <c r="U21" s="732"/>
      <c r="V21" s="732"/>
      <c r="W21" s="732"/>
      <c r="X21" s="732"/>
      <c r="Y21" s="732"/>
      <c r="Z21" s="732"/>
      <c r="AA21" s="732"/>
      <c r="AB21" s="732"/>
      <c r="AC21" s="732"/>
      <c r="AD21" s="732"/>
      <c r="AE21" s="732"/>
      <c r="AF21" s="732"/>
      <c r="AG21" s="732"/>
      <c r="AH21" s="732"/>
      <c r="AI21" s="732"/>
      <c r="AJ21" s="732"/>
      <c r="AK21" s="732"/>
      <c r="AL21" s="732"/>
      <c r="AM21" s="732"/>
      <c r="AN21" s="732"/>
      <c r="AO21" s="732"/>
      <c r="AP21" s="732"/>
      <c r="AQ21" s="732"/>
      <c r="AR21" s="732"/>
      <c r="AS21" s="732"/>
      <c r="AU21" s="737"/>
    </row>
    <row r="22" spans="1:64" ht="13">
      <c r="B22" s="720" t="s">
        <v>955</v>
      </c>
      <c r="C22" s="738" t="s">
        <v>956</v>
      </c>
      <c r="D22" s="739"/>
      <c r="E22" s="739"/>
      <c r="F22" s="739"/>
      <c r="G22" s="739"/>
      <c r="H22" s="739"/>
      <c r="I22" s="739"/>
      <c r="J22" s="739"/>
      <c r="K22" s="739"/>
      <c r="L22" s="739"/>
      <c r="M22" s="739"/>
      <c r="N22" s="739"/>
      <c r="O22" s="739"/>
      <c r="P22" s="739"/>
      <c r="Q22" s="739"/>
      <c r="R22" s="739"/>
      <c r="S22" s="739"/>
      <c r="T22" s="738"/>
      <c r="U22" s="740"/>
      <c r="V22" s="740"/>
      <c r="W22" s="740"/>
      <c r="X22" s="740"/>
      <c r="Y22" s="740"/>
      <c r="Z22" s="740"/>
      <c r="AA22" s="740"/>
      <c r="AB22" s="740"/>
      <c r="AC22" s="740"/>
      <c r="AD22" s="740"/>
      <c r="AE22" s="740"/>
      <c r="AF22" s="740"/>
      <c r="AG22" s="740"/>
      <c r="AH22" s="740"/>
      <c r="AI22" s="740"/>
      <c r="AJ22" s="740"/>
      <c r="AK22" s="740"/>
      <c r="AL22" s="740"/>
      <c r="AM22" s="740"/>
      <c r="AN22" s="740"/>
      <c r="AO22" s="741"/>
      <c r="AP22" s="741"/>
      <c r="AQ22" s="741"/>
      <c r="AR22" s="741"/>
      <c r="AS22" s="741"/>
      <c r="AU22" s="328"/>
    </row>
    <row r="23" spans="1:64" ht="13">
      <c r="B23" s="720" t="s">
        <v>489</v>
      </c>
      <c r="C23" s="738" t="s">
        <v>957</v>
      </c>
      <c r="D23" s="739"/>
      <c r="E23" s="739"/>
      <c r="F23" s="739"/>
      <c r="G23" s="739"/>
      <c r="H23" s="739"/>
      <c r="I23" s="739"/>
      <c r="J23" s="739"/>
      <c r="K23" s="739"/>
      <c r="L23" s="739"/>
      <c r="M23" s="739"/>
      <c r="N23" s="739"/>
      <c r="O23" s="739"/>
      <c r="P23" s="739"/>
      <c r="Q23" s="739"/>
      <c r="R23" s="739"/>
      <c r="S23" s="739"/>
      <c r="T23" s="738"/>
      <c r="U23" s="740"/>
      <c r="V23" s="740"/>
      <c r="W23" s="740"/>
      <c r="X23" s="740"/>
      <c r="Y23" s="740"/>
      <c r="Z23" s="740"/>
      <c r="AA23" s="740"/>
      <c r="AB23" s="740"/>
      <c r="AC23" s="740"/>
      <c r="AD23" s="740"/>
      <c r="AE23" s="740"/>
      <c r="AF23" s="740"/>
      <c r="AG23" s="740"/>
      <c r="AH23" s="740"/>
      <c r="AI23" s="740"/>
      <c r="AJ23" s="740"/>
      <c r="AK23" s="740"/>
      <c r="AL23" s="740"/>
      <c r="AM23" s="740"/>
      <c r="AN23" s="740"/>
      <c r="AO23" s="741"/>
      <c r="AP23" s="741"/>
      <c r="AQ23" s="741"/>
      <c r="AR23" s="741"/>
      <c r="AS23" s="741"/>
      <c r="AU23" s="328"/>
    </row>
    <row r="24" spans="1:64">
      <c r="D24" s="736"/>
      <c r="E24" s="736"/>
      <c r="F24" s="736"/>
      <c r="G24" s="736"/>
      <c r="H24" s="736"/>
      <c r="I24" s="736"/>
      <c r="J24" s="736"/>
      <c r="K24" s="736"/>
      <c r="L24" s="736"/>
      <c r="M24" s="736"/>
      <c r="N24" s="736"/>
      <c r="O24" s="736"/>
      <c r="P24" s="736"/>
      <c r="Q24" s="736"/>
      <c r="R24" s="736"/>
      <c r="S24" s="736"/>
    </row>
    <row r="25" spans="1:64" ht="13">
      <c r="A25" s="720" t="s">
        <v>615</v>
      </c>
      <c r="B25" s="722" t="s">
        <v>843</v>
      </c>
      <c r="D25" s="736"/>
      <c r="E25" s="736"/>
      <c r="F25" s="736"/>
      <c r="G25" s="736"/>
      <c r="H25" s="736"/>
      <c r="I25" s="736"/>
      <c r="J25" s="736"/>
      <c r="K25" s="736"/>
      <c r="L25" s="736"/>
      <c r="M25" s="736"/>
      <c r="N25" s="736"/>
      <c r="O25" s="736"/>
      <c r="P25" s="736"/>
      <c r="Q25" s="736"/>
      <c r="R25" s="736"/>
      <c r="S25" s="736"/>
    </row>
    <row r="26" spans="1:64" s="722" customFormat="1" ht="13">
      <c r="B26" s="722" t="s">
        <v>958</v>
      </c>
      <c r="C26" s="734" t="s">
        <v>591</v>
      </c>
      <c r="D26" s="735"/>
      <c r="E26" s="735"/>
      <c r="F26" s="735"/>
      <c r="G26" s="735"/>
      <c r="H26" s="735"/>
      <c r="I26" s="735"/>
      <c r="J26" s="735"/>
      <c r="K26" s="735"/>
      <c r="L26" s="735"/>
      <c r="M26" s="732">
        <f>'Income Statement'!CJ235</f>
        <v>775.18839999999909</v>
      </c>
      <c r="N26" s="732">
        <f>'Income Statement'!CO235</f>
        <v>852.70723999999905</v>
      </c>
      <c r="O26" s="732">
        <f>'Income Statement'!CP235</f>
        <v>920.923819199999</v>
      </c>
      <c r="P26" s="732">
        <f>'Income Statement'!CQ235</f>
        <v>976.17924835199904</v>
      </c>
      <c r="Q26" s="732">
        <f>'Income Statement'!CR235</f>
        <v>1034.7500032531191</v>
      </c>
      <c r="R26" s="732">
        <f>'Income Statement'!CS235</f>
        <v>1096.8350034483062</v>
      </c>
      <c r="S26" s="732">
        <f>'Income Statement'!CT235</f>
        <v>1162.6451036552046</v>
      </c>
      <c r="T26" s="734"/>
      <c r="U26" s="735"/>
      <c r="V26" s="735"/>
      <c r="W26" s="735"/>
      <c r="X26" s="735"/>
      <c r="Y26" s="735"/>
      <c r="Z26" s="735"/>
      <c r="AA26" s="735"/>
      <c r="AB26" s="735"/>
      <c r="AC26" s="735"/>
      <c r="AD26" s="735"/>
      <c r="AE26" s="735"/>
      <c r="AF26" s="735"/>
      <c r="AG26" s="735"/>
      <c r="AH26" s="735"/>
      <c r="AI26" s="735"/>
      <c r="AJ26" s="735"/>
      <c r="AK26" s="735"/>
      <c r="AL26" s="735"/>
      <c r="AM26" s="735"/>
      <c r="AN26" s="735"/>
      <c r="AO26" s="735"/>
      <c r="AP26" s="735"/>
      <c r="AQ26" s="735"/>
      <c r="AR26" s="735"/>
      <c r="AS26" s="735"/>
      <c r="BB26" s="743"/>
      <c r="BC26" s="743"/>
      <c r="BD26" s="743"/>
      <c r="BE26" s="743"/>
      <c r="BF26" s="743"/>
      <c r="BG26" s="743"/>
      <c r="BH26" s="743"/>
      <c r="BI26" s="743"/>
      <c r="BJ26" s="743"/>
      <c r="BK26" s="743"/>
      <c r="BL26" s="743"/>
    </row>
    <row r="28" spans="1:64" ht="13">
      <c r="A28" s="720" t="s">
        <v>615</v>
      </c>
      <c r="B28" s="722" t="s">
        <v>227</v>
      </c>
      <c r="D28" s="729"/>
      <c r="E28" s="729"/>
      <c r="F28" s="729"/>
      <c r="G28" s="729"/>
      <c r="H28" s="729"/>
      <c r="I28" s="729"/>
      <c r="J28" s="729"/>
      <c r="K28" s="729"/>
      <c r="L28" s="729"/>
      <c r="M28" s="729"/>
      <c r="N28" s="729"/>
      <c r="O28" s="729"/>
      <c r="P28" s="729"/>
      <c r="Q28" s="729"/>
      <c r="R28" s="729"/>
      <c r="S28" s="729"/>
      <c r="U28" s="730"/>
      <c r="V28" s="730"/>
      <c r="W28" s="730"/>
      <c r="X28" s="730"/>
      <c r="Y28" s="730"/>
      <c r="Z28" s="730"/>
      <c r="AA28" s="730"/>
      <c r="AB28" s="730"/>
      <c r="AC28" s="730"/>
      <c r="AD28" s="730"/>
      <c r="AE28" s="730"/>
      <c r="AF28" s="730"/>
      <c r="AG28" s="730"/>
      <c r="AH28" s="730"/>
      <c r="AI28" s="730"/>
      <c r="AJ28" s="730"/>
      <c r="AK28" s="730"/>
      <c r="AL28" s="730"/>
      <c r="AM28" s="730"/>
      <c r="AN28" s="730"/>
      <c r="AO28" s="730"/>
      <c r="AP28" s="730"/>
      <c r="AQ28" s="730"/>
      <c r="AR28" s="730"/>
      <c r="AS28" s="730"/>
    </row>
    <row r="29" spans="1:64" ht="13">
      <c r="B29" s="742" t="s">
        <v>77</v>
      </c>
      <c r="D29" s="731">
        <f>'Income Statement'!AQ257</f>
        <v>1258</v>
      </c>
      <c r="E29" s="731">
        <f>'Income Statement'!AV257</f>
        <v>11</v>
      </c>
      <c r="F29" s="731">
        <f>'Income Statement'!BA257</f>
        <v>1370</v>
      </c>
      <c r="G29" s="731">
        <f>'Income Statement'!BF257</f>
        <v>-3108</v>
      </c>
      <c r="H29" s="731">
        <f>'Income Statement'!BK257</f>
        <v>2603</v>
      </c>
      <c r="I29" s="731">
        <f>'Income Statement'!BP257</f>
        <v>2632.085</v>
      </c>
      <c r="J29" s="731">
        <f>'Income Statement'!BU257</f>
        <v>3330.7729999999992</v>
      </c>
      <c r="K29" s="731">
        <f>'Income Statement'!BZ257</f>
        <v>3670.7039999999997</v>
      </c>
      <c r="L29" s="731">
        <f>'Income Statement'!CE257</f>
        <v>4537.2420000000002</v>
      </c>
      <c r="M29" s="731">
        <f>'Income Statement'!CJ257</f>
        <v>5804.6650000000009</v>
      </c>
      <c r="N29" s="731">
        <f>'Income Statement'!CO257</f>
        <v>2084.4562465740128</v>
      </c>
      <c r="O29" s="731">
        <f>'Income Statement'!CP257</f>
        <v>5069.9778078283634</v>
      </c>
      <c r="P29" s="731">
        <f>'Income Statement'!CQ257</f>
        <v>7708.9397968255289</v>
      </c>
      <c r="Q29" s="731">
        <f>'Income Statement'!CR257</f>
        <v>10361.079285377851</v>
      </c>
      <c r="R29" s="731">
        <f>'Income Statement'!CS257</f>
        <v>11772.182043895984</v>
      </c>
      <c r="S29" s="731">
        <f>'Income Statement'!CT257</f>
        <v>13080.317106786435</v>
      </c>
    </row>
    <row r="30" spans="1:64">
      <c r="B30" s="742" t="s">
        <v>406</v>
      </c>
      <c r="D30" s="736"/>
      <c r="E30" s="736"/>
      <c r="F30" s="736"/>
      <c r="G30" s="736"/>
      <c r="H30" s="736"/>
      <c r="I30" s="736"/>
      <c r="J30" s="736"/>
      <c r="K30" s="736"/>
      <c r="L30" s="736"/>
      <c r="M30" s="736"/>
      <c r="N30" s="736"/>
      <c r="O30" s="736"/>
      <c r="P30" s="736"/>
      <c r="Q30" s="736"/>
      <c r="R30" s="736"/>
      <c r="S30" s="736"/>
    </row>
    <row r="31" spans="1:64">
      <c r="B31" s="742" t="s">
        <v>871</v>
      </c>
      <c r="D31" s="736"/>
      <c r="E31" s="736"/>
      <c r="F31" s="736"/>
      <c r="G31" s="736"/>
      <c r="H31" s="736"/>
      <c r="I31" s="736"/>
      <c r="J31" s="736"/>
      <c r="K31" s="736"/>
      <c r="L31" s="736"/>
      <c r="M31" s="736"/>
      <c r="N31" s="736"/>
      <c r="O31" s="736"/>
      <c r="P31" s="736"/>
      <c r="Q31" s="736"/>
      <c r="R31" s="736"/>
      <c r="S31" s="736"/>
    </row>
    <row r="32" spans="1:64">
      <c r="B32" s="742"/>
      <c r="D32" s="736"/>
      <c r="E32" s="736"/>
      <c r="F32" s="736"/>
      <c r="G32" s="736"/>
      <c r="H32" s="736"/>
      <c r="I32" s="736"/>
      <c r="J32" s="736"/>
      <c r="K32" s="736"/>
      <c r="L32" s="736"/>
      <c r="M32" s="736"/>
      <c r="N32" s="736"/>
      <c r="O32" s="736"/>
      <c r="P32" s="736"/>
      <c r="Q32" s="736"/>
      <c r="R32" s="736"/>
      <c r="S32" s="736"/>
    </row>
    <row r="33" spans="2:19" ht="13">
      <c r="B33" s="742" t="s">
        <v>123</v>
      </c>
      <c r="D33" s="731">
        <f>'Balance Sheet and Cflow'!K21</f>
        <v>58843.7</v>
      </c>
      <c r="E33" s="731">
        <f>'Balance Sheet and Cflow'!L21</f>
        <v>54895</v>
      </c>
      <c r="F33" s="731">
        <f>'Balance Sheet and Cflow'!M21</f>
        <v>56321.357000000004</v>
      </c>
      <c r="G33" s="731">
        <f>'Balance Sheet and Cflow'!N21</f>
        <v>57613.953999999991</v>
      </c>
      <c r="H33" s="731">
        <f>'Balance Sheet and Cflow'!O21</f>
        <v>62725.242000000006</v>
      </c>
      <c r="I33" s="731">
        <f>'Balance Sheet and Cflow'!P21</f>
        <v>67744.546999999991</v>
      </c>
      <c r="J33" s="731">
        <f>'Balance Sheet and Cflow'!Q21</f>
        <v>72753.282000000007</v>
      </c>
      <c r="K33" s="731">
        <f>'Balance Sheet and Cflow'!R21</f>
        <v>87277.78</v>
      </c>
      <c r="L33" s="731">
        <f>'Balance Sheet and Cflow'!S21</f>
        <v>87688.084000000003</v>
      </c>
      <c r="M33" s="731">
        <f>'Balance Sheet and Cflow'!T21</f>
        <v>86178.564999999988</v>
      </c>
      <c r="N33" s="731">
        <f>'Balance Sheet and Cflow'!V21</f>
        <v>104192.7428359106</v>
      </c>
      <c r="O33" s="731">
        <f>'Balance Sheet and Cflow'!W21</f>
        <v>103130.1203048384</v>
      </c>
      <c r="P33" s="731">
        <f>'Balance Sheet and Cflow'!X21</f>
        <v>102038.45687563048</v>
      </c>
      <c r="Q33" s="731">
        <f>'Balance Sheet and Cflow'!Y21</f>
        <v>101885.340088417</v>
      </c>
      <c r="R33" s="731">
        <f>'Balance Sheet and Cflow'!Z21</f>
        <v>102492.14905721018</v>
      </c>
      <c r="S33" s="731">
        <f>'Balance Sheet and Cflow'!AA21</f>
        <v>104001.57466150133</v>
      </c>
    </row>
    <row r="34" spans="2:19" ht="13">
      <c r="B34" s="742" t="s">
        <v>964</v>
      </c>
      <c r="D34" s="731">
        <f>'Balance Sheet and Cflow'!K29</f>
        <v>15748</v>
      </c>
      <c r="E34" s="731">
        <f>'Balance Sheet and Cflow'!L29</f>
        <v>14477</v>
      </c>
      <c r="F34" s="731">
        <f>'Balance Sheet and Cflow'!M29</f>
        <v>15227</v>
      </c>
      <c r="G34" s="731">
        <f>'Balance Sheet and Cflow'!N29</f>
        <v>15733.294</v>
      </c>
      <c r="H34" s="731">
        <f>'Balance Sheet and Cflow'!O29</f>
        <v>21292.684000000001</v>
      </c>
      <c r="I34" s="731">
        <f>'Balance Sheet and Cflow'!P29</f>
        <v>18857.026000000002</v>
      </c>
      <c r="J34" s="731">
        <f>'Balance Sheet and Cflow'!Q29</f>
        <v>20953.920999999998</v>
      </c>
      <c r="K34" s="731">
        <f>'Balance Sheet and Cflow'!R29</f>
        <v>26350.5</v>
      </c>
      <c r="L34" s="731">
        <f>'Balance Sheet and Cflow'!S29</f>
        <v>20141.984</v>
      </c>
      <c r="M34" s="731">
        <f>'Balance Sheet and Cflow'!T29</f>
        <v>21016.638999999999</v>
      </c>
      <c r="N34" s="731">
        <f>'Balance Sheet and Cflow'!V29</f>
        <v>27718.732885147048</v>
      </c>
      <c r="O34" s="731">
        <f>'Balance Sheet and Cflow'!W29</f>
        <v>28777.528577325145</v>
      </c>
      <c r="P34" s="731">
        <f>'Balance Sheet and Cflow'!X29</f>
        <v>29231.512372927311</v>
      </c>
      <c r="Q34" s="731">
        <f>'Balance Sheet and Cflow'!Y29</f>
        <v>29704.637103640071</v>
      </c>
      <c r="R34" s="731">
        <f>'Balance Sheet and Cflow'!Z29</f>
        <v>30197.708300888746</v>
      </c>
      <c r="S34" s="731">
        <f>'Balance Sheet and Cflow'!AA29</f>
        <v>30711.565704114942</v>
      </c>
    </row>
    <row r="35" spans="2:19" ht="13">
      <c r="B35" s="742" t="s">
        <v>735</v>
      </c>
      <c r="D35" s="731">
        <f>'Balance Sheet and Cflow'!K26</f>
        <v>3922</v>
      </c>
      <c r="E35" s="731">
        <f>'Balance Sheet and Cflow'!L26</f>
        <v>3645</v>
      </c>
      <c r="F35" s="731">
        <f>'Balance Sheet and Cflow'!M26</f>
        <v>3771</v>
      </c>
      <c r="G35" s="731">
        <f>'Balance Sheet and Cflow'!N26</f>
        <v>1329.0160000000001</v>
      </c>
      <c r="H35" s="731">
        <f>'Balance Sheet and Cflow'!O26</f>
        <v>5461.5159999999996</v>
      </c>
      <c r="I35" s="731">
        <f>'Balance Sheet and Cflow'!P26</f>
        <v>1575.702</v>
      </c>
      <c r="J35" s="731">
        <f>'Balance Sheet and Cflow'!Q26</f>
        <v>1745.0849999999998</v>
      </c>
      <c r="K35" s="731">
        <f>'Balance Sheet and Cflow'!R26</f>
        <v>5622.1929999999993</v>
      </c>
      <c r="L35" s="731">
        <f>'Balance Sheet and Cflow'!S26</f>
        <v>853.85399999999993</v>
      </c>
      <c r="M35" s="731">
        <f>'Balance Sheet and Cflow'!T26</f>
        <v>3721.3</v>
      </c>
      <c r="N35" s="731">
        <f>'Balance Sheet and Cflow'!V26</f>
        <v>4918.7260000000006</v>
      </c>
      <c r="O35" s="731">
        <f>'Balance Sheet and Cflow'!W26</f>
        <v>4918.7260000000006</v>
      </c>
      <c r="P35" s="731">
        <f>'Balance Sheet and Cflow'!X26</f>
        <v>4918.7260000000006</v>
      </c>
      <c r="Q35" s="731">
        <f>'Balance Sheet and Cflow'!Y26</f>
        <v>4918.7260000000006</v>
      </c>
      <c r="R35" s="731">
        <f>'Balance Sheet and Cflow'!Z26</f>
        <v>4918.7260000000006</v>
      </c>
      <c r="S35" s="731">
        <f>'Balance Sheet and Cflow'!AA26</f>
        <v>4918.7260000000006</v>
      </c>
    </row>
    <row r="36" spans="2:19" ht="13">
      <c r="B36" s="742" t="s">
        <v>569</v>
      </c>
      <c r="D36" s="731">
        <f>'Balance Sheet and Cflow'!K27</f>
        <v>0</v>
      </c>
      <c r="E36" s="731">
        <f>'Balance Sheet and Cflow'!L27</f>
        <v>0</v>
      </c>
      <c r="F36" s="731">
        <f>'Balance Sheet and Cflow'!M27</f>
        <v>0</v>
      </c>
      <c r="G36" s="731">
        <f>'Balance Sheet and Cflow'!N27</f>
        <v>1248.9590000000001</v>
      </c>
      <c r="H36" s="731">
        <f>'Balance Sheet and Cflow'!O27</f>
        <v>1997.4880000000001</v>
      </c>
      <c r="I36" s="731">
        <f>'Balance Sheet and Cflow'!P27</f>
        <v>4666.5450000000001</v>
      </c>
      <c r="J36" s="731">
        <f>'Balance Sheet and Cflow'!Q27</f>
        <v>4531.3270000000002</v>
      </c>
      <c r="K36" s="731">
        <f>'Balance Sheet and Cflow'!R27</f>
        <v>5296.5649999999996</v>
      </c>
      <c r="L36" s="731">
        <f>'Balance Sheet and Cflow'!S27</f>
        <v>6022.8360000000002</v>
      </c>
      <c r="M36" s="731">
        <f>'Balance Sheet and Cflow'!T27</f>
        <v>5368.8710000000001</v>
      </c>
      <c r="N36" s="731">
        <f>'Balance Sheet and Cflow'!V27</f>
        <v>9093.4310000000005</v>
      </c>
      <c r="O36" s="731">
        <f>'Balance Sheet and Cflow'!W27</f>
        <v>9093.4310000000005</v>
      </c>
      <c r="P36" s="731">
        <f>'Balance Sheet and Cflow'!X27</f>
        <v>9093.4310000000005</v>
      </c>
      <c r="Q36" s="731">
        <f>'Balance Sheet and Cflow'!Y27</f>
        <v>9093.4310000000005</v>
      </c>
      <c r="R36" s="731">
        <f>'Balance Sheet and Cflow'!Z27</f>
        <v>9093.4310000000005</v>
      </c>
      <c r="S36" s="731">
        <f>'Balance Sheet and Cflow'!AA27</f>
        <v>9093.4310000000005</v>
      </c>
    </row>
    <row r="37" spans="2:19" ht="13">
      <c r="B37" s="742" t="s">
        <v>872</v>
      </c>
      <c r="D37" s="729">
        <f>D33-D34+D35+D36</f>
        <v>47017.7</v>
      </c>
      <c r="E37" s="729">
        <f t="shared" ref="E37:S37" si="7">E33-E34+E35+E36</f>
        <v>44063</v>
      </c>
      <c r="F37" s="729">
        <f t="shared" si="7"/>
        <v>44865.357000000004</v>
      </c>
      <c r="G37" s="729">
        <f t="shared" si="7"/>
        <v>44458.634999999995</v>
      </c>
      <c r="H37" s="729">
        <f t="shared" si="7"/>
        <v>48891.562000000005</v>
      </c>
      <c r="I37" s="729">
        <f t="shared" si="7"/>
        <v>55129.767999999989</v>
      </c>
      <c r="J37" s="729">
        <f t="shared" si="7"/>
        <v>58075.773000000001</v>
      </c>
      <c r="K37" s="729">
        <f t="shared" si="7"/>
        <v>71846.038</v>
      </c>
      <c r="L37" s="729">
        <f t="shared" si="7"/>
        <v>74422.790000000008</v>
      </c>
      <c r="M37" s="729">
        <f t="shared" si="7"/>
        <v>74252.096999999994</v>
      </c>
      <c r="N37" s="729">
        <f t="shared" si="7"/>
        <v>90486.166950763538</v>
      </c>
      <c r="O37" s="729">
        <f t="shared" si="7"/>
        <v>88364.748727513259</v>
      </c>
      <c r="P37" s="729">
        <f t="shared" si="7"/>
        <v>86819.101502703168</v>
      </c>
      <c r="Q37" s="729">
        <f t="shared" si="7"/>
        <v>86192.859984776922</v>
      </c>
      <c r="R37" s="729">
        <f t="shared" si="7"/>
        <v>86306.597756321426</v>
      </c>
      <c r="S37" s="729">
        <f t="shared" si="7"/>
        <v>87302.165957386387</v>
      </c>
    </row>
    <row r="39" spans="2:19" ht="13">
      <c r="B39" s="722" t="s">
        <v>959</v>
      </c>
    </row>
    <row r="41" spans="2:19" ht="13">
      <c r="B41" s="722" t="s">
        <v>960</v>
      </c>
    </row>
    <row r="42" spans="2:19" ht="13">
      <c r="B42" s="744" t="s">
        <v>123</v>
      </c>
      <c r="D42" s="731">
        <f>'Balance Sheet and Cflow'!K21</f>
        <v>58843.7</v>
      </c>
      <c r="E42" s="731">
        <f>'Balance Sheet and Cflow'!L21</f>
        <v>54895</v>
      </c>
      <c r="F42" s="731">
        <f>'Balance Sheet and Cflow'!M21</f>
        <v>56321.357000000004</v>
      </c>
      <c r="G42" s="731">
        <f>'Balance Sheet and Cflow'!N21</f>
        <v>57613.953999999991</v>
      </c>
      <c r="H42" s="731">
        <f>'Balance Sheet and Cflow'!O21</f>
        <v>62725.242000000006</v>
      </c>
      <c r="I42" s="731">
        <f>'Balance Sheet and Cflow'!P21</f>
        <v>67744.546999999991</v>
      </c>
      <c r="J42" s="731">
        <f>'Balance Sheet and Cflow'!Q21</f>
        <v>72753.282000000007</v>
      </c>
      <c r="K42" s="731">
        <f>'Balance Sheet and Cflow'!R21</f>
        <v>87277.78</v>
      </c>
      <c r="L42" s="731">
        <f>'Balance Sheet and Cflow'!S21</f>
        <v>87688.084000000003</v>
      </c>
      <c r="M42" s="731">
        <f>'Balance Sheet and Cflow'!T21</f>
        <v>86178.564999999988</v>
      </c>
      <c r="N42" s="731">
        <f>'Balance Sheet and Cflow'!V21</f>
        <v>104192.7428359106</v>
      </c>
      <c r="O42" s="731">
        <f>'Balance Sheet and Cflow'!W21</f>
        <v>103130.1203048384</v>
      </c>
      <c r="P42" s="731">
        <f>'Balance Sheet and Cflow'!X21</f>
        <v>102038.45687563048</v>
      </c>
      <c r="Q42" s="731">
        <f>'Balance Sheet and Cflow'!Y21</f>
        <v>101885.340088417</v>
      </c>
      <c r="R42" s="731">
        <f>'Balance Sheet and Cflow'!Z21</f>
        <v>102492.14905721018</v>
      </c>
      <c r="S42" s="731">
        <f>'Balance Sheet and Cflow'!AA21</f>
        <v>104001.57466150133</v>
      </c>
    </row>
    <row r="43" spans="2:19" ht="13">
      <c r="B43" s="744" t="s">
        <v>964</v>
      </c>
      <c r="D43" s="731">
        <f>-'Balance Sheet and Cflow'!K29</f>
        <v>-15748</v>
      </c>
      <c r="E43" s="731">
        <f>-'Balance Sheet and Cflow'!L29</f>
        <v>-14477</v>
      </c>
      <c r="F43" s="731">
        <f>-'Balance Sheet and Cflow'!M29</f>
        <v>-15227</v>
      </c>
      <c r="G43" s="731">
        <f>-'Balance Sheet and Cflow'!N29</f>
        <v>-15733.294</v>
      </c>
      <c r="H43" s="731">
        <f>-'Balance Sheet and Cflow'!O29</f>
        <v>-21292.684000000001</v>
      </c>
      <c r="I43" s="731">
        <f>-'Balance Sheet and Cflow'!P29</f>
        <v>-18857.026000000002</v>
      </c>
      <c r="J43" s="731">
        <f>-'Balance Sheet and Cflow'!Q29</f>
        <v>-20953.920999999998</v>
      </c>
      <c r="K43" s="731">
        <f>-'Balance Sheet and Cflow'!R29</f>
        <v>-26350.5</v>
      </c>
      <c r="L43" s="731">
        <f>-'Balance Sheet and Cflow'!S29</f>
        <v>-20141.984</v>
      </c>
      <c r="M43" s="731">
        <f>-'Balance Sheet and Cflow'!T29</f>
        <v>-21016.638999999999</v>
      </c>
      <c r="N43" s="731">
        <f>-'Balance Sheet and Cflow'!V29</f>
        <v>-27718.732885147048</v>
      </c>
      <c r="O43" s="731">
        <f>-'Balance Sheet and Cflow'!W29</f>
        <v>-28777.528577325145</v>
      </c>
      <c r="P43" s="731">
        <f>-'Balance Sheet and Cflow'!X29</f>
        <v>-29231.512372927311</v>
      </c>
      <c r="Q43" s="731">
        <f>-'Balance Sheet and Cflow'!Y29</f>
        <v>-29704.637103640071</v>
      </c>
      <c r="R43" s="731">
        <f>-'Balance Sheet and Cflow'!Z29</f>
        <v>-30197.708300888746</v>
      </c>
      <c r="S43" s="731">
        <f>-'Balance Sheet and Cflow'!AA29</f>
        <v>-30711.565704114942</v>
      </c>
    </row>
    <row r="44" spans="2:19" ht="13">
      <c r="B44" s="744" t="s">
        <v>735</v>
      </c>
      <c r="D44" s="731">
        <f>'Balance Sheet and Cflow'!K26</f>
        <v>3922</v>
      </c>
      <c r="E44" s="731">
        <f>'Balance Sheet and Cflow'!L26</f>
        <v>3645</v>
      </c>
      <c r="F44" s="731">
        <f>'Balance Sheet and Cflow'!M26</f>
        <v>3771</v>
      </c>
      <c r="G44" s="731">
        <f>'Balance Sheet and Cflow'!N26</f>
        <v>1329.0160000000001</v>
      </c>
      <c r="H44" s="731">
        <f>'Balance Sheet and Cflow'!O26</f>
        <v>5461.5159999999996</v>
      </c>
      <c r="I44" s="731">
        <f>'Balance Sheet and Cflow'!P26</f>
        <v>1575.702</v>
      </c>
      <c r="J44" s="731">
        <f>'Balance Sheet and Cflow'!Q26</f>
        <v>1745.0849999999998</v>
      </c>
      <c r="K44" s="731">
        <f>'Balance Sheet and Cflow'!R26</f>
        <v>5622.1929999999993</v>
      </c>
      <c r="L44" s="731">
        <f>'Balance Sheet and Cflow'!S26</f>
        <v>853.85399999999993</v>
      </c>
      <c r="M44" s="731">
        <f>'Balance Sheet and Cflow'!T26</f>
        <v>3721.3</v>
      </c>
      <c r="N44" s="731">
        <f>'Balance Sheet and Cflow'!V26</f>
        <v>4918.7260000000006</v>
      </c>
      <c r="O44" s="731">
        <f>'Balance Sheet and Cflow'!W26</f>
        <v>4918.7260000000006</v>
      </c>
      <c r="P44" s="731">
        <f>'Balance Sheet and Cflow'!X26</f>
        <v>4918.7260000000006</v>
      </c>
      <c r="Q44" s="731">
        <f>'Balance Sheet and Cflow'!Y26</f>
        <v>4918.7260000000006</v>
      </c>
      <c r="R44" s="731">
        <f>'Balance Sheet and Cflow'!Z26</f>
        <v>4918.7260000000006</v>
      </c>
      <c r="S44" s="731">
        <f>'Balance Sheet and Cflow'!AA26</f>
        <v>4918.7260000000006</v>
      </c>
    </row>
    <row r="45" spans="2:19" ht="13">
      <c r="B45" s="744" t="s">
        <v>569</v>
      </c>
      <c r="D45" s="731">
        <f>'Balance Sheet and Cflow'!K27</f>
        <v>0</v>
      </c>
      <c r="E45" s="731">
        <f>'Balance Sheet and Cflow'!L27</f>
        <v>0</v>
      </c>
      <c r="F45" s="731">
        <f>'Balance Sheet and Cflow'!M27</f>
        <v>0</v>
      </c>
      <c r="G45" s="731">
        <f>'Balance Sheet and Cflow'!N27</f>
        <v>1248.9590000000001</v>
      </c>
      <c r="H45" s="731">
        <f>'Balance Sheet and Cflow'!O27</f>
        <v>1997.4880000000001</v>
      </c>
      <c r="I45" s="731">
        <f>'Balance Sheet and Cflow'!P27</f>
        <v>4666.5450000000001</v>
      </c>
      <c r="J45" s="731">
        <f>'Balance Sheet and Cflow'!Q27</f>
        <v>4531.3270000000002</v>
      </c>
      <c r="K45" s="731">
        <f>'Balance Sheet and Cflow'!R27</f>
        <v>5296.5649999999996</v>
      </c>
      <c r="L45" s="731">
        <f>'Balance Sheet and Cflow'!S27</f>
        <v>6022.8360000000002</v>
      </c>
      <c r="M45" s="731">
        <f>'Balance Sheet and Cflow'!T27</f>
        <v>5368.8710000000001</v>
      </c>
      <c r="N45" s="731">
        <f>'Balance Sheet and Cflow'!V27</f>
        <v>9093.4310000000005</v>
      </c>
      <c r="O45" s="731">
        <f>'Balance Sheet and Cflow'!W27</f>
        <v>9093.4310000000005</v>
      </c>
      <c r="P45" s="731">
        <f>'Balance Sheet and Cflow'!X27</f>
        <v>9093.4310000000005</v>
      </c>
      <c r="Q45" s="731">
        <f>'Balance Sheet and Cflow'!Y27</f>
        <v>9093.4310000000005</v>
      </c>
      <c r="R45" s="731">
        <f>'Balance Sheet and Cflow'!Z27</f>
        <v>9093.4310000000005</v>
      </c>
      <c r="S45" s="731">
        <f>'Balance Sheet and Cflow'!AA27</f>
        <v>9093.4310000000005</v>
      </c>
    </row>
    <row r="46" spans="2:19" ht="13">
      <c r="D46" s="729">
        <f>SUM(D42:D45)</f>
        <v>47017.7</v>
      </c>
      <c r="E46" s="729">
        <f t="shared" ref="E46:S46" si="8">SUM(E42:E45)</f>
        <v>44063</v>
      </c>
      <c r="F46" s="729">
        <f t="shared" si="8"/>
        <v>44865.357000000004</v>
      </c>
      <c r="G46" s="729">
        <f t="shared" si="8"/>
        <v>44458.634999999995</v>
      </c>
      <c r="H46" s="729">
        <f t="shared" si="8"/>
        <v>48891.562000000005</v>
      </c>
      <c r="I46" s="729">
        <f t="shared" si="8"/>
        <v>55129.767999999989</v>
      </c>
      <c r="J46" s="729">
        <f t="shared" si="8"/>
        <v>58075.773000000001</v>
      </c>
      <c r="K46" s="729">
        <f t="shared" si="8"/>
        <v>71846.038</v>
      </c>
      <c r="L46" s="729">
        <f t="shared" si="8"/>
        <v>74422.790000000008</v>
      </c>
      <c r="M46" s="729">
        <f t="shared" si="8"/>
        <v>74252.096999999994</v>
      </c>
      <c r="N46" s="729">
        <f t="shared" si="8"/>
        <v>90486.166950763538</v>
      </c>
      <c r="O46" s="729">
        <f t="shared" si="8"/>
        <v>88364.748727513259</v>
      </c>
      <c r="P46" s="729">
        <f t="shared" si="8"/>
        <v>86819.101502703168</v>
      </c>
      <c r="Q46" s="729">
        <f t="shared" si="8"/>
        <v>86192.859984776922</v>
      </c>
      <c r="R46" s="729">
        <f t="shared" si="8"/>
        <v>86306.597756321426</v>
      </c>
      <c r="S46" s="729">
        <f t="shared" si="8"/>
        <v>87302.165957386387</v>
      </c>
    </row>
    <row r="48" spans="2:19" ht="13">
      <c r="B48" s="722" t="s">
        <v>961</v>
      </c>
    </row>
    <row r="49" spans="2:19" ht="13">
      <c r="B49" s="744" t="s">
        <v>735</v>
      </c>
      <c r="D49" s="731">
        <f>'Balance Sheet and Cflow'!K26</f>
        <v>3922</v>
      </c>
      <c r="E49" s="731">
        <f>'Balance Sheet and Cflow'!L26</f>
        <v>3645</v>
      </c>
      <c r="F49" s="731">
        <f>'Balance Sheet and Cflow'!M26</f>
        <v>3771</v>
      </c>
      <c r="G49" s="731">
        <f>'Balance Sheet and Cflow'!N26</f>
        <v>1329.0160000000001</v>
      </c>
      <c r="H49" s="731">
        <f>'Balance Sheet and Cflow'!O26</f>
        <v>5461.5159999999996</v>
      </c>
      <c r="I49" s="731">
        <f>'Balance Sheet and Cflow'!P26</f>
        <v>1575.702</v>
      </c>
      <c r="J49" s="731">
        <f>'Balance Sheet and Cflow'!Q26</f>
        <v>1745.0849999999998</v>
      </c>
      <c r="K49" s="731">
        <f>'Balance Sheet and Cflow'!R26</f>
        <v>5622.1929999999993</v>
      </c>
      <c r="L49" s="731">
        <f>'Balance Sheet and Cflow'!S26</f>
        <v>853.85399999999993</v>
      </c>
      <c r="M49" s="731">
        <f>'Balance Sheet and Cflow'!T26</f>
        <v>3721.3</v>
      </c>
      <c r="N49" s="731">
        <f>'Balance Sheet and Cflow'!V26</f>
        <v>4918.7260000000006</v>
      </c>
      <c r="O49" s="731">
        <f>'Balance Sheet and Cflow'!W26</f>
        <v>4918.7260000000006</v>
      </c>
      <c r="P49" s="731">
        <f>'Balance Sheet and Cflow'!X26</f>
        <v>4918.7260000000006</v>
      </c>
      <c r="Q49" s="731">
        <f>'Balance Sheet and Cflow'!Y26</f>
        <v>4918.7260000000006</v>
      </c>
      <c r="R49" s="731">
        <f>'Balance Sheet and Cflow'!Z26</f>
        <v>4918.7260000000006</v>
      </c>
      <c r="S49" s="731">
        <f>'Balance Sheet and Cflow'!AA26</f>
        <v>4918.7260000000006</v>
      </c>
    </row>
    <row r="50" spans="2:19" ht="13">
      <c r="B50" s="744" t="s">
        <v>962</v>
      </c>
      <c r="D50" s="731">
        <f>'Balance Sheet and Cflow'!K31</f>
        <v>23031</v>
      </c>
      <c r="E50" s="731">
        <f>'Balance Sheet and Cflow'!L31</f>
        <v>11026</v>
      </c>
      <c r="F50" s="731">
        <f>'Balance Sheet and Cflow'!M31</f>
        <v>10980</v>
      </c>
      <c r="G50" s="731">
        <f>'Balance Sheet and Cflow'!N31</f>
        <v>11234.550999999999</v>
      </c>
      <c r="H50" s="731">
        <f>'Balance Sheet and Cflow'!O31</f>
        <v>7347.8149999999996</v>
      </c>
      <c r="I50" s="731">
        <f>'Balance Sheet and Cflow'!P31</f>
        <v>7772.6319999999996</v>
      </c>
      <c r="J50" s="731">
        <f>'Balance Sheet and Cflow'!Q31</f>
        <v>8527.1460000000006</v>
      </c>
      <c r="K50" s="731">
        <f>'Balance Sheet and Cflow'!R31</f>
        <v>6487.7219999999998</v>
      </c>
      <c r="L50" s="731">
        <f>'Balance Sheet and Cflow'!S31</f>
        <v>9250.7340000000004</v>
      </c>
      <c r="M50" s="731">
        <f>'Balance Sheet and Cflow'!T31</f>
        <v>8772.0760000000009</v>
      </c>
      <c r="N50" s="731">
        <f>'Balance Sheet and Cflow'!V31</f>
        <v>30375.99451852819</v>
      </c>
      <c r="O50" s="731">
        <f>'Balance Sheet and Cflow'!W31</f>
        <v>30263.511872226991</v>
      </c>
      <c r="P50" s="731">
        <f>'Balance Sheet and Cflow'!X31</f>
        <v>30481.538416537682</v>
      </c>
      <c r="Q50" s="731">
        <f>'Balance Sheet and Cflow'!Y31</f>
        <v>30664.962751183892</v>
      </c>
      <c r="R50" s="731">
        <f>'Balance Sheet and Cflow'!Z31</f>
        <v>31113.322891424694</v>
      </c>
      <c r="S50" s="731">
        <f>'Balance Sheet and Cflow'!AA31</f>
        <v>32013.385594825566</v>
      </c>
    </row>
    <row r="51" spans="2:19" ht="13">
      <c r="B51" s="744" t="s">
        <v>569</v>
      </c>
      <c r="D51" s="731">
        <f>'Balance Sheet and Cflow'!K27</f>
        <v>0</v>
      </c>
      <c r="E51" s="731">
        <f>'Balance Sheet and Cflow'!L27</f>
        <v>0</v>
      </c>
      <c r="F51" s="731">
        <f>'Balance Sheet and Cflow'!M27</f>
        <v>0</v>
      </c>
      <c r="G51" s="731">
        <f>'Balance Sheet and Cflow'!N27</f>
        <v>1248.9590000000001</v>
      </c>
      <c r="H51" s="731">
        <f>'Balance Sheet and Cflow'!O27</f>
        <v>1997.4880000000001</v>
      </c>
      <c r="I51" s="731">
        <f>'Balance Sheet and Cflow'!P27</f>
        <v>4666.5450000000001</v>
      </c>
      <c r="J51" s="731">
        <f>'Balance Sheet and Cflow'!Q27</f>
        <v>4531.3270000000002</v>
      </c>
      <c r="K51" s="731">
        <f>'Balance Sheet and Cflow'!R27</f>
        <v>5296.5649999999996</v>
      </c>
      <c r="L51" s="731">
        <f>'Balance Sheet and Cflow'!S27</f>
        <v>6022.8360000000002</v>
      </c>
      <c r="M51" s="731">
        <f>'Balance Sheet and Cflow'!T27</f>
        <v>5368.8710000000001</v>
      </c>
      <c r="N51" s="731">
        <f>'Balance Sheet and Cflow'!V27</f>
        <v>9093.4310000000005</v>
      </c>
      <c r="O51" s="731">
        <f>'Balance Sheet and Cflow'!W27</f>
        <v>9093.4310000000005</v>
      </c>
      <c r="P51" s="731">
        <f>'Balance Sheet and Cflow'!X27</f>
        <v>9093.4310000000005</v>
      </c>
      <c r="Q51" s="731">
        <f>'Balance Sheet and Cflow'!Y27</f>
        <v>9093.4310000000005</v>
      </c>
      <c r="R51" s="731">
        <f>'Balance Sheet and Cflow'!Z27</f>
        <v>9093.4310000000005</v>
      </c>
      <c r="S51" s="731">
        <f>'Balance Sheet and Cflow'!AA27</f>
        <v>9093.4310000000005</v>
      </c>
    </row>
    <row r="52" spans="2:19" ht="13">
      <c r="B52" s="744" t="s">
        <v>570</v>
      </c>
      <c r="D52" s="731">
        <f>'Balance Sheet and Cflow'!K32</f>
        <v>0</v>
      </c>
      <c r="E52" s="731">
        <f>'Balance Sheet and Cflow'!L32</f>
        <v>0</v>
      </c>
      <c r="F52" s="731">
        <f>'Balance Sheet and Cflow'!M32</f>
        <v>0</v>
      </c>
      <c r="G52" s="731">
        <f>'Balance Sheet and Cflow'!N32</f>
        <v>9258.3320000000003</v>
      </c>
      <c r="H52" s="731">
        <f>'Balance Sheet and Cflow'!O32</f>
        <v>12122.37</v>
      </c>
      <c r="I52" s="731">
        <f>'Balance Sheet and Cflow'!P32</f>
        <v>19613.02</v>
      </c>
      <c r="J52" s="731">
        <f>'Balance Sheet and Cflow'!Q32</f>
        <v>20845.080000000002</v>
      </c>
      <c r="K52" s="731">
        <f>'Balance Sheet and Cflow'!R32</f>
        <v>26553.293000000001</v>
      </c>
      <c r="L52" s="731">
        <f>'Balance Sheet and Cflow'!S32</f>
        <v>29790.61</v>
      </c>
      <c r="M52" s="731">
        <f>'Balance Sheet and Cflow'!T32</f>
        <v>28225.767</v>
      </c>
      <c r="N52" s="731">
        <f>'Balance Sheet and Cflow'!V32</f>
        <v>28609.707758514131</v>
      </c>
      <c r="O52" s="731">
        <f>'Balance Sheet and Cflow'!W32</f>
        <v>25864.451492868262</v>
      </c>
      <c r="P52" s="731">
        <f>'Balance Sheet and Cflow'!X32</f>
        <v>22999.512458579458</v>
      </c>
      <c r="Q52" s="731">
        <f>'Balance Sheet and Cflow'!Y32</f>
        <v>20009.844572217778</v>
      </c>
      <c r="R52" s="731">
        <f>'Balance Sheet and Cflow'!Z32</f>
        <v>16890.189389841413</v>
      </c>
      <c r="S52" s="731">
        <f>'Balance Sheet and Cflow'!AA32</f>
        <v>13635.067088811164</v>
      </c>
    </row>
    <row r="53" spans="2:19" ht="13">
      <c r="B53" s="744" t="s">
        <v>963</v>
      </c>
      <c r="D53" s="731">
        <f>'Balance Sheet and Cflow'!K33+'Balance Sheet and Cflow'!K34</f>
        <v>5973</v>
      </c>
      <c r="E53" s="731">
        <f>'Balance Sheet and Cflow'!L33+'Balance Sheet and Cflow'!L34</f>
        <v>8185.5</v>
      </c>
      <c r="F53" s="731">
        <f>'Balance Sheet and Cflow'!M33+'Balance Sheet and Cflow'!M34</f>
        <v>8484</v>
      </c>
      <c r="G53" s="731">
        <f>'Balance Sheet and Cflow'!N33+'Balance Sheet and Cflow'!N34</f>
        <v>3044.6790000000019</v>
      </c>
      <c r="H53" s="731">
        <f>'Balance Sheet and Cflow'!O33+'Balance Sheet and Cflow'!O34</f>
        <v>2840.4070000000011</v>
      </c>
      <c r="I53" s="731">
        <f>'Balance Sheet and Cflow'!P33+'Balance Sheet and Cflow'!P34</f>
        <v>2364.7530000000006</v>
      </c>
      <c r="J53" s="731">
        <f>'Balance Sheet and Cflow'!Q33+'Balance Sheet and Cflow'!Q34</f>
        <v>2338.3899999999994</v>
      </c>
      <c r="K53" s="731">
        <f>'Balance Sheet and Cflow'!R33+'Balance Sheet and Cflow'!R34</f>
        <v>2112.0389999999934</v>
      </c>
      <c r="L53" s="731">
        <f>'Balance Sheet and Cflow'!S33+'Balance Sheet and Cflow'!S34</f>
        <v>1999.9799999999996</v>
      </c>
      <c r="M53" s="731">
        <f>'Balance Sheet and Cflow'!T33+'Balance Sheet and Cflow'!T34</f>
        <v>1941.7109999999957</v>
      </c>
      <c r="N53" s="731">
        <f>'Balance Sheet and Cflow'!V33+'Balance Sheet and Cflow'!V34</f>
        <v>1941.7109999999957</v>
      </c>
      <c r="O53" s="731">
        <f>'Balance Sheet and Cflow'!W33+'Balance Sheet and Cflow'!W34</f>
        <v>1941.7109999999957</v>
      </c>
      <c r="P53" s="731">
        <f>'Balance Sheet and Cflow'!X33+'Balance Sheet and Cflow'!X34</f>
        <v>1941.7109999999957</v>
      </c>
      <c r="Q53" s="731">
        <f>'Balance Sheet and Cflow'!Y33+'Balance Sheet and Cflow'!Y34</f>
        <v>1941.7109999999957</v>
      </c>
      <c r="R53" s="731">
        <f>'Balance Sheet and Cflow'!Z33+'Balance Sheet and Cflow'!Z34</f>
        <v>1941.7109999999957</v>
      </c>
      <c r="S53" s="731">
        <f>'Balance Sheet and Cflow'!AA33+'Balance Sheet and Cflow'!AA34</f>
        <v>1941.7109999999957</v>
      </c>
    </row>
    <row r="54" spans="2:19" ht="13">
      <c r="B54" s="744" t="s">
        <v>609</v>
      </c>
      <c r="D54" s="731">
        <f>'Balance Sheet and Cflow'!K40</f>
        <v>14092.1</v>
      </c>
      <c r="E54" s="731">
        <f>'Balance Sheet and Cflow'!L40</f>
        <v>21206.799999999999</v>
      </c>
      <c r="F54" s="731">
        <f>'Balance Sheet and Cflow'!M40</f>
        <v>21630.799999999999</v>
      </c>
      <c r="G54" s="731">
        <f>'Balance Sheet and Cflow'!N40</f>
        <v>18343.097999999998</v>
      </c>
      <c r="H54" s="731">
        <f>'Balance Sheet and Cflow'!O40</f>
        <v>19121.965999999997</v>
      </c>
      <c r="I54" s="731">
        <f>'Balance Sheet and Cflow'!P40</f>
        <v>19137.365999999998</v>
      </c>
      <c r="J54" s="731">
        <f>'Balance Sheet and Cflow'!Q40</f>
        <v>20088.745000000003</v>
      </c>
      <c r="K54" s="731">
        <f>'Balance Sheet and Cflow'!R40</f>
        <v>25774.225999999999</v>
      </c>
      <c r="L54" s="731">
        <f>'Balance Sheet and Cflow'!S40</f>
        <v>26504.775999999998</v>
      </c>
      <c r="M54" s="731">
        <f>'Balance Sheet and Cflow'!T40</f>
        <v>26222.371999999999</v>
      </c>
      <c r="N54" s="731">
        <f>'Balance Sheet and Cflow'!V40</f>
        <v>23938.138673721245</v>
      </c>
      <c r="O54" s="731">
        <f>'Balance Sheet and Cflow'!W40</f>
        <v>24674.459362418023</v>
      </c>
      <c r="P54" s="731">
        <f>'Balance Sheet and Cflow'!X40</f>
        <v>25775.724627586042</v>
      </c>
      <c r="Q54" s="731">
        <f>'Balance Sheet and Cflow'!Y40</f>
        <v>27955.726661375284</v>
      </c>
      <c r="R54" s="731">
        <f>'Balance Sheet and Cflow'!Z40</f>
        <v>30740.759475055344</v>
      </c>
      <c r="S54" s="731">
        <f>'Balance Sheet and Cflow'!AA40</f>
        <v>34091.387273749693</v>
      </c>
    </row>
    <row r="55" spans="2:19" ht="13">
      <c r="D55" s="729">
        <f>SUM(D49:D54)</f>
        <v>47018.1</v>
      </c>
      <c r="E55" s="729">
        <f t="shared" ref="E55:S55" si="9">SUM(E49:E54)</f>
        <v>44063.3</v>
      </c>
      <c r="F55" s="729">
        <f t="shared" si="9"/>
        <v>44865.8</v>
      </c>
      <c r="G55" s="729">
        <f t="shared" si="9"/>
        <v>44458.635000000002</v>
      </c>
      <c r="H55" s="729">
        <f t="shared" si="9"/>
        <v>48891.561999999991</v>
      </c>
      <c r="I55" s="729">
        <f t="shared" si="9"/>
        <v>55130.017999999996</v>
      </c>
      <c r="J55" s="729">
        <f t="shared" si="9"/>
        <v>58075.773000000008</v>
      </c>
      <c r="K55" s="729">
        <f t="shared" si="9"/>
        <v>71846.037999999986</v>
      </c>
      <c r="L55" s="729">
        <f t="shared" si="9"/>
        <v>74422.789999999994</v>
      </c>
      <c r="M55" s="729">
        <f t="shared" si="9"/>
        <v>74252.096999999994</v>
      </c>
      <c r="N55" s="729">
        <f t="shared" si="9"/>
        <v>98877.708950763568</v>
      </c>
      <c r="O55" s="729">
        <f t="shared" si="9"/>
        <v>96756.290727513275</v>
      </c>
      <c r="P55" s="729">
        <f t="shared" si="9"/>
        <v>95210.643502703169</v>
      </c>
      <c r="Q55" s="729">
        <f t="shared" si="9"/>
        <v>94584.401984776952</v>
      </c>
      <c r="R55" s="729">
        <f t="shared" si="9"/>
        <v>94698.139756321441</v>
      </c>
      <c r="S55" s="729">
        <f t="shared" si="9"/>
        <v>95693.707957386418</v>
      </c>
    </row>
    <row r="57" spans="2:19">
      <c r="M57" s="720">
        <f>M29*(1-0.22)/M37</f>
        <v>6.0976576863546371E-2</v>
      </c>
      <c r="N57" s="720">
        <f t="shared" ref="N57:S57" si="10">N29*(1-0.22)/N37</f>
        <v>1.7968225720207842E-2</v>
      </c>
      <c r="O57" s="720">
        <f t="shared" si="10"/>
        <v>4.4752944438293009E-2</v>
      </c>
      <c r="P57" s="720">
        <f t="shared" si="10"/>
        <v>6.9258641675031554E-2</v>
      </c>
      <c r="Q57" s="720">
        <f t="shared" si="10"/>
        <v>9.3762312145368829E-2</v>
      </c>
      <c r="R57" s="720">
        <f t="shared" si="10"/>
        <v>0.10639165756671622</v>
      </c>
      <c r="S57" s="720">
        <f t="shared" si="10"/>
        <v>0.11686591313523079</v>
      </c>
    </row>
    <row r="59" spans="2:19">
      <c r="G59" s="736">
        <f>G33-F33</f>
        <v>1292.596999999987</v>
      </c>
      <c r="H59" s="736">
        <f t="shared" ref="H59:M59" si="11">H33-G33</f>
        <v>5111.288000000015</v>
      </c>
      <c r="I59" s="736">
        <f t="shared" si="11"/>
        <v>5019.3049999999857</v>
      </c>
      <c r="J59" s="736">
        <f t="shared" si="11"/>
        <v>5008.7350000000151</v>
      </c>
      <c r="K59" s="736">
        <f t="shared" si="11"/>
        <v>14524.497999999992</v>
      </c>
      <c r="L59" s="736">
        <f t="shared" si="11"/>
        <v>410.30400000000373</v>
      </c>
      <c r="M59" s="736">
        <f t="shared" si="11"/>
        <v>-1509.5190000000148</v>
      </c>
      <c r="N59" s="736">
        <f t="shared" ref="N59:S59" si="12">N33-M33</f>
        <v>18014.17783591061</v>
      </c>
      <c r="O59" s="736">
        <f t="shared" si="12"/>
        <v>-1062.6225310721929</v>
      </c>
      <c r="P59" s="736">
        <f t="shared" si="12"/>
        <v>-1091.6634292079252</v>
      </c>
      <c r="Q59" s="736">
        <f t="shared" si="12"/>
        <v>-153.11678721348289</v>
      </c>
      <c r="R59" s="736">
        <f t="shared" si="12"/>
        <v>606.80896879317879</v>
      </c>
      <c r="S59" s="736">
        <f t="shared" si="12"/>
        <v>1509.4256042911584</v>
      </c>
    </row>
    <row r="60" spans="2:19">
      <c r="G60" s="736">
        <f t="shared" ref="G60:S60" si="13">G34-F34</f>
        <v>506.29399999999987</v>
      </c>
      <c r="H60" s="736">
        <f t="shared" si="13"/>
        <v>5559.3900000000012</v>
      </c>
      <c r="I60" s="736">
        <f t="shared" si="13"/>
        <v>-2435.6579999999994</v>
      </c>
      <c r="J60" s="736">
        <f t="shared" si="13"/>
        <v>2096.8949999999968</v>
      </c>
      <c r="K60" s="736">
        <f t="shared" si="13"/>
        <v>5396.5790000000015</v>
      </c>
      <c r="L60" s="736">
        <f t="shared" si="13"/>
        <v>-6208.5159999999996</v>
      </c>
      <c r="M60" s="736">
        <f t="shared" si="13"/>
        <v>874.65499999999884</v>
      </c>
      <c r="N60" s="736">
        <f t="shared" si="13"/>
        <v>6702.0938851470491</v>
      </c>
      <c r="O60" s="736">
        <f t="shared" si="13"/>
        <v>1058.7956921780969</v>
      </c>
      <c r="P60" s="736">
        <f t="shared" si="13"/>
        <v>453.98379560216563</v>
      </c>
      <c r="Q60" s="736">
        <f t="shared" si="13"/>
        <v>473.12473071275963</v>
      </c>
      <c r="R60" s="736">
        <f t="shared" si="13"/>
        <v>493.07119724867516</v>
      </c>
      <c r="S60" s="736">
        <f t="shared" si="13"/>
        <v>513.85740322619677</v>
      </c>
    </row>
    <row r="61" spans="2:19">
      <c r="G61" s="736">
        <f t="shared" ref="G61:S61" si="14">G35-F35</f>
        <v>-2441.9839999999999</v>
      </c>
      <c r="H61" s="736">
        <f t="shared" si="14"/>
        <v>4132.5</v>
      </c>
      <c r="I61" s="736">
        <f t="shared" si="14"/>
        <v>-3885.8139999999994</v>
      </c>
      <c r="J61" s="736">
        <f t="shared" si="14"/>
        <v>169.38299999999981</v>
      </c>
      <c r="K61" s="736">
        <f t="shared" si="14"/>
        <v>3877.1079999999993</v>
      </c>
      <c r="L61" s="736">
        <f t="shared" si="14"/>
        <v>-4768.338999999999</v>
      </c>
      <c r="M61" s="736">
        <f t="shared" si="14"/>
        <v>2867.4460000000004</v>
      </c>
      <c r="N61" s="736">
        <f t="shared" si="14"/>
        <v>1197.4260000000004</v>
      </c>
      <c r="O61" s="736">
        <f t="shared" si="14"/>
        <v>0</v>
      </c>
      <c r="P61" s="736">
        <f t="shared" si="14"/>
        <v>0</v>
      </c>
      <c r="Q61" s="736">
        <f t="shared" si="14"/>
        <v>0</v>
      </c>
      <c r="R61" s="736">
        <f t="shared" si="14"/>
        <v>0</v>
      </c>
      <c r="S61" s="736">
        <f t="shared" si="14"/>
        <v>0</v>
      </c>
    </row>
    <row r="62" spans="2:19">
      <c r="G62" s="736">
        <f t="shared" ref="G62:S62" si="15">G36-F36</f>
        <v>1248.9590000000001</v>
      </c>
      <c r="H62" s="736">
        <f t="shared" si="15"/>
        <v>748.529</v>
      </c>
      <c r="I62" s="736">
        <f t="shared" si="15"/>
        <v>2669.0569999999998</v>
      </c>
      <c r="J62" s="736">
        <f t="shared" si="15"/>
        <v>-135.21799999999985</v>
      </c>
      <c r="K62" s="736">
        <f t="shared" si="15"/>
        <v>765.23799999999937</v>
      </c>
      <c r="L62" s="736">
        <f t="shared" si="15"/>
        <v>726.27100000000064</v>
      </c>
      <c r="M62" s="736">
        <f t="shared" si="15"/>
        <v>-653.96500000000015</v>
      </c>
      <c r="N62" s="736">
        <f t="shared" si="15"/>
        <v>3724.5600000000004</v>
      </c>
      <c r="O62" s="736">
        <f t="shared" si="15"/>
        <v>0</v>
      </c>
      <c r="P62" s="736">
        <f t="shared" si="15"/>
        <v>0</v>
      </c>
      <c r="Q62" s="736">
        <f t="shared" si="15"/>
        <v>0</v>
      </c>
      <c r="R62" s="736">
        <f t="shared" si="15"/>
        <v>0</v>
      </c>
      <c r="S62" s="736">
        <f t="shared" si="15"/>
        <v>0</v>
      </c>
    </row>
    <row r="64" spans="2:19">
      <c r="E64" s="720">
        <f>E29*(1-0.22)/E37</f>
        <v>1.9472119465311033E-4</v>
      </c>
      <c r="F64" s="720">
        <f t="shared" ref="F64:M64" si="16">F29*(1-0.22)/F37</f>
        <v>2.3817931505593505E-2</v>
      </c>
      <c r="G64" s="720">
        <f t="shared" si="16"/>
        <v>-5.4527989894426594E-2</v>
      </c>
      <c r="H64" s="720">
        <f t="shared" si="16"/>
        <v>4.152741121259329E-2</v>
      </c>
      <c r="I64" s="720">
        <f t="shared" si="16"/>
        <v>3.7239886443926271E-2</v>
      </c>
      <c r="J64" s="720">
        <f t="shared" si="16"/>
        <v>4.4734711322740366E-2</v>
      </c>
      <c r="K64" s="720">
        <f t="shared" si="16"/>
        <v>3.9851176205429731E-2</v>
      </c>
      <c r="L64" s="720">
        <f t="shared" si="16"/>
        <v>4.7553293285564811E-2</v>
      </c>
      <c r="M64" s="720">
        <f t="shared" si="16"/>
        <v>6.0976576863546371E-2</v>
      </c>
      <c r="N64" s="720">
        <f t="shared" ref="N64:S64" si="17">N29*(1-0.22)/N37</f>
        <v>1.7968225720207842E-2</v>
      </c>
      <c r="O64" s="720">
        <f t="shared" si="17"/>
        <v>4.4752944438293009E-2</v>
      </c>
      <c r="P64" s="720">
        <f t="shared" si="17"/>
        <v>6.9258641675031554E-2</v>
      </c>
      <c r="Q64" s="720">
        <f t="shared" si="17"/>
        <v>9.3762312145368829E-2</v>
      </c>
      <c r="R64" s="720">
        <f t="shared" si="17"/>
        <v>0.10639165756671622</v>
      </c>
      <c r="S64" s="720">
        <f t="shared" si="17"/>
        <v>0.11686591313523079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2"/>
  </sheetPr>
  <dimension ref="A1:DI86"/>
  <sheetViews>
    <sheetView zoomScale="85" zoomScaleNormal="85" workbookViewId="0">
      <pane xSplit="1" ySplit="2" topLeftCell="BK3" activePane="bottomRight" state="frozen"/>
      <selection pane="topRight" activeCell="B1" sqref="B1"/>
      <selection pane="bottomLeft" activeCell="A3" sqref="A3"/>
      <selection pane="bottomRight" activeCell="BZ7" sqref="BZ7"/>
    </sheetView>
  </sheetViews>
  <sheetFormatPr defaultRowHeight="14.5" outlineLevelCol="1"/>
  <cols>
    <col min="1" max="1" width="30.36328125" bestFit="1" customWidth="1"/>
    <col min="3" max="7" width="8.81640625" customWidth="1" outlineLevel="1"/>
    <col min="8" max="13" width="9.81640625" customWidth="1" outlineLevel="1"/>
    <col min="14" max="14" width="9.36328125" customWidth="1" outlineLevel="1"/>
    <col min="15" max="23" width="9.81640625" customWidth="1" outlineLevel="1"/>
    <col min="24" max="44" width="10.1796875" customWidth="1" outlineLevel="1"/>
    <col min="45" max="45" width="10.81640625" customWidth="1" outlineLevel="1"/>
    <col min="46" max="46" width="10.36328125" customWidth="1" outlineLevel="1"/>
    <col min="47" max="47" width="9.81640625" customWidth="1" outlineLevel="1"/>
    <col min="48" max="48" width="8.81640625" customWidth="1" outlineLevel="1"/>
    <col min="49" max="49" width="9.81640625" customWidth="1" outlineLevel="1"/>
    <col min="50" max="50" width="10.08984375" customWidth="1" outlineLevel="1"/>
    <col min="51" max="54" width="10.81640625" customWidth="1" outlineLevel="1"/>
    <col min="55" max="58" width="10.6328125" customWidth="1" outlineLevel="1"/>
    <col min="59" max="62" width="10.36328125" customWidth="1" outlineLevel="1"/>
    <col min="63" max="77" width="9.81640625" customWidth="1" outlineLevel="1"/>
    <col min="79" max="79" width="32.1796875" bestFit="1" customWidth="1"/>
    <col min="98" max="99" width="8.81640625" bestFit="1" customWidth="1"/>
    <col min="100" max="105" width="9.81640625" bestFit="1" customWidth="1"/>
    <col min="106" max="113" width="10.81640625" bestFit="1" customWidth="1"/>
  </cols>
  <sheetData>
    <row r="1" spans="1:113">
      <c r="A1" s="314" t="s">
        <v>524</v>
      </c>
      <c r="B1" s="314"/>
      <c r="C1" s="315" t="str">
        <f t="shared" ref="C1:BN1" si="0">IF(MONTH(C$2)=3,"Q1"&amp;" "&amp;RIGHT(YEAR(C$2),2),IF(MONTH(C$2)=6,"Q2"&amp;" "&amp;RIGHT(YEAR(C$2),2),IF(MONTH(C$2)=9,"Q3"&amp;" "&amp;RIGHT(YEAR(C$2),2),IF(MONTH(C$2)=12,"Q4"&amp;" "&amp;RIGHT(YEAR(C$2),2),"nm"))))</f>
        <v>Q1 07</v>
      </c>
      <c r="D1" s="315" t="str">
        <f t="shared" si="0"/>
        <v>Q2 07</v>
      </c>
      <c r="E1" s="315" t="str">
        <f t="shared" si="0"/>
        <v>Q3 07</v>
      </c>
      <c r="F1" s="315" t="str">
        <f t="shared" si="0"/>
        <v>Q4 07</v>
      </c>
      <c r="G1" s="315" t="str">
        <f t="shared" si="0"/>
        <v>Q1 08</v>
      </c>
      <c r="H1" s="315" t="str">
        <f t="shared" si="0"/>
        <v>Q2 08</v>
      </c>
      <c r="I1" s="315" t="str">
        <f t="shared" si="0"/>
        <v>Q3 08</v>
      </c>
      <c r="J1" s="315" t="str">
        <f t="shared" si="0"/>
        <v>Q4 08</v>
      </c>
      <c r="K1" s="315" t="str">
        <f t="shared" si="0"/>
        <v>Q1 09</v>
      </c>
      <c r="L1" s="315" t="str">
        <f t="shared" si="0"/>
        <v>Q2 09</v>
      </c>
      <c r="M1" s="315" t="str">
        <f t="shared" si="0"/>
        <v>Q3 09</v>
      </c>
      <c r="N1" s="315" t="str">
        <f t="shared" si="0"/>
        <v>Q4 09</v>
      </c>
      <c r="O1" s="315" t="str">
        <f t="shared" si="0"/>
        <v>Q1 10</v>
      </c>
      <c r="P1" s="315" t="str">
        <f t="shared" si="0"/>
        <v>Q2 10</v>
      </c>
      <c r="Q1" s="315" t="str">
        <f t="shared" si="0"/>
        <v>Q3 10</v>
      </c>
      <c r="R1" s="315" t="str">
        <f t="shared" si="0"/>
        <v>Q4 10</v>
      </c>
      <c r="S1" s="315" t="str">
        <f t="shared" si="0"/>
        <v>Q1 11</v>
      </c>
      <c r="T1" s="315" t="str">
        <f t="shared" si="0"/>
        <v>Q2 11</v>
      </c>
      <c r="U1" s="315" t="str">
        <f t="shared" si="0"/>
        <v>Q3 11</v>
      </c>
      <c r="V1" s="315" t="str">
        <f t="shared" si="0"/>
        <v>Q4 11</v>
      </c>
      <c r="W1" s="315" t="str">
        <f t="shared" si="0"/>
        <v>Q1 12</v>
      </c>
      <c r="X1" s="315" t="str">
        <f t="shared" si="0"/>
        <v>Q2 12</v>
      </c>
      <c r="Y1" s="315" t="str">
        <f t="shared" si="0"/>
        <v>Q3 12</v>
      </c>
      <c r="Z1" s="315" t="str">
        <f t="shared" si="0"/>
        <v>Q4 12</v>
      </c>
      <c r="AA1" s="315" t="str">
        <f t="shared" si="0"/>
        <v>Q1 13</v>
      </c>
      <c r="AB1" s="315" t="str">
        <f t="shared" si="0"/>
        <v>Q2 13</v>
      </c>
      <c r="AC1" s="315" t="str">
        <f t="shared" si="0"/>
        <v>Q3 13</v>
      </c>
      <c r="AD1" s="315" t="str">
        <f t="shared" si="0"/>
        <v>Q4 13</v>
      </c>
      <c r="AE1" s="315" t="str">
        <f t="shared" si="0"/>
        <v>Q1 14</v>
      </c>
      <c r="AF1" s="315" t="str">
        <f t="shared" si="0"/>
        <v>Q2 14</v>
      </c>
      <c r="AG1" s="315" t="str">
        <f t="shared" si="0"/>
        <v>Q3 14</v>
      </c>
      <c r="AH1" s="315" t="str">
        <f t="shared" si="0"/>
        <v>Q4 14</v>
      </c>
      <c r="AI1" s="315" t="str">
        <f t="shared" si="0"/>
        <v>Q1 15</v>
      </c>
      <c r="AJ1" s="315" t="str">
        <f t="shared" si="0"/>
        <v>Q2 15</v>
      </c>
      <c r="AK1" s="315" t="str">
        <f t="shared" si="0"/>
        <v>Q3 15</v>
      </c>
      <c r="AL1" s="315" t="str">
        <f t="shared" si="0"/>
        <v>Q4 15</v>
      </c>
      <c r="AM1" s="315" t="str">
        <f t="shared" si="0"/>
        <v>Q1 16</v>
      </c>
      <c r="AN1" s="315" t="str">
        <f t="shared" si="0"/>
        <v>Q2 16</v>
      </c>
      <c r="AO1" s="315" t="str">
        <f t="shared" si="0"/>
        <v>Q3 16</v>
      </c>
      <c r="AP1" s="315" t="str">
        <f t="shared" si="0"/>
        <v>Q4 16</v>
      </c>
      <c r="AQ1" s="315" t="str">
        <f t="shared" si="0"/>
        <v>Q1 17</v>
      </c>
      <c r="AR1" s="315" t="str">
        <f t="shared" si="0"/>
        <v>Q2 17</v>
      </c>
      <c r="AS1" s="315" t="str">
        <f t="shared" si="0"/>
        <v>Q3 17</v>
      </c>
      <c r="AT1" s="315" t="str">
        <f t="shared" si="0"/>
        <v>Q4 17</v>
      </c>
      <c r="AU1" s="315" t="str">
        <f t="shared" si="0"/>
        <v>Q1 18</v>
      </c>
      <c r="AV1" s="315" t="str">
        <f t="shared" si="0"/>
        <v>Q2 18</v>
      </c>
      <c r="AW1" s="315" t="str">
        <f t="shared" si="0"/>
        <v>Q3 18</v>
      </c>
      <c r="AX1" s="315" t="str">
        <f t="shared" si="0"/>
        <v>Q4 18</v>
      </c>
      <c r="AY1" s="315" t="str">
        <f t="shared" si="0"/>
        <v>Q1 19</v>
      </c>
      <c r="AZ1" s="315" t="str">
        <f t="shared" si="0"/>
        <v>Q2 19</v>
      </c>
      <c r="BA1" s="315" t="str">
        <f t="shared" si="0"/>
        <v>Q3 19</v>
      </c>
      <c r="BB1" s="315" t="str">
        <f t="shared" si="0"/>
        <v>Q4 19</v>
      </c>
      <c r="BC1" s="315" t="str">
        <f t="shared" si="0"/>
        <v>Q1 20</v>
      </c>
      <c r="BD1" s="315" t="str">
        <f t="shared" si="0"/>
        <v>Q2 20</v>
      </c>
      <c r="BE1" s="315" t="str">
        <f t="shared" si="0"/>
        <v>Q3 20</v>
      </c>
      <c r="BF1" s="315" t="str">
        <f t="shared" si="0"/>
        <v>Q4 20</v>
      </c>
      <c r="BG1" s="315" t="str">
        <f t="shared" si="0"/>
        <v>Q1 21</v>
      </c>
      <c r="BH1" s="315" t="str">
        <f t="shared" si="0"/>
        <v>Q2 21</v>
      </c>
      <c r="BI1" s="315" t="str">
        <f t="shared" si="0"/>
        <v>Q3 21</v>
      </c>
      <c r="BJ1" s="315" t="str">
        <f t="shared" si="0"/>
        <v>Q4 21</v>
      </c>
      <c r="BK1" s="315" t="str">
        <f t="shared" si="0"/>
        <v>Q1 22</v>
      </c>
      <c r="BL1" s="315" t="str">
        <f t="shared" si="0"/>
        <v>Q2 22</v>
      </c>
      <c r="BM1" s="315" t="str">
        <f t="shared" si="0"/>
        <v>Q3 22</v>
      </c>
      <c r="BN1" s="315" t="str">
        <f t="shared" si="0"/>
        <v>Q4 22</v>
      </c>
      <c r="BO1" s="315" t="str">
        <f t="shared" ref="BO1:BX1" si="1">IF(MONTH(BO$2)=3,"Q1"&amp;" "&amp;RIGHT(YEAR(BO$2),2),IF(MONTH(BO$2)=6,"Q2"&amp;" "&amp;RIGHT(YEAR(BO$2),2),IF(MONTH(BO$2)=9,"Q3"&amp;" "&amp;RIGHT(YEAR(BO$2),2),IF(MONTH(BO$2)=12,"Q4"&amp;" "&amp;RIGHT(YEAR(BO$2),2),"nm"))))</f>
        <v>Q1 23</v>
      </c>
      <c r="BP1" s="315" t="str">
        <f t="shared" si="1"/>
        <v>Q2 23</v>
      </c>
      <c r="BQ1" s="315" t="str">
        <f t="shared" si="1"/>
        <v>Q3 23</v>
      </c>
      <c r="BR1" s="315" t="str">
        <f t="shared" si="1"/>
        <v>Q4 23</v>
      </c>
      <c r="BS1" s="315" t="str">
        <f t="shared" si="1"/>
        <v>Q1 24</v>
      </c>
      <c r="BT1" s="315" t="str">
        <f t="shared" si="1"/>
        <v>Q2 24</v>
      </c>
      <c r="BU1" s="315" t="str">
        <f t="shared" si="1"/>
        <v>Q3 24</v>
      </c>
      <c r="BV1" s="315" t="str">
        <f>IF(MONTH(BV$2)=3,"Q1"&amp;" "&amp;RIGHT(YEAR(BV$2),2),IF(MONTH(BV$2)=6,"Q2"&amp;" "&amp;RIGHT(YEAR(BV$2),2),IF(MONTH(BV$2)=9,"Q3"&amp;" "&amp;RIGHT(YEAR(BV$2),2),IF(MONTH(BV$2)=12,"Q4"&amp;" "&amp;RIGHT(YEAR(BV$2),2),"nm"))))</f>
        <v>Q4 24</v>
      </c>
      <c r="BW1" s="315" t="str">
        <f t="shared" si="1"/>
        <v>Q1 25</v>
      </c>
      <c r="BX1" s="315" t="str">
        <f t="shared" si="1"/>
        <v>Q2 25</v>
      </c>
      <c r="BY1" s="1517" t="str">
        <f>IF(MONTH(BY$2)=3,"Q1"&amp;" "&amp;RIGHT(YEAR(BY$2),2),IF(MONTH(BY$2)=6,"Q2"&amp;" "&amp;RIGHT(YEAR(BY$2),2),IF(MONTH(BY$2)=9,"Q3"&amp;" "&amp;RIGHT(YEAR(BY$2),2),IF(MONTH(BY$2)=12,"Q4"&amp;" "&amp;RIGHT(YEAR(BY$2),2),"nm"))))</f>
        <v>Q3 25</v>
      </c>
      <c r="CJ1" s="265"/>
      <c r="CK1" s="265"/>
      <c r="CL1" s="258">
        <v>2007</v>
      </c>
      <c r="CM1" s="258">
        <f>CL1+1</f>
        <v>2008</v>
      </c>
      <c r="CN1" s="258">
        <f t="shared" ref="CN1:CR1" si="2">CM1+1</f>
        <v>2009</v>
      </c>
      <c r="CO1" s="258">
        <f t="shared" si="2"/>
        <v>2010</v>
      </c>
      <c r="CP1" s="258">
        <f t="shared" si="2"/>
        <v>2011</v>
      </c>
      <c r="CQ1" s="258">
        <f t="shared" si="2"/>
        <v>2012</v>
      </c>
      <c r="CR1" s="258">
        <f t="shared" si="2"/>
        <v>2013</v>
      </c>
      <c r="CS1" s="258">
        <f t="shared" ref="CS1" si="3">CR1+1</f>
        <v>2014</v>
      </c>
      <c r="CT1" s="258">
        <v>2015</v>
      </c>
      <c r="CU1" s="258">
        <f>CT1+1</f>
        <v>2016</v>
      </c>
      <c r="CV1" s="258">
        <f t="shared" ref="CV1:DB1" si="4">CU1+1</f>
        <v>2017</v>
      </c>
      <c r="CW1" s="258">
        <f t="shared" si="4"/>
        <v>2018</v>
      </c>
      <c r="CX1" s="258">
        <f t="shared" si="4"/>
        <v>2019</v>
      </c>
      <c r="CY1" s="258">
        <f t="shared" si="4"/>
        <v>2020</v>
      </c>
      <c r="CZ1" s="258">
        <f t="shared" si="4"/>
        <v>2021</v>
      </c>
      <c r="DA1" s="258">
        <f t="shared" si="4"/>
        <v>2022</v>
      </c>
      <c r="DB1" s="258">
        <f t="shared" si="4"/>
        <v>2023</v>
      </c>
      <c r="DC1" s="268">
        <f t="shared" ref="DC1" si="5">DB1+1</f>
        <v>2024</v>
      </c>
      <c r="DD1" s="268">
        <f t="shared" ref="DD1" si="6">DC1+1</f>
        <v>2025</v>
      </c>
      <c r="DE1" s="268">
        <f t="shared" ref="DE1" si="7">DD1+1</f>
        <v>2026</v>
      </c>
      <c r="DF1" s="268">
        <f t="shared" ref="DF1" si="8">DE1+1</f>
        <v>2027</v>
      </c>
      <c r="DG1" s="268">
        <f t="shared" ref="DG1" si="9">DF1+1</f>
        <v>2028</v>
      </c>
      <c r="DH1" s="268">
        <f t="shared" ref="DH1" si="10">DG1+1</f>
        <v>2029</v>
      </c>
      <c r="DI1" s="268">
        <f t="shared" ref="DI1" si="11">DH1+1</f>
        <v>2030</v>
      </c>
    </row>
    <row r="2" spans="1:113">
      <c r="A2" s="314" t="s">
        <v>691</v>
      </c>
      <c r="B2" s="314"/>
      <c r="C2" s="702">
        <v>39172</v>
      </c>
      <c r="D2" s="702">
        <f>EOMONTH(C2,3)</f>
        <v>39263</v>
      </c>
      <c r="E2" s="702">
        <f t="shared" ref="E2:BP2" si="12">EOMONTH(D2,3)</f>
        <v>39355</v>
      </c>
      <c r="F2" s="702">
        <f t="shared" si="12"/>
        <v>39447</v>
      </c>
      <c r="G2" s="702">
        <f t="shared" si="12"/>
        <v>39538</v>
      </c>
      <c r="H2" s="702">
        <f t="shared" si="12"/>
        <v>39629</v>
      </c>
      <c r="I2" s="702">
        <f t="shared" si="12"/>
        <v>39721</v>
      </c>
      <c r="J2" s="702">
        <f t="shared" si="12"/>
        <v>39813</v>
      </c>
      <c r="K2" s="702">
        <f t="shared" si="12"/>
        <v>39903</v>
      </c>
      <c r="L2" s="702">
        <f t="shared" si="12"/>
        <v>39994</v>
      </c>
      <c r="M2" s="702">
        <f t="shared" si="12"/>
        <v>40086</v>
      </c>
      <c r="N2" s="702">
        <f t="shared" si="12"/>
        <v>40178</v>
      </c>
      <c r="O2" s="702">
        <f t="shared" si="12"/>
        <v>40268</v>
      </c>
      <c r="P2" s="702">
        <f t="shared" si="12"/>
        <v>40359</v>
      </c>
      <c r="Q2" s="702">
        <f t="shared" si="12"/>
        <v>40451</v>
      </c>
      <c r="R2" s="702">
        <f t="shared" si="12"/>
        <v>40543</v>
      </c>
      <c r="S2" s="702">
        <f t="shared" si="12"/>
        <v>40633</v>
      </c>
      <c r="T2" s="702">
        <f t="shared" si="12"/>
        <v>40724</v>
      </c>
      <c r="U2" s="702">
        <f t="shared" si="12"/>
        <v>40816</v>
      </c>
      <c r="V2" s="702">
        <f t="shared" si="12"/>
        <v>40908</v>
      </c>
      <c r="W2" s="702">
        <f t="shared" si="12"/>
        <v>40999</v>
      </c>
      <c r="X2" s="702">
        <f t="shared" si="12"/>
        <v>41090</v>
      </c>
      <c r="Y2" s="702">
        <f t="shared" si="12"/>
        <v>41182</v>
      </c>
      <c r="Z2" s="702">
        <f t="shared" si="12"/>
        <v>41274</v>
      </c>
      <c r="AA2" s="702">
        <f t="shared" si="12"/>
        <v>41364</v>
      </c>
      <c r="AB2" s="702">
        <f t="shared" si="12"/>
        <v>41455</v>
      </c>
      <c r="AC2" s="702">
        <f t="shared" si="12"/>
        <v>41547</v>
      </c>
      <c r="AD2" s="702">
        <f t="shared" si="12"/>
        <v>41639</v>
      </c>
      <c r="AE2" s="702">
        <f t="shared" si="12"/>
        <v>41729</v>
      </c>
      <c r="AF2" s="702">
        <f t="shared" si="12"/>
        <v>41820</v>
      </c>
      <c r="AG2" s="702">
        <f t="shared" si="12"/>
        <v>41912</v>
      </c>
      <c r="AH2" s="702">
        <f t="shared" si="12"/>
        <v>42004</v>
      </c>
      <c r="AI2" s="702">
        <f t="shared" si="12"/>
        <v>42094</v>
      </c>
      <c r="AJ2" s="702">
        <f t="shared" si="12"/>
        <v>42185</v>
      </c>
      <c r="AK2" s="702">
        <f t="shared" si="12"/>
        <v>42277</v>
      </c>
      <c r="AL2" s="702">
        <f t="shared" si="12"/>
        <v>42369</v>
      </c>
      <c r="AM2" s="702">
        <f t="shared" si="12"/>
        <v>42460</v>
      </c>
      <c r="AN2" s="702">
        <f t="shared" si="12"/>
        <v>42551</v>
      </c>
      <c r="AO2" s="702">
        <f t="shared" si="12"/>
        <v>42643</v>
      </c>
      <c r="AP2" s="702">
        <f t="shared" si="12"/>
        <v>42735</v>
      </c>
      <c r="AQ2" s="702">
        <f t="shared" si="12"/>
        <v>42825</v>
      </c>
      <c r="AR2" s="702">
        <f t="shared" si="12"/>
        <v>42916</v>
      </c>
      <c r="AS2" s="702">
        <f t="shared" si="12"/>
        <v>43008</v>
      </c>
      <c r="AT2" s="702">
        <f t="shared" si="12"/>
        <v>43100</v>
      </c>
      <c r="AU2" s="702">
        <f t="shared" si="12"/>
        <v>43190</v>
      </c>
      <c r="AV2" s="702">
        <f t="shared" si="12"/>
        <v>43281</v>
      </c>
      <c r="AW2" s="702">
        <f t="shared" si="12"/>
        <v>43373</v>
      </c>
      <c r="AX2" s="702">
        <f t="shared" si="12"/>
        <v>43465</v>
      </c>
      <c r="AY2" s="702">
        <f t="shared" si="12"/>
        <v>43555</v>
      </c>
      <c r="AZ2" s="702">
        <f t="shared" si="12"/>
        <v>43646</v>
      </c>
      <c r="BA2" s="702">
        <f t="shared" si="12"/>
        <v>43738</v>
      </c>
      <c r="BB2" s="702">
        <f t="shared" si="12"/>
        <v>43830</v>
      </c>
      <c r="BC2" s="702">
        <f t="shared" si="12"/>
        <v>43921</v>
      </c>
      <c r="BD2" s="702">
        <f t="shared" si="12"/>
        <v>44012</v>
      </c>
      <c r="BE2" s="702">
        <f t="shared" si="12"/>
        <v>44104</v>
      </c>
      <c r="BF2" s="702">
        <f t="shared" si="12"/>
        <v>44196</v>
      </c>
      <c r="BG2" s="702">
        <f t="shared" si="12"/>
        <v>44286</v>
      </c>
      <c r="BH2" s="702">
        <f t="shared" si="12"/>
        <v>44377</v>
      </c>
      <c r="BI2" s="702">
        <f t="shared" si="12"/>
        <v>44469</v>
      </c>
      <c r="BJ2" s="702">
        <f t="shared" si="12"/>
        <v>44561</v>
      </c>
      <c r="BK2" s="702">
        <f t="shared" si="12"/>
        <v>44651</v>
      </c>
      <c r="BL2" s="702">
        <f t="shared" si="12"/>
        <v>44742</v>
      </c>
      <c r="BM2" s="702">
        <f t="shared" si="12"/>
        <v>44834</v>
      </c>
      <c r="BN2" s="702">
        <f t="shared" si="12"/>
        <v>44926</v>
      </c>
      <c r="BO2" s="702">
        <f t="shared" si="12"/>
        <v>45016</v>
      </c>
      <c r="BP2" s="702">
        <f t="shared" si="12"/>
        <v>45107</v>
      </c>
      <c r="BQ2" s="702">
        <f t="shared" ref="BQ2:BU2" si="13">EOMONTH(BP2,3)</f>
        <v>45199</v>
      </c>
      <c r="BR2" s="702">
        <f t="shared" si="13"/>
        <v>45291</v>
      </c>
      <c r="BS2" s="702">
        <f t="shared" si="13"/>
        <v>45382</v>
      </c>
      <c r="BT2" s="702">
        <f t="shared" si="13"/>
        <v>45473</v>
      </c>
      <c r="BU2" s="702">
        <f t="shared" si="13"/>
        <v>45565</v>
      </c>
      <c r="BV2" s="702">
        <f t="shared" ref="BV2" si="14">EOMONTH(BU2,3)</f>
        <v>45657</v>
      </c>
      <c r="BW2" s="702">
        <f t="shared" ref="BW2:BX2" si="15">EOMONTH(BV2,3)</f>
        <v>45747</v>
      </c>
      <c r="BX2" s="702">
        <f t="shared" si="15"/>
        <v>45838</v>
      </c>
      <c r="BY2" s="1518">
        <f>EOMONTH(BX2,3)</f>
        <v>45930</v>
      </c>
      <c r="CA2" s="77" t="s">
        <v>693</v>
      </c>
      <c r="CB2" s="77" t="s">
        <v>694</v>
      </c>
      <c r="CJ2" s="265"/>
      <c r="CK2" s="265"/>
      <c r="CL2" s="259">
        <v>39447</v>
      </c>
      <c r="CM2" s="259">
        <f>EOMONTH(CL2,12)</f>
        <v>39813</v>
      </c>
      <c r="CN2" s="259">
        <f t="shared" ref="CN2:CR2" si="16">EOMONTH(CM2,12)</f>
        <v>40178</v>
      </c>
      <c r="CO2" s="259">
        <f t="shared" si="16"/>
        <v>40543</v>
      </c>
      <c r="CP2" s="259">
        <f t="shared" si="16"/>
        <v>40908</v>
      </c>
      <c r="CQ2" s="259">
        <f t="shared" si="16"/>
        <v>41274</v>
      </c>
      <c r="CR2" s="259">
        <f t="shared" si="16"/>
        <v>41639</v>
      </c>
      <c r="CS2" s="259">
        <f t="shared" ref="CS2" si="17">EOMONTH(CR2,12)</f>
        <v>42004</v>
      </c>
      <c r="CT2" s="259">
        <v>42369</v>
      </c>
      <c r="CU2" s="259">
        <f>EOMONTH(CT2,12)</f>
        <v>42735</v>
      </c>
      <c r="CV2" s="259">
        <f t="shared" ref="CV2:DB2" si="18">EOMONTH(CU2,12)</f>
        <v>43100</v>
      </c>
      <c r="CW2" s="259">
        <f t="shared" si="18"/>
        <v>43465</v>
      </c>
      <c r="CX2" s="259">
        <f t="shared" si="18"/>
        <v>43830</v>
      </c>
      <c r="CY2" s="259">
        <f t="shared" si="18"/>
        <v>44196</v>
      </c>
      <c r="CZ2" s="259">
        <f t="shared" si="18"/>
        <v>44561</v>
      </c>
      <c r="DA2" s="259">
        <f t="shared" si="18"/>
        <v>44926</v>
      </c>
      <c r="DB2" s="259">
        <f t="shared" si="18"/>
        <v>45291</v>
      </c>
      <c r="DC2" s="269">
        <f t="shared" ref="DC2" si="19">EOMONTH(DB2,12)</f>
        <v>45657</v>
      </c>
      <c r="DD2" s="269">
        <f t="shared" ref="DD2" si="20">EOMONTH(DC2,12)</f>
        <v>46022</v>
      </c>
      <c r="DE2" s="269">
        <f t="shared" ref="DE2" si="21">EOMONTH(DD2,12)</f>
        <v>46387</v>
      </c>
      <c r="DF2" s="269">
        <f t="shared" ref="DF2" si="22">EOMONTH(DE2,12)</f>
        <v>46752</v>
      </c>
      <c r="DG2" s="269">
        <f t="shared" ref="DG2" si="23">EOMONTH(DF2,12)</f>
        <v>47118</v>
      </c>
      <c r="DH2" s="269">
        <f t="shared" ref="DH2" si="24">EOMONTH(DG2,12)</f>
        <v>47483</v>
      </c>
      <c r="DI2" s="269">
        <f t="shared" ref="DI2" si="25">EOMONTH(DH2,12)</f>
        <v>47848</v>
      </c>
    </row>
    <row r="3" spans="1:113">
      <c r="A3" s="53" t="s">
        <v>460</v>
      </c>
      <c r="B3" s="108"/>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519"/>
      <c r="CJ3" s="263" t="s">
        <v>460</v>
      </c>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row>
    <row r="4" spans="1:113">
      <c r="A4" s="54" t="s">
        <v>11</v>
      </c>
      <c r="B4" s="109"/>
      <c r="C4" s="110"/>
      <c r="D4" s="110"/>
      <c r="E4" s="110"/>
      <c r="F4" s="110"/>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520"/>
      <c r="CJ4" s="263" t="s">
        <v>11</v>
      </c>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row>
    <row r="5" spans="1:113">
      <c r="A5" s="55"/>
      <c r="B5" s="111"/>
      <c r="C5" s="112"/>
      <c r="D5" s="112"/>
      <c r="E5" s="112"/>
      <c r="F5" s="112"/>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338" t="s">
        <v>762</v>
      </c>
      <c r="BM5" s="103"/>
      <c r="BN5" s="103"/>
      <c r="BO5" s="103"/>
      <c r="BP5" s="103"/>
      <c r="BQ5" s="103"/>
      <c r="BR5" s="103"/>
      <c r="BS5" s="103"/>
      <c r="BT5" s="103"/>
      <c r="BU5" s="103"/>
      <c r="BV5" s="103"/>
      <c r="BW5" s="103"/>
      <c r="BX5" s="103"/>
      <c r="BY5" s="1521"/>
    </row>
    <row r="6" spans="1:113">
      <c r="A6" s="56" t="s">
        <v>461</v>
      </c>
      <c r="B6" s="104"/>
      <c r="C6" s="112"/>
      <c r="D6" s="112"/>
      <c r="E6" s="112"/>
      <c r="F6" s="112"/>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521"/>
      <c r="CJ6" s="266" t="s">
        <v>461</v>
      </c>
      <c r="CK6" s="260"/>
      <c r="CL6" s="260"/>
      <c r="CM6" s="260"/>
      <c r="CN6" s="260"/>
      <c r="CO6" s="260"/>
      <c r="CP6" s="260"/>
      <c r="CQ6" s="260"/>
      <c r="CR6" s="260"/>
      <c r="CS6" s="260"/>
      <c r="CT6" s="260"/>
      <c r="CU6" s="260"/>
      <c r="CV6" s="260"/>
      <c r="CW6" s="260"/>
      <c r="CX6" s="260"/>
      <c r="CY6" s="260"/>
      <c r="CZ6" s="260"/>
      <c r="DA6" s="260"/>
      <c r="DB6" s="260"/>
      <c r="DC6" s="260"/>
      <c r="DD6" s="260"/>
      <c r="DE6" s="260"/>
      <c r="DF6" s="260"/>
      <c r="DG6" s="260"/>
      <c r="DH6" s="260"/>
      <c r="DI6" s="260"/>
    </row>
    <row r="7" spans="1:113">
      <c r="A7" s="94" t="s">
        <v>462</v>
      </c>
      <c r="B7" s="94"/>
      <c r="C7" s="113"/>
      <c r="D7" s="113"/>
      <c r="E7" s="113"/>
      <c r="F7" s="113"/>
      <c r="G7" s="588"/>
      <c r="H7" s="588"/>
      <c r="I7" s="588"/>
      <c r="J7" s="588"/>
      <c r="K7" s="588">
        <f>'Income Statement'!I455</f>
        <v>1503</v>
      </c>
      <c r="L7" s="588">
        <f>'Income Statement'!J455</f>
        <v>1705</v>
      </c>
      <c r="M7" s="588">
        <f>'Income Statement'!K455</f>
        <v>1818</v>
      </c>
      <c r="N7" s="588">
        <f>'Income Statement'!L455</f>
        <v>2038</v>
      </c>
      <c r="O7" s="588">
        <f>'Income Statement'!N455</f>
        <v>4106</v>
      </c>
      <c r="P7" s="588">
        <f>'Income Statement'!O455</f>
        <v>4261</v>
      </c>
      <c r="Q7" s="588">
        <f>'Income Statement'!P455</f>
        <v>4442</v>
      </c>
      <c r="R7" s="588">
        <f>'Income Statement'!Q455</f>
        <v>4651</v>
      </c>
      <c r="S7" s="588">
        <f>'Income Statement'!S455</f>
        <v>4482</v>
      </c>
      <c r="T7" s="588">
        <f>'Income Statement'!T455</f>
        <v>4553</v>
      </c>
      <c r="U7" s="588">
        <f>'Income Statement'!U455</f>
        <v>4780</v>
      </c>
      <c r="V7" s="588">
        <f>'Income Statement'!V455</f>
        <v>4961</v>
      </c>
      <c r="W7" s="588">
        <f>'Income Statement'!X455</f>
        <v>4893</v>
      </c>
      <c r="X7" s="588">
        <f>'Income Statement'!Y455</f>
        <v>5229</v>
      </c>
      <c r="Y7" s="588">
        <f>'Income Statement'!Z455</f>
        <v>5574</v>
      </c>
      <c r="Z7" s="588">
        <f>'Income Statement'!AA455</f>
        <v>5273</v>
      </c>
      <c r="AA7" s="113">
        <f>'Income Statement'!AC314</f>
        <v>5758</v>
      </c>
      <c r="AB7" s="113">
        <f>'Income Statement'!AD314</f>
        <v>6055</v>
      </c>
      <c r="AC7" s="113">
        <f>'Income Statement'!AE314</f>
        <v>6388</v>
      </c>
      <c r="AD7" s="113">
        <f>'Income Statement'!AF314</f>
        <v>6383</v>
      </c>
      <c r="AE7" s="113">
        <f>'Income Statement'!AH314</f>
        <v>5507</v>
      </c>
      <c r="AF7" s="113">
        <f>'Income Statement'!AI314</f>
        <v>6041</v>
      </c>
      <c r="AG7" s="113">
        <f>'Income Statement'!AJ314</f>
        <v>6006</v>
      </c>
      <c r="AH7" s="113">
        <f>'Income Statement'!AK314</f>
        <v>5906</v>
      </c>
      <c r="AI7" s="113">
        <f>'Income Statement'!AM314</f>
        <v>5481</v>
      </c>
      <c r="AJ7" s="113">
        <f>'Income Statement'!AN314</f>
        <v>5611</v>
      </c>
      <c r="AK7" s="113">
        <f>'Income Statement'!AO314</f>
        <v>5830</v>
      </c>
      <c r="AL7" s="113">
        <f>'Income Statement'!AP314</f>
        <v>5973</v>
      </c>
      <c r="AM7" s="113">
        <f>'Income Statement'!AR314</f>
        <v>5616</v>
      </c>
      <c r="AN7" s="113">
        <f>'Income Statement'!AS314</f>
        <v>5238</v>
      </c>
      <c r="AO7" s="113">
        <f>'Income Statement'!AT314</f>
        <v>5230</v>
      </c>
      <c r="AP7" s="113">
        <f>'Income Statement'!AU314</f>
        <v>5257</v>
      </c>
      <c r="AQ7" s="113">
        <f>'Income Statement'!AW314</f>
        <v>5266</v>
      </c>
      <c r="AR7" s="113">
        <f>'Income Statement'!AX314</f>
        <v>5667</v>
      </c>
      <c r="AS7" s="113">
        <f>'Income Statement'!AY314</f>
        <v>5970</v>
      </c>
      <c r="AT7" s="113">
        <f>'Income Statement'!AZ314</f>
        <v>5998</v>
      </c>
      <c r="AU7" s="113">
        <f>'Income Statement'!BB314</f>
        <v>5501.3649999999998</v>
      </c>
      <c r="AV7" s="113">
        <f>'Income Statement'!BC314</f>
        <v>5544.6769999999997</v>
      </c>
      <c r="AW7" s="113">
        <f>'Income Statement'!BD314</f>
        <v>5846.17</v>
      </c>
      <c r="AX7" s="113">
        <f>'Income Statement'!BE314</f>
        <v>6046.6</v>
      </c>
      <c r="AY7" s="113">
        <f>'Income Statement'!BG314</f>
        <v>5967.2240000000002</v>
      </c>
      <c r="AZ7" s="113">
        <f>'Income Statement'!BH314</f>
        <v>6289.6049999999996</v>
      </c>
      <c r="BA7" s="113">
        <f>'Income Statement'!BI314</f>
        <v>6463.6930000000002</v>
      </c>
      <c r="BB7" s="113">
        <f>'Income Statement'!BJ314</f>
        <v>6412.33</v>
      </c>
      <c r="BC7" s="113">
        <f>'Income Statement'!BL314</f>
        <v>6497.1509999999998</v>
      </c>
      <c r="BD7" s="113">
        <f>'Income Statement'!BM314</f>
        <v>6585.009</v>
      </c>
      <c r="BE7" s="113">
        <f>'Income Statement'!BN314</f>
        <v>6573.991</v>
      </c>
      <c r="BF7" s="113">
        <f>'Income Statement'!BO314</f>
        <v>6352.9440000000004</v>
      </c>
      <c r="BG7" s="113">
        <f>'Income Statement'!BQ314</f>
        <v>6247.3630000000003</v>
      </c>
      <c r="BH7" s="113">
        <f>'Income Statement'!BR314</f>
        <v>6726.8360000000002</v>
      </c>
      <c r="BI7" s="113">
        <f>'Income Statement'!BS314</f>
        <v>6825.9939999999997</v>
      </c>
      <c r="BJ7" s="113">
        <f>'Income Statement'!BT314</f>
        <v>6953.857</v>
      </c>
      <c r="BK7" s="113">
        <f>'Income Statement'!BV314</f>
        <v>6742.0590000000002</v>
      </c>
      <c r="BL7" s="113">
        <f>'Income Statement'!BW314</f>
        <v>7332.7409999999991</v>
      </c>
      <c r="BM7" s="113">
        <f>'Income Statement'!BX314</f>
        <v>7520.6000000000031</v>
      </c>
      <c r="BN7" s="113">
        <f>'Income Statement'!BY314</f>
        <v>7546.5939999999982</v>
      </c>
      <c r="BO7" s="113">
        <f>'Income Statement'!CA314</f>
        <v>7547.3239999999996</v>
      </c>
      <c r="BP7" s="113">
        <f>'Income Statement'!CB314</f>
        <v>8217.2030000000013</v>
      </c>
      <c r="BQ7" s="113">
        <f>'Income Statement'!CC314</f>
        <v>8103.2769999999991</v>
      </c>
      <c r="BR7" s="113">
        <f>'Income Statement'!CD314</f>
        <v>8454.8470000000016</v>
      </c>
      <c r="BS7" s="113">
        <f>'Income Statement'!CF314</f>
        <v>8438.2849999999999</v>
      </c>
      <c r="BT7" s="113">
        <f>'Income Statement'!CG314</f>
        <v>8613.3120000000017</v>
      </c>
      <c r="BU7" s="113">
        <f>'Income Statement'!CH314</f>
        <v>8309.8139999999985</v>
      </c>
      <c r="BV7" s="113">
        <f>'Income Statement'!CI314</f>
        <v>9030.1860000000015</v>
      </c>
      <c r="BW7" s="113">
        <f>'Income Statement'!CK314</f>
        <v>8601.1769999999997</v>
      </c>
      <c r="BX7" s="113">
        <f>'Income Statement'!CL314</f>
        <v>10493.717000000001</v>
      </c>
      <c r="BY7" s="1522">
        <f>'Income Statement'!CM314</f>
        <v>11452.569</v>
      </c>
      <c r="CA7" t="s">
        <v>696</v>
      </c>
      <c r="CC7" s="316"/>
      <c r="CJ7" t="s">
        <v>462</v>
      </c>
      <c r="CL7" s="270">
        <f>'Income Statement'!C236</f>
        <v>7990</v>
      </c>
      <c r="CM7" s="270">
        <f>'Income Statement'!H236</f>
        <v>12061.33</v>
      </c>
      <c r="CN7" s="270">
        <f>'Income Statement'!M236</f>
        <v>13707</v>
      </c>
      <c r="CO7" s="270">
        <f>'Income Statement'!R236</f>
        <v>17460</v>
      </c>
      <c r="CP7" s="270">
        <f>'Income Statement'!W236</f>
        <v>18262</v>
      </c>
      <c r="CQ7" s="270">
        <f>'Income Statement'!AB236</f>
        <v>20969</v>
      </c>
      <c r="CR7" s="270">
        <f>'Income Statement'!AG236</f>
        <v>21266</v>
      </c>
      <c r="CS7" s="270">
        <f>'Income Statement'!AL236</f>
        <v>23460</v>
      </c>
      <c r="CT7" s="270">
        <f>'Income Statement'!AQ236</f>
        <v>22895</v>
      </c>
      <c r="CU7" s="270">
        <f>'Income Statement'!AV236</f>
        <v>21341</v>
      </c>
      <c r="CV7" s="270">
        <f>'Income Statement'!BA236</f>
        <v>22901</v>
      </c>
      <c r="CW7" s="270">
        <f>'Income Statement'!BF236</f>
        <v>22938.811999999998</v>
      </c>
      <c r="CX7" s="270">
        <f>'Income Statement'!BK236</f>
        <v>25132.851999999999</v>
      </c>
      <c r="CY7" s="270">
        <f>'Income Statement'!BP236</f>
        <v>26009.095000000001</v>
      </c>
      <c r="CZ7" s="270">
        <f>'Income Statement'!BU236</f>
        <v>26754.050000000003</v>
      </c>
      <c r="DA7" s="270">
        <f>'Income Statement'!BZ236</f>
        <v>29141.994000000002</v>
      </c>
      <c r="DB7" s="270">
        <f>'Income Statement'!CE236</f>
        <v>32322.651000000005</v>
      </c>
      <c r="DC7" s="270">
        <f>'Income Statement'!CJ236</f>
        <v>34391.597000000002</v>
      </c>
      <c r="DD7" s="270">
        <f>'Income Statement'!CO236</f>
        <v>42474.105831966364</v>
      </c>
      <c r="DE7" s="270">
        <f>'Income Statement'!CP236</f>
        <v>47281.52542977938</v>
      </c>
      <c r="DF7" s="270">
        <f>'Income Statement'!CQ236</f>
        <v>49342.820741226758</v>
      </c>
      <c r="DG7" s="270">
        <f>'Income Statement'!CR236</f>
        <v>51491.024704882409</v>
      </c>
      <c r="DH7" s="270">
        <f>'Income Statement'!CS236</f>
        <v>53729.794804044934</v>
      </c>
      <c r="DI7" s="270">
        <f>'Income Statement'!CT236</f>
        <v>56062.943842146051</v>
      </c>
    </row>
    <row r="8" spans="1:113">
      <c r="A8" s="95" t="s">
        <v>463</v>
      </c>
      <c r="B8" s="95"/>
      <c r="C8" s="124"/>
      <c r="D8" s="124"/>
      <c r="E8" s="124"/>
      <c r="F8" s="124"/>
      <c r="G8" s="57">
        <f>G7</f>
        <v>0</v>
      </c>
      <c r="H8" s="57">
        <f t="shared" ref="H8:BS8" si="26">H7</f>
        <v>0</v>
      </c>
      <c r="I8" s="57">
        <f t="shared" si="26"/>
        <v>0</v>
      </c>
      <c r="J8" s="57">
        <f t="shared" si="26"/>
        <v>0</v>
      </c>
      <c r="K8" s="57">
        <f t="shared" si="26"/>
        <v>1503</v>
      </c>
      <c r="L8" s="57">
        <f t="shared" si="26"/>
        <v>1705</v>
      </c>
      <c r="M8" s="57">
        <f t="shared" si="26"/>
        <v>1818</v>
      </c>
      <c r="N8" s="57">
        <f t="shared" si="26"/>
        <v>2038</v>
      </c>
      <c r="O8" s="57">
        <f t="shared" si="26"/>
        <v>4106</v>
      </c>
      <c r="P8" s="57">
        <f t="shared" si="26"/>
        <v>4261</v>
      </c>
      <c r="Q8" s="57">
        <f t="shared" si="26"/>
        <v>4442</v>
      </c>
      <c r="R8" s="57">
        <f t="shared" si="26"/>
        <v>4651</v>
      </c>
      <c r="S8" s="57">
        <f t="shared" si="26"/>
        <v>4482</v>
      </c>
      <c r="T8" s="57">
        <f t="shared" si="26"/>
        <v>4553</v>
      </c>
      <c r="U8" s="57">
        <f t="shared" si="26"/>
        <v>4780</v>
      </c>
      <c r="V8" s="57">
        <f t="shared" si="26"/>
        <v>4961</v>
      </c>
      <c r="W8" s="57">
        <f t="shared" si="26"/>
        <v>4893</v>
      </c>
      <c r="X8" s="57">
        <f t="shared" si="26"/>
        <v>5229</v>
      </c>
      <c r="Y8" s="57">
        <f t="shared" si="26"/>
        <v>5574</v>
      </c>
      <c r="Z8" s="57">
        <f t="shared" si="26"/>
        <v>5273</v>
      </c>
      <c r="AA8" s="57">
        <f t="shared" si="26"/>
        <v>5758</v>
      </c>
      <c r="AB8" s="57">
        <f t="shared" si="26"/>
        <v>6055</v>
      </c>
      <c r="AC8" s="57">
        <f t="shared" si="26"/>
        <v>6388</v>
      </c>
      <c r="AD8" s="57">
        <f t="shared" si="26"/>
        <v>6383</v>
      </c>
      <c r="AE8" s="57">
        <f t="shared" si="26"/>
        <v>5507</v>
      </c>
      <c r="AF8" s="57">
        <f t="shared" si="26"/>
        <v>6041</v>
      </c>
      <c r="AG8" s="57">
        <f t="shared" si="26"/>
        <v>6006</v>
      </c>
      <c r="AH8" s="57">
        <f t="shared" si="26"/>
        <v>5906</v>
      </c>
      <c r="AI8" s="57">
        <f t="shared" si="26"/>
        <v>5481</v>
      </c>
      <c r="AJ8" s="57">
        <f t="shared" si="26"/>
        <v>5611</v>
      </c>
      <c r="AK8" s="57">
        <f t="shared" si="26"/>
        <v>5830</v>
      </c>
      <c r="AL8" s="57">
        <f t="shared" si="26"/>
        <v>5973</v>
      </c>
      <c r="AM8" s="57">
        <f t="shared" si="26"/>
        <v>5616</v>
      </c>
      <c r="AN8" s="57">
        <f t="shared" si="26"/>
        <v>5238</v>
      </c>
      <c r="AO8" s="57">
        <f t="shared" si="26"/>
        <v>5230</v>
      </c>
      <c r="AP8" s="57">
        <f t="shared" si="26"/>
        <v>5257</v>
      </c>
      <c r="AQ8" s="57">
        <f t="shared" si="26"/>
        <v>5266</v>
      </c>
      <c r="AR8" s="57">
        <f t="shared" si="26"/>
        <v>5667</v>
      </c>
      <c r="AS8" s="57">
        <f t="shared" si="26"/>
        <v>5970</v>
      </c>
      <c r="AT8" s="57">
        <f t="shared" si="26"/>
        <v>5998</v>
      </c>
      <c r="AU8" s="57">
        <f t="shared" si="26"/>
        <v>5501.3649999999998</v>
      </c>
      <c r="AV8" s="57">
        <f t="shared" si="26"/>
        <v>5544.6769999999997</v>
      </c>
      <c r="AW8" s="57">
        <f t="shared" si="26"/>
        <v>5846.17</v>
      </c>
      <c r="AX8" s="57">
        <f t="shared" si="26"/>
        <v>6046.6</v>
      </c>
      <c r="AY8" s="57">
        <f t="shared" si="26"/>
        <v>5967.2240000000002</v>
      </c>
      <c r="AZ8" s="57">
        <f t="shared" si="26"/>
        <v>6289.6049999999996</v>
      </c>
      <c r="BA8" s="57">
        <f t="shared" si="26"/>
        <v>6463.6930000000002</v>
      </c>
      <c r="BB8" s="57">
        <f t="shared" si="26"/>
        <v>6412.33</v>
      </c>
      <c r="BC8" s="57">
        <f t="shared" si="26"/>
        <v>6497.1509999999998</v>
      </c>
      <c r="BD8" s="57">
        <f t="shared" si="26"/>
        <v>6585.009</v>
      </c>
      <c r="BE8" s="57">
        <f t="shared" si="26"/>
        <v>6573.991</v>
      </c>
      <c r="BF8" s="57">
        <f t="shared" si="26"/>
        <v>6352.9440000000004</v>
      </c>
      <c r="BG8" s="57">
        <f t="shared" si="26"/>
        <v>6247.3630000000003</v>
      </c>
      <c r="BH8" s="57">
        <f t="shared" si="26"/>
        <v>6726.8360000000002</v>
      </c>
      <c r="BI8" s="57">
        <f t="shared" si="26"/>
        <v>6825.9939999999997</v>
      </c>
      <c r="BJ8" s="57">
        <f t="shared" si="26"/>
        <v>6953.857</v>
      </c>
      <c r="BK8" s="57">
        <f t="shared" si="26"/>
        <v>6742.0590000000002</v>
      </c>
      <c r="BL8" s="57">
        <f t="shared" si="26"/>
        <v>7332.7409999999991</v>
      </c>
      <c r="BM8" s="57">
        <f t="shared" si="26"/>
        <v>7520.6000000000031</v>
      </c>
      <c r="BN8" s="57">
        <f t="shared" si="26"/>
        <v>7546.5939999999982</v>
      </c>
      <c r="BO8" s="57">
        <f t="shared" si="26"/>
        <v>7547.3239999999996</v>
      </c>
      <c r="BP8" s="57">
        <f t="shared" si="26"/>
        <v>8217.2030000000013</v>
      </c>
      <c r="BQ8" s="57">
        <f t="shared" si="26"/>
        <v>8103.2769999999991</v>
      </c>
      <c r="BR8" s="57">
        <f t="shared" si="26"/>
        <v>8454.8470000000016</v>
      </c>
      <c r="BS8" s="57">
        <f t="shared" si="26"/>
        <v>8438.2849999999999</v>
      </c>
      <c r="BT8" s="57">
        <f t="shared" ref="BT8:BU8" si="27">BT7</f>
        <v>8613.3120000000017</v>
      </c>
      <c r="BU8" s="57">
        <f t="shared" si="27"/>
        <v>8309.8139999999985</v>
      </c>
      <c r="BV8" s="57">
        <f t="shared" ref="BV8:BW8" si="28">BV7</f>
        <v>9030.1860000000015</v>
      </c>
      <c r="BW8" s="57">
        <f t="shared" si="28"/>
        <v>8601.1769999999997</v>
      </c>
      <c r="BX8" s="57">
        <f t="shared" ref="BX8" si="29">BX7</f>
        <v>10493.717000000001</v>
      </c>
      <c r="BY8" s="1523">
        <f>BY7</f>
        <v>11452.569</v>
      </c>
      <c r="CC8" s="316"/>
      <c r="CJ8" t="s">
        <v>463</v>
      </c>
      <c r="CL8" s="270">
        <f>CL7</f>
        <v>7990</v>
      </c>
      <c r="CM8" s="270">
        <f t="shared" ref="CM8:DG8" si="30">CM7</f>
        <v>12061.33</v>
      </c>
      <c r="CN8" s="270">
        <f t="shared" si="30"/>
        <v>13707</v>
      </c>
      <c r="CO8" s="270">
        <f t="shared" si="30"/>
        <v>17460</v>
      </c>
      <c r="CP8" s="270">
        <f t="shared" si="30"/>
        <v>18262</v>
      </c>
      <c r="CQ8" s="270">
        <f t="shared" si="30"/>
        <v>20969</v>
      </c>
      <c r="CR8" s="270">
        <f t="shared" si="30"/>
        <v>21266</v>
      </c>
      <c r="CS8" s="270">
        <f t="shared" si="30"/>
        <v>23460</v>
      </c>
      <c r="CT8" s="270">
        <f t="shared" si="30"/>
        <v>22895</v>
      </c>
      <c r="CU8" s="270">
        <f t="shared" si="30"/>
        <v>21341</v>
      </c>
      <c r="CV8" s="270">
        <f t="shared" si="30"/>
        <v>22901</v>
      </c>
      <c r="CW8" s="270">
        <f t="shared" si="30"/>
        <v>22938.811999999998</v>
      </c>
      <c r="CX8" s="270">
        <f t="shared" si="30"/>
        <v>25132.851999999999</v>
      </c>
      <c r="CY8" s="270">
        <f t="shared" si="30"/>
        <v>26009.095000000001</v>
      </c>
      <c r="CZ8" s="270">
        <f t="shared" si="30"/>
        <v>26754.050000000003</v>
      </c>
      <c r="DA8" s="270">
        <f t="shared" si="30"/>
        <v>29141.994000000002</v>
      </c>
      <c r="DB8" s="270">
        <f t="shared" si="30"/>
        <v>32322.651000000005</v>
      </c>
      <c r="DC8" s="270">
        <f t="shared" si="30"/>
        <v>34391.597000000002</v>
      </c>
      <c r="DD8" s="270">
        <f t="shared" si="30"/>
        <v>42474.105831966364</v>
      </c>
      <c r="DE8" s="270">
        <f t="shared" si="30"/>
        <v>47281.52542977938</v>
      </c>
      <c r="DF8" s="270">
        <f t="shared" si="30"/>
        <v>49342.820741226758</v>
      </c>
      <c r="DG8" s="270">
        <f t="shared" si="30"/>
        <v>51491.024704882409</v>
      </c>
      <c r="DH8" s="270">
        <f t="shared" ref="DH8" si="31">DH7</f>
        <v>53729.794804044934</v>
      </c>
      <c r="DI8" s="270">
        <f t="shared" ref="DI8" si="32">DI7</f>
        <v>56062.943842146051</v>
      </c>
    </row>
    <row r="9" spans="1:113">
      <c r="A9" s="94" t="s">
        <v>2</v>
      </c>
      <c r="B9" s="94"/>
      <c r="C9" s="113"/>
      <c r="D9" s="113"/>
      <c r="E9" s="113"/>
      <c r="F9" s="113"/>
      <c r="G9" s="113">
        <f>'Income Statement'!D248</f>
        <v>1134</v>
      </c>
      <c r="H9" s="113">
        <f>'Income Statement'!E248</f>
        <v>1490</v>
      </c>
      <c r="I9" s="113">
        <f>'Income Statement'!F248</f>
        <v>1486</v>
      </c>
      <c r="J9" s="113">
        <f>'Income Statement'!G248</f>
        <v>1022</v>
      </c>
      <c r="K9" s="113">
        <f>'Income Statement'!I248</f>
        <v>1113</v>
      </c>
      <c r="L9" s="113">
        <f>'Income Statement'!J248</f>
        <v>1455</v>
      </c>
      <c r="M9" s="113">
        <f>'Income Statement'!K248</f>
        <v>1672</v>
      </c>
      <c r="N9" s="113">
        <f>'Income Statement'!L248</f>
        <v>1965</v>
      </c>
      <c r="O9" s="113">
        <f>'Income Statement'!N248</f>
        <v>2142</v>
      </c>
      <c r="P9" s="113">
        <f>'Income Statement'!O248</f>
        <v>2288</v>
      </c>
      <c r="Q9" s="113">
        <f>'Income Statement'!P248</f>
        <v>2362</v>
      </c>
      <c r="R9" s="113">
        <f>'Income Statement'!Q248</f>
        <v>2495</v>
      </c>
      <c r="S9" s="113">
        <f>'Income Statement'!S248</f>
        <v>2363</v>
      </c>
      <c r="T9" s="113">
        <f>'Income Statement'!T248</f>
        <v>2395</v>
      </c>
      <c r="U9" s="113">
        <f>'Income Statement'!U248</f>
        <v>2270</v>
      </c>
      <c r="V9" s="113">
        <f>'Income Statement'!V248</f>
        <v>2320</v>
      </c>
      <c r="W9" s="113">
        <f>'Income Statement'!X248</f>
        <v>2391</v>
      </c>
      <c r="X9" s="113">
        <f>'Income Statement'!Y248</f>
        <v>2546</v>
      </c>
      <c r="Y9" s="113">
        <f>'Income Statement'!Z248</f>
        <v>2505</v>
      </c>
      <c r="Z9" s="113">
        <f>'Income Statement'!AA248</f>
        <v>2303</v>
      </c>
      <c r="AA9" s="113">
        <f>'Income Statement'!AC248</f>
        <v>2025</v>
      </c>
      <c r="AB9" s="113">
        <f>'Income Statement'!AD248</f>
        <v>2139</v>
      </c>
      <c r="AC9" s="113">
        <f>'Income Statement'!AE248</f>
        <v>2255</v>
      </c>
      <c r="AD9" s="113">
        <f>'Income Statement'!AF248</f>
        <v>2240</v>
      </c>
      <c r="AE9" s="113">
        <f>'Income Statement'!AH248</f>
        <v>2201</v>
      </c>
      <c r="AF9" s="113">
        <f>'Income Statement'!AI248</f>
        <v>2061</v>
      </c>
      <c r="AG9" s="113">
        <f>'Income Statement'!AJ248</f>
        <v>2061</v>
      </c>
      <c r="AH9" s="113">
        <f>'Income Statement'!AK248</f>
        <v>2300</v>
      </c>
      <c r="AI9" s="113">
        <f>'Income Statement'!AM248</f>
        <v>1877</v>
      </c>
      <c r="AJ9" s="113">
        <f>'Income Statement'!AN248</f>
        <v>2000</v>
      </c>
      <c r="AK9" s="113">
        <f>'Income Statement'!AO248</f>
        <v>2196</v>
      </c>
      <c r="AL9" s="113">
        <f>'Income Statement'!AP248</f>
        <v>2320</v>
      </c>
      <c r="AM9" s="113">
        <f>'Income Statement'!AR248</f>
        <v>2192</v>
      </c>
      <c r="AN9" s="113">
        <f>'Income Statement'!AS248</f>
        <v>2064</v>
      </c>
      <c r="AO9" s="113">
        <f>'Income Statement'!AT248</f>
        <v>1980</v>
      </c>
      <c r="AP9" s="113">
        <f>'Income Statement'!AU248</f>
        <v>1821</v>
      </c>
      <c r="AQ9" s="113">
        <f>'Income Statement'!AW248</f>
        <v>1848</v>
      </c>
      <c r="AR9" s="113">
        <f>'Income Statement'!AX248</f>
        <v>2073</v>
      </c>
      <c r="AS9" s="113">
        <f>'Income Statement'!AY248</f>
        <v>2281</v>
      </c>
      <c r="AT9" s="113">
        <f>'Income Statement'!AZ248</f>
        <v>2119</v>
      </c>
      <c r="AU9" s="113">
        <f>'Income Statement'!BB248</f>
        <v>1986</v>
      </c>
      <c r="AV9" s="113">
        <f>'Income Statement'!BC248</f>
        <v>2000</v>
      </c>
      <c r="AW9" s="113">
        <f>'Income Statement'!BD248</f>
        <v>2176</v>
      </c>
      <c r="AX9" s="113">
        <f>'Income Statement'!BE248</f>
        <v>2351</v>
      </c>
      <c r="AY9" s="113">
        <f>'Income Statement'!BG248</f>
        <v>2279</v>
      </c>
      <c r="AZ9" s="113">
        <f>'Income Statement'!BH248</f>
        <v>2471</v>
      </c>
      <c r="BA9" s="113">
        <f>'Income Statement'!BI248</f>
        <v>2608</v>
      </c>
      <c r="BB9" s="113">
        <f>'Income Statement'!BJ248</f>
        <v>2608</v>
      </c>
      <c r="BC9" s="113">
        <f>'Income Statement'!BL248</f>
        <v>3184</v>
      </c>
      <c r="BD9" s="113">
        <f>'Income Statement'!BM248</f>
        <v>3306</v>
      </c>
      <c r="BE9" s="113">
        <f>'Income Statement'!BN248</f>
        <v>3405</v>
      </c>
      <c r="BF9" s="113">
        <f>'Income Statement'!BO248</f>
        <v>3165</v>
      </c>
      <c r="BG9" s="113">
        <f>'Income Statement'!BQ248</f>
        <v>3119</v>
      </c>
      <c r="BH9" s="113">
        <f>'Income Statement'!BR248</f>
        <v>3369</v>
      </c>
      <c r="BI9" s="113">
        <f>'Income Statement'!BS248</f>
        <v>3418</v>
      </c>
      <c r="BJ9" s="113">
        <f>'Income Statement'!BT248</f>
        <v>3381</v>
      </c>
      <c r="BK9" s="113">
        <f>'Income Statement'!BV248</f>
        <v>3174</v>
      </c>
      <c r="BL9" s="113">
        <f>'Income Statement'!BW248</f>
        <v>3560</v>
      </c>
      <c r="BM9" s="113">
        <f>'Income Statement'!BX248</f>
        <v>3643</v>
      </c>
      <c r="BN9" s="113">
        <f>'Income Statement'!BY248</f>
        <v>3858</v>
      </c>
      <c r="BO9" s="113">
        <f>'Income Statement'!CA248</f>
        <v>3583</v>
      </c>
      <c r="BP9" s="113">
        <f>'Income Statement'!CB248</f>
        <v>4069</v>
      </c>
      <c r="BQ9" s="113">
        <f>'Income Statement'!CC248</f>
        <v>4103</v>
      </c>
      <c r="BR9" s="113">
        <f>'Income Statement'!CD248</f>
        <v>4130</v>
      </c>
      <c r="BS9" s="113">
        <f>'Income Statement'!CF248</f>
        <v>4454</v>
      </c>
      <c r="BT9" s="113">
        <f>'Income Statement'!CG248</f>
        <v>4503</v>
      </c>
      <c r="BU9" s="113">
        <f>'Income Statement'!CH248</f>
        <v>4339</v>
      </c>
      <c r="BV9" s="113">
        <f>'Income Statement'!CI248</f>
        <v>4583</v>
      </c>
      <c r="BW9" s="113">
        <f>'Income Statement'!CK248</f>
        <v>4321</v>
      </c>
      <c r="BX9" s="113">
        <f>'Income Statement'!CL248</f>
        <v>4487</v>
      </c>
      <c r="BY9" s="1522">
        <f>'Income Statement'!CM248</f>
        <v>4858</v>
      </c>
      <c r="CC9" s="316"/>
      <c r="CJ9" t="s">
        <v>2</v>
      </c>
      <c r="CL9" s="270">
        <f>'Income Statement'!C248</f>
        <v>3509</v>
      </c>
      <c r="CM9" s="270">
        <f>'Income Statement'!H248</f>
        <v>5132</v>
      </c>
      <c r="CN9" s="270">
        <f>'Income Statement'!M248</f>
        <v>6205</v>
      </c>
      <c r="CO9" s="270">
        <f>'Income Statement'!R248</f>
        <v>9287</v>
      </c>
      <c r="CP9" s="270">
        <f>'Income Statement'!W248</f>
        <v>9348</v>
      </c>
      <c r="CQ9" s="270">
        <f>'Income Statement'!AB248</f>
        <v>9745</v>
      </c>
      <c r="CR9" s="270">
        <f>'Income Statement'!AG248</f>
        <v>8659</v>
      </c>
      <c r="CS9" s="270">
        <f>'Income Statement'!AL248</f>
        <v>8623</v>
      </c>
      <c r="CT9" s="270">
        <f>'Income Statement'!AQ248</f>
        <v>8393</v>
      </c>
      <c r="CU9" s="270">
        <f>'Income Statement'!AV248</f>
        <v>8057</v>
      </c>
      <c r="CV9" s="270">
        <f>'Income Statement'!BA248</f>
        <v>8321</v>
      </c>
      <c r="CW9" s="270">
        <f>'Income Statement'!BF248</f>
        <v>8513</v>
      </c>
      <c r="CX9" s="270">
        <f>'Income Statement'!BK248</f>
        <v>9966</v>
      </c>
      <c r="CY9" s="270">
        <f>'Income Statement'!BP248</f>
        <v>13060</v>
      </c>
      <c r="CZ9" s="270">
        <f>'Income Statement'!BU248</f>
        <v>13287</v>
      </c>
      <c r="DA9" s="270">
        <f>'Income Statement'!BZ248</f>
        <v>14235</v>
      </c>
      <c r="DB9" s="270">
        <f>'Income Statement'!CE248</f>
        <v>15885</v>
      </c>
      <c r="DC9" s="270">
        <f>'Income Statement'!CJ248</f>
        <v>17879</v>
      </c>
      <c r="DD9" s="270">
        <f>'Income Statement'!CO248</f>
        <v>18547.777952688124</v>
      </c>
      <c r="DE9" s="270">
        <f>'Income Statement'!CP248</f>
        <v>22026.102884302556</v>
      </c>
      <c r="DF9" s="270">
        <f>'Income Statement'!CQ248</f>
        <v>24266.810115801967</v>
      </c>
      <c r="DG9" s="270">
        <f>'Income Statement'!CR248</f>
        <v>26620.859772424206</v>
      </c>
      <c r="DH9" s="270">
        <f>'Income Statement'!CS248</f>
        <v>27939.493298103363</v>
      </c>
      <c r="DI9" s="270">
        <f>'Income Statement'!CT248</f>
        <v>29320.919629442382</v>
      </c>
    </row>
    <row r="10" spans="1:113">
      <c r="A10" s="94" t="s">
        <v>99</v>
      </c>
      <c r="B10" s="94"/>
      <c r="C10" s="113"/>
      <c r="D10" s="113"/>
      <c r="E10" s="113"/>
      <c r="F10" s="113"/>
      <c r="G10" s="113">
        <f>'Income Statement'!D271</f>
        <v>321</v>
      </c>
      <c r="H10" s="113">
        <f>'Income Statement'!E271</f>
        <v>329</v>
      </c>
      <c r="I10" s="113">
        <f>'Income Statement'!F271</f>
        <v>78</v>
      </c>
      <c r="J10" s="113">
        <f>'Income Statement'!G271</f>
        <v>-742</v>
      </c>
      <c r="K10" s="113">
        <f>'Income Statement'!I271</f>
        <v>-305</v>
      </c>
      <c r="L10" s="113">
        <f>'Income Statement'!J271</f>
        <v>1011</v>
      </c>
      <c r="M10" s="113">
        <f>'Income Statement'!K271</f>
        <v>496</v>
      </c>
      <c r="N10" s="113">
        <f>'Income Statement'!L271</f>
        <v>507.50000000000011</v>
      </c>
      <c r="O10" s="113">
        <f>'Income Statement'!N271</f>
        <v>599</v>
      </c>
      <c r="P10" s="113">
        <f>'Income Statement'!O271</f>
        <v>722</v>
      </c>
      <c r="Q10" s="113">
        <f>'Income Statement'!P271</f>
        <v>761</v>
      </c>
      <c r="R10" s="113">
        <f>'Income Statement'!Q271</f>
        <v>810</v>
      </c>
      <c r="S10" s="113">
        <f>'Income Statement'!S271</f>
        <v>756</v>
      </c>
      <c r="T10" s="113">
        <f>'Income Statement'!T271</f>
        <v>767</v>
      </c>
      <c r="U10" s="113">
        <f>'Income Statement'!U271</f>
        <v>661</v>
      </c>
      <c r="V10" s="113">
        <f>'Income Statement'!V271</f>
        <v>761</v>
      </c>
      <c r="W10" s="113">
        <f>'Income Statement'!X271</f>
        <v>667</v>
      </c>
      <c r="X10" s="113">
        <f>'Income Statement'!Y271</f>
        <v>794</v>
      </c>
      <c r="Y10" s="113">
        <f>'Income Statement'!Z271</f>
        <v>736</v>
      </c>
      <c r="Z10" s="113">
        <f>'Income Statement'!AA271</f>
        <v>520</v>
      </c>
      <c r="AA10" s="113">
        <f>'Income Statement'!AC271</f>
        <v>316</v>
      </c>
      <c r="AB10" s="113">
        <f>'Income Statement'!AD271</f>
        <v>354</v>
      </c>
      <c r="AC10" s="113">
        <f>'Income Statement'!AE271</f>
        <v>246</v>
      </c>
      <c r="AD10" s="113">
        <f>'Income Statement'!AF271</f>
        <v>116</v>
      </c>
      <c r="AE10" s="113">
        <f>'Income Statement'!AH271</f>
        <v>380</v>
      </c>
      <c r="AF10" s="113">
        <f>'Income Statement'!AI271</f>
        <v>-863</v>
      </c>
      <c r="AG10" s="113">
        <f>'Income Statement'!AJ271</f>
        <v>-419</v>
      </c>
      <c r="AH10" s="113">
        <f>'Income Statement'!AK271</f>
        <v>11</v>
      </c>
      <c r="AI10" s="113">
        <f>'Income Statement'!AM271</f>
        <v>-718</v>
      </c>
      <c r="AJ10" s="113">
        <f>'Income Statement'!AN271</f>
        <v>-132</v>
      </c>
      <c r="AK10" s="113">
        <f>'Income Statement'!AO271</f>
        <v>343</v>
      </c>
      <c r="AL10" s="113">
        <f>'Income Statement'!AP271</f>
        <v>482</v>
      </c>
      <c r="AM10" s="113">
        <f>'Income Statement'!AR271</f>
        <v>171</v>
      </c>
      <c r="AN10" s="113">
        <f>'Income Statement'!AS271</f>
        <v>53</v>
      </c>
      <c r="AO10" s="113">
        <f>'Income Statement'!AT271</f>
        <v>-65</v>
      </c>
      <c r="AP10" s="113">
        <f>'Income Statement'!AU271</f>
        <v>215</v>
      </c>
      <c r="AQ10" s="113">
        <f>'Income Statement'!AW271</f>
        <v>46</v>
      </c>
      <c r="AR10" s="113">
        <f>'Income Statement'!AX271</f>
        <v>97</v>
      </c>
      <c r="AS10" s="113">
        <f>'Income Statement'!AY271</f>
        <v>95</v>
      </c>
      <c r="AT10" s="113">
        <f>'Income Statement'!AZ271</f>
        <v>123</v>
      </c>
      <c r="AU10" s="113">
        <f>'Income Statement'!BB271</f>
        <v>16</v>
      </c>
      <c r="AV10" s="113">
        <f>'Income Statement'!BC271</f>
        <v>-96</v>
      </c>
      <c r="AW10" s="113">
        <f>'Income Statement'!BD271</f>
        <v>-62</v>
      </c>
      <c r="AX10" s="113">
        <f>'Income Statement'!BE271</f>
        <v>-3152</v>
      </c>
      <c r="AY10" s="113">
        <f>'Income Statement'!BG271</f>
        <v>78.575000000000003</v>
      </c>
      <c r="AZ10" s="113">
        <f>'Income Statement'!BH271</f>
        <v>203.42500000000001</v>
      </c>
      <c r="BA10" s="113">
        <f>'Income Statement'!BI271</f>
        <v>215.99999999999989</v>
      </c>
      <c r="BB10" s="113">
        <f>'Income Statement'!BJ271</f>
        <v>213</v>
      </c>
      <c r="BC10" s="113">
        <f>'Income Statement'!BL271</f>
        <v>1520.0000000000002</v>
      </c>
      <c r="BD10" s="113">
        <f>'Income Statement'!BM271</f>
        <v>224.00000000000006</v>
      </c>
      <c r="BE10" s="113">
        <f>'Income Statement'!BN271</f>
        <v>331</v>
      </c>
      <c r="BF10" s="113">
        <f>'Income Statement'!BO271</f>
        <v>-1703</v>
      </c>
      <c r="BG10" s="113">
        <f>'Income Statement'!BQ271</f>
        <v>321</v>
      </c>
      <c r="BH10" s="113">
        <f>'Income Statement'!BR271</f>
        <v>395.00000000000011</v>
      </c>
      <c r="BI10" s="113">
        <f>'Income Statement'!BS271</f>
        <v>299.99999999999994</v>
      </c>
      <c r="BJ10" s="113">
        <f>'Income Statement'!BT271</f>
        <v>271.80700000000013</v>
      </c>
      <c r="BK10" s="113">
        <f>'Income Statement'!BV271</f>
        <v>139.09200000000007</v>
      </c>
      <c r="BL10" s="113">
        <f>'Income Statement'!BW271</f>
        <v>477.91999999999996</v>
      </c>
      <c r="BM10" s="113">
        <f>'Income Statement'!BX271</f>
        <v>371.76000000000016</v>
      </c>
      <c r="BN10" s="113">
        <f>'Income Statement'!BY271</f>
        <v>132.41599999999994</v>
      </c>
      <c r="BO10" s="113">
        <f>'Income Statement'!CA271</f>
        <v>204.17500000000007</v>
      </c>
      <c r="BP10" s="113">
        <f>'Income Statement'!CB271</f>
        <v>453.34899999999999</v>
      </c>
      <c r="BQ10" s="113">
        <f>'Income Statement'!CC271</f>
        <v>361.05899999999986</v>
      </c>
      <c r="BR10" s="113">
        <f>'Income Statement'!CD271</f>
        <v>265.86500000000007</v>
      </c>
      <c r="BS10" s="113">
        <f>'Income Statement'!CF271</f>
        <v>547.42999999999995</v>
      </c>
      <c r="BT10" s="113">
        <f>'Income Statement'!CG271</f>
        <v>489.73500000000001</v>
      </c>
      <c r="BU10" s="113">
        <f>'Income Statement'!CH271</f>
        <v>297.76700000000005</v>
      </c>
      <c r="BV10" s="113">
        <f>'Income Statement'!CI271</f>
        <v>512.69899999999996</v>
      </c>
      <c r="BW10" s="113">
        <f>'Income Statement'!CK271</f>
        <v>388.23200000000003</v>
      </c>
      <c r="BX10" s="113">
        <f>'Income Statement'!CL271</f>
        <v>-1607</v>
      </c>
      <c r="BY10" s="1522">
        <f>'Income Statement'!CM271</f>
        <v>-1376.8369999999995</v>
      </c>
      <c r="CC10" s="316"/>
      <c r="CJ10" t="s">
        <v>99</v>
      </c>
      <c r="CL10" s="270">
        <f>'Income Statement'!C271</f>
        <v>252</v>
      </c>
      <c r="CM10" s="270">
        <f>'Income Statement'!H271</f>
        <v>-14</v>
      </c>
      <c r="CN10" s="270">
        <f>'Income Statement'!M271</f>
        <v>1709.5000000000002</v>
      </c>
      <c r="CO10" s="270">
        <f>'Income Statement'!R271</f>
        <v>2892</v>
      </c>
      <c r="CP10" s="270">
        <f>'Income Statement'!W271</f>
        <v>2830</v>
      </c>
      <c r="CQ10" s="270">
        <f>'Income Statement'!AB271</f>
        <v>2717</v>
      </c>
      <c r="CR10" s="270">
        <f>'Income Statement'!AG271</f>
        <v>1032</v>
      </c>
      <c r="CS10" s="270">
        <f>'Income Statement'!AL271</f>
        <v>-891</v>
      </c>
      <c r="CT10" s="270">
        <f>'Income Statement'!AQ271</f>
        <v>-25</v>
      </c>
      <c r="CU10" s="270">
        <f>'Income Statement'!AV271</f>
        <v>374</v>
      </c>
      <c r="CV10" s="270">
        <f>'Income Statement'!BA271</f>
        <v>361</v>
      </c>
      <c r="CW10" s="270">
        <f>'Income Statement'!BF271</f>
        <v>-3294</v>
      </c>
      <c r="CX10" s="270">
        <f>'Income Statement'!BK271</f>
        <v>711</v>
      </c>
      <c r="CY10" s="270">
        <f>'Income Statement'!BP271</f>
        <v>-1654.7730000000001</v>
      </c>
      <c r="CZ10" s="270">
        <f>'Income Statement'!BU271</f>
        <v>1287.8070000000002</v>
      </c>
      <c r="DA10" s="270">
        <f>'Income Statement'!BZ271</f>
        <v>1121.1880000000001</v>
      </c>
      <c r="DB10" s="270">
        <f>'Income Statement'!CE271</f>
        <v>1284.4479999999999</v>
      </c>
      <c r="DC10" s="270">
        <f>'Income Statement'!CJ271</f>
        <v>1847.6309999999999</v>
      </c>
      <c r="DD10" s="270">
        <f>'Income Statement'!CO271</f>
        <v>-2284.2333262787533</v>
      </c>
      <c r="DE10" s="270">
        <f>'Income Statement'!CP271</f>
        <v>736.32068869677698</v>
      </c>
      <c r="DF10" s="270">
        <f>'Income Statement'!CQ271</f>
        <v>2202.5305303360401</v>
      </c>
      <c r="DG10" s="270">
        <f>'Income Statement'!CR271</f>
        <v>4360.0040675784803</v>
      </c>
      <c r="DH10" s="270">
        <f>'Income Statement'!CS271</f>
        <v>5570.065627360118</v>
      </c>
      <c r="DI10" s="270">
        <f>'Income Statement'!CT271</f>
        <v>6701.2555973886965</v>
      </c>
    </row>
    <row r="11" spans="1:113">
      <c r="A11" s="94" t="s">
        <v>248</v>
      </c>
      <c r="B11" s="94"/>
      <c r="C11" s="113"/>
      <c r="D11" s="113"/>
      <c r="E11" s="113"/>
      <c r="F11" s="113"/>
      <c r="G11" s="113">
        <f>'Income Statement'!D27</f>
        <v>1827</v>
      </c>
      <c r="H11" s="113">
        <f>'Income Statement'!E27</f>
        <v>3457</v>
      </c>
      <c r="I11" s="113">
        <f>'Income Statement'!F27</f>
        <v>3393</v>
      </c>
      <c r="J11" s="113">
        <f>'Income Statement'!G27</f>
        <v>2705</v>
      </c>
      <c r="K11" s="113">
        <f>'Income Statement'!I27</f>
        <v>1767</v>
      </c>
      <c r="L11" s="113">
        <f>'Income Statement'!J27</f>
        <v>1104</v>
      </c>
      <c r="M11" s="113">
        <f>'Income Statement'!K27</f>
        <v>594</v>
      </c>
      <c r="N11" s="113">
        <f>'Income Statement'!L27</f>
        <v>1817.6999999999998</v>
      </c>
      <c r="O11" s="113">
        <f>'Income Statement'!N27</f>
        <v>734</v>
      </c>
      <c r="P11" s="113">
        <f>'Income Statement'!O27</f>
        <v>1055</v>
      </c>
      <c r="Q11" s="113">
        <f>'Income Statement'!P27</f>
        <v>1676</v>
      </c>
      <c r="R11" s="113">
        <f>'Income Statement'!Q27</f>
        <v>1383</v>
      </c>
      <c r="S11" s="113">
        <f>'Income Statement'!S27</f>
        <v>1302</v>
      </c>
      <c r="T11" s="113">
        <f>'Income Statement'!T27</f>
        <v>1284</v>
      </c>
      <c r="U11" s="113">
        <f>'Income Statement'!U27</f>
        <v>1551</v>
      </c>
      <c r="V11" s="113">
        <f>'Income Statement'!V27</f>
        <v>2385</v>
      </c>
      <c r="W11" s="113">
        <f>'Income Statement'!X27</f>
        <v>2528</v>
      </c>
      <c r="X11" s="113">
        <f>'Income Statement'!Y27</f>
        <v>2744</v>
      </c>
      <c r="Y11" s="113">
        <f>'Income Statement'!Z27</f>
        <v>1909</v>
      </c>
      <c r="Z11" s="113">
        <f>'Income Statement'!AA27</f>
        <v>2995</v>
      </c>
      <c r="AA11" s="113">
        <f>'Income Statement'!AC27</f>
        <v>1791</v>
      </c>
      <c r="AB11" s="113">
        <f>'Income Statement'!AD27</f>
        <v>2257</v>
      </c>
      <c r="AC11" s="113">
        <f>'Income Statement'!AE27</f>
        <v>1793</v>
      </c>
      <c r="AD11" s="113">
        <f>'Income Statement'!AF27</f>
        <v>1553</v>
      </c>
      <c r="AE11" s="113">
        <f>'Income Statement'!AH27</f>
        <v>1747</v>
      </c>
      <c r="AF11" s="113">
        <f>'Income Statement'!AI27</f>
        <v>1855</v>
      </c>
      <c r="AG11" s="113">
        <f>'Income Statement'!AJ27</f>
        <v>1692</v>
      </c>
      <c r="AH11" s="113">
        <f>'Income Statement'!AK27</f>
        <v>1801</v>
      </c>
      <c r="AI11" s="113">
        <f>'Income Statement'!AM27</f>
        <v>1211</v>
      </c>
      <c r="AJ11" s="113">
        <f>'Income Statement'!AN27</f>
        <v>1071</v>
      </c>
      <c r="AK11" s="113">
        <f>'Income Statement'!AO27</f>
        <v>682</v>
      </c>
      <c r="AL11" s="113">
        <f>'Income Statement'!AP27</f>
        <v>1182</v>
      </c>
      <c r="AM11" s="113">
        <f>'Income Statement'!AR27</f>
        <v>1048</v>
      </c>
      <c r="AN11" s="113">
        <f>'Income Statement'!AS27</f>
        <v>822</v>
      </c>
      <c r="AO11" s="113">
        <f>'Income Statement'!AT27</f>
        <v>2521</v>
      </c>
      <c r="AP11" s="113">
        <f>'Income Statement'!AU27</f>
        <v>1193</v>
      </c>
      <c r="AQ11" s="113">
        <f>'Income Statement'!AW27</f>
        <v>1306</v>
      </c>
      <c r="AR11" s="113">
        <f>'Income Statement'!AX27</f>
        <v>2397</v>
      </c>
      <c r="AS11" s="113">
        <f>'Income Statement'!AY27</f>
        <v>1556</v>
      </c>
      <c r="AT11" s="113">
        <f>'Income Statement'!AZ27</f>
        <v>1438</v>
      </c>
      <c r="AU11" s="113">
        <f>'Income Statement'!BB27</f>
        <v>1559</v>
      </c>
      <c r="AV11" s="113">
        <f>'Income Statement'!BC27</f>
        <v>1712</v>
      </c>
      <c r="AW11" s="113">
        <f>'Income Statement'!BD27</f>
        <v>1669</v>
      </c>
      <c r="AX11" s="113">
        <f>'Income Statement'!BE27</f>
        <v>1852</v>
      </c>
      <c r="AY11" s="113">
        <f>'Income Statement'!BG27</f>
        <v>1511</v>
      </c>
      <c r="AZ11" s="113">
        <f>'Income Statement'!BH27</f>
        <v>2095</v>
      </c>
      <c r="BA11" s="113">
        <f>'Income Statement'!BI27</f>
        <v>1909</v>
      </c>
      <c r="BB11" s="113">
        <f>'Income Statement'!BJ27</f>
        <v>2481</v>
      </c>
      <c r="BC11" s="113">
        <f>'Income Statement'!BL27</f>
        <v>1784</v>
      </c>
      <c r="BD11" s="113">
        <f>'Income Statement'!BM27</f>
        <v>1951</v>
      </c>
      <c r="BE11" s="113">
        <f>'Income Statement'!BN27</f>
        <v>1334</v>
      </c>
      <c r="BF11" s="113">
        <f>'Income Statement'!BO27</f>
        <v>1086</v>
      </c>
      <c r="BG11" s="113">
        <f>'Income Statement'!BQ27</f>
        <v>1716</v>
      </c>
      <c r="BH11" s="113">
        <f>'Income Statement'!BR27</f>
        <v>2857</v>
      </c>
      <c r="BI11" s="113">
        <f>'Income Statement'!BS27</f>
        <v>1783</v>
      </c>
      <c r="BJ11" s="113">
        <f>'Income Statement'!BT27</f>
        <v>3565</v>
      </c>
      <c r="BK11" s="113">
        <f>'Income Statement'!BV27</f>
        <v>1234</v>
      </c>
      <c r="BL11" s="113">
        <f>'Income Statement'!BW27</f>
        <v>1983.5380000000005</v>
      </c>
      <c r="BM11" s="113">
        <f>'Income Statement'!BX27</f>
        <v>3102.4619999999995</v>
      </c>
      <c r="BN11" s="113">
        <f>'Income Statement'!BY27</f>
        <v>2743</v>
      </c>
      <c r="BO11" s="113">
        <f>'Income Statement'!CA27</f>
        <v>1413</v>
      </c>
      <c r="BP11" s="113">
        <f>'Income Statement'!CB27</f>
        <v>1743</v>
      </c>
      <c r="BQ11" s="113">
        <f>'Income Statement'!CC27</f>
        <v>2389</v>
      </c>
      <c r="BR11" s="113">
        <f>'Income Statement'!CD27</f>
        <v>1613</v>
      </c>
      <c r="BS11" s="113">
        <f>'Income Statement'!CF27</f>
        <v>2057</v>
      </c>
      <c r="BT11" s="113">
        <f>'Income Statement'!CG27</f>
        <v>2088</v>
      </c>
      <c r="BU11" s="113">
        <f>'Income Statement'!CH27</f>
        <v>1504</v>
      </c>
      <c r="BV11" s="113">
        <f>'Income Statement'!CI27</f>
        <v>1733</v>
      </c>
      <c r="BW11" s="113">
        <f>'Income Statement'!CK27</f>
        <v>1241</v>
      </c>
      <c r="BX11" s="113">
        <f>'Income Statement'!CL27</f>
        <v>1090</v>
      </c>
      <c r="BY11" s="1522">
        <f>'Income Statement'!CM27</f>
        <v>1929</v>
      </c>
      <c r="CC11" s="316"/>
      <c r="CJ11" t="s">
        <v>248</v>
      </c>
      <c r="CL11" s="270">
        <f>'Income Statement'!C27</f>
        <v>6868</v>
      </c>
      <c r="CM11" s="270">
        <f>'Income Statement'!H27</f>
        <v>11382</v>
      </c>
      <c r="CN11" s="270">
        <f>'Income Statement'!M27</f>
        <v>5282.7</v>
      </c>
      <c r="CO11" s="270">
        <f>'Income Statement'!R27</f>
        <v>4848</v>
      </c>
      <c r="CP11" s="270">
        <f>'Income Statement'!W27</f>
        <v>6522</v>
      </c>
      <c r="CQ11" s="270">
        <f>'Income Statement'!AB27</f>
        <v>10176</v>
      </c>
      <c r="CR11" s="270">
        <f>'Income Statement'!AG27</f>
        <v>7394</v>
      </c>
      <c r="CS11" s="270">
        <f>'Income Statement'!AL27</f>
        <v>7095</v>
      </c>
      <c r="CT11" s="270">
        <f>'Income Statement'!AQ27</f>
        <v>4146</v>
      </c>
      <c r="CU11" s="270">
        <f>'Income Statement'!AV27</f>
        <v>5584</v>
      </c>
      <c r="CV11" s="270">
        <f>'Income Statement'!BA27</f>
        <v>6697</v>
      </c>
      <c r="CW11" s="270">
        <f>'Income Statement'!BF27</f>
        <v>6792</v>
      </c>
      <c r="CX11" s="270">
        <f>'Income Statement'!BK27</f>
        <v>7996</v>
      </c>
      <c r="CY11" s="270">
        <f>'Income Statement'!BP27</f>
        <v>6155</v>
      </c>
      <c r="CZ11" s="270">
        <f>'Income Statement'!BU27</f>
        <v>9921</v>
      </c>
      <c r="DA11" s="270">
        <f>'Income Statement'!BZ27</f>
        <v>9063</v>
      </c>
      <c r="DB11" s="270">
        <f>'Income Statement'!CE27</f>
        <v>7158</v>
      </c>
      <c r="DC11" s="270">
        <f>'Income Statement'!CJ27</f>
        <v>7382</v>
      </c>
      <c r="DD11" s="270">
        <f>'Income Statement'!CO27</f>
        <v>20387.570799343855</v>
      </c>
      <c r="DE11" s="270">
        <f>'Income Statement'!CP27</f>
        <v>10401.935594551464</v>
      </c>
      <c r="DF11" s="270">
        <f>'Income Statement'!CQ27</f>
        <v>10361.99235565762</v>
      </c>
      <c r="DG11" s="270">
        <f>'Income Statement'!CR27</f>
        <v>10813.115188025306</v>
      </c>
      <c r="DH11" s="270">
        <f>'Income Statement'!CS27</f>
        <v>11283.256908849437</v>
      </c>
      <c r="DI11" s="270">
        <f>'Income Statement'!CT27</f>
        <v>12053.5329260614</v>
      </c>
    </row>
    <row r="12" spans="1:113">
      <c r="A12" s="94" t="s">
        <v>464</v>
      </c>
      <c r="B12" s="94"/>
      <c r="C12" s="114"/>
      <c r="D12" s="114"/>
      <c r="E12" s="114"/>
      <c r="F12" s="114"/>
      <c r="G12" s="114">
        <f>'Income Statement'!D35</f>
        <v>2.8681318681318682</v>
      </c>
      <c r="H12" s="114">
        <f>'Income Statement'!E35</f>
        <v>5.0320232896652106</v>
      </c>
      <c r="I12" s="114">
        <f>'Income Statement'!F35</f>
        <v>4.6163265306122447</v>
      </c>
      <c r="J12" s="114">
        <f>'Income Statement'!G35</f>
        <v>2.0492424242424243</v>
      </c>
      <c r="K12" s="114">
        <f>'Income Statement'!I35</f>
        <v>1.9898648648648649</v>
      </c>
      <c r="L12" s="114">
        <f>'Income Statement'!J35</f>
        <v>1.1858216970998925</v>
      </c>
      <c r="M12" s="114">
        <f>'Income Statement'!K35</f>
        <v>0.64077669902912626</v>
      </c>
      <c r="N12" s="114">
        <f>'Income Statement'!L35</f>
        <v>1.8268341708542712</v>
      </c>
      <c r="O12" s="114">
        <f>'Income Statement'!N35</f>
        <v>0.75436793422404935</v>
      </c>
      <c r="P12" s="114">
        <f>'Income Statement'!O35</f>
        <v>1.0798362333674514</v>
      </c>
      <c r="Q12" s="114">
        <f>'Income Statement'!P35</f>
        <v>1.6709870388833499</v>
      </c>
      <c r="R12" s="114">
        <f>'Income Statement'!Q35</f>
        <v>1.1830624465355004</v>
      </c>
      <c r="S12" s="114">
        <f>'Income Statement'!S35</f>
        <v>1.096882898062342</v>
      </c>
      <c r="T12" s="114">
        <f>'Income Statement'!T35</f>
        <v>1.1021459227467811</v>
      </c>
      <c r="U12" s="114">
        <f>'Income Statement'!U35</f>
        <v>1.3256410256410256</v>
      </c>
      <c r="V12" s="114">
        <f>'Income Statement'!V35</f>
        <v>2.054263565891473</v>
      </c>
      <c r="W12" s="114">
        <f>'Income Statement'!X35</f>
        <v>2.0840890354492991</v>
      </c>
      <c r="X12" s="114">
        <f>'Income Statement'!Y35</f>
        <v>2.182975338106603</v>
      </c>
      <c r="Y12" s="114">
        <f>'Income Statement'!Z35</f>
        <v>1.4821428571428572</v>
      </c>
      <c r="Z12" s="114">
        <f>'Income Statement'!AA35</f>
        <v>2.2897553516819573</v>
      </c>
      <c r="AA12" s="114">
        <f>'Income Statement'!AC35</f>
        <v>1.3506787330316743</v>
      </c>
      <c r="AB12" s="114">
        <f>'Income Statement'!AD35</f>
        <v>1.6284271284271283</v>
      </c>
      <c r="AC12" s="114">
        <f>'Income Statement'!AE35</f>
        <v>1.1398601398601398</v>
      </c>
      <c r="AD12" s="114">
        <f>'Income Statement'!AF35</f>
        <v>1.0535956580732699</v>
      </c>
      <c r="AE12" s="114">
        <f>'Income Statement'!AH35</f>
        <v>1.122029543994862</v>
      </c>
      <c r="AF12" s="114">
        <f>'Income Statement'!AI35</f>
        <v>1.0847953216374269</v>
      </c>
      <c r="AG12" s="114">
        <f>'Income Statement'!AJ35</f>
        <v>0.88725747246984787</v>
      </c>
      <c r="AH12" s="114">
        <f>'Income Statement'!AK35</f>
        <v>1.0095291479820627</v>
      </c>
      <c r="AI12" s="114">
        <f>'Income Statement'!AM35</f>
        <v>0.67615857063093243</v>
      </c>
      <c r="AJ12" s="114">
        <f>'Income Statement'!AN35</f>
        <v>0.60101010101010099</v>
      </c>
      <c r="AK12" s="114">
        <f>'Income Statement'!AO35</f>
        <v>0.40571088637715647</v>
      </c>
      <c r="AL12" s="114">
        <f>'Income Statement'!AP35</f>
        <v>0.62838915470494416</v>
      </c>
      <c r="AM12" s="114">
        <f>'Income Statement'!AR35</f>
        <v>0.56012827365045426</v>
      </c>
      <c r="AN12" s="114">
        <f>'Income Statement'!AS35</f>
        <v>0.39330143540669854</v>
      </c>
      <c r="AO12" s="114">
        <f>'Income Statement'!AT35</f>
        <v>1.4005555555555556</v>
      </c>
      <c r="AP12" s="114">
        <f>'Income Statement'!AU35</f>
        <v>0.52210065645514225</v>
      </c>
      <c r="AQ12" s="114">
        <f>'Income Statement'!AW35</f>
        <v>0.77784395473496126</v>
      </c>
      <c r="AR12" s="114">
        <f>'Income Statement'!AX35</f>
        <v>1.4083431257344301</v>
      </c>
      <c r="AS12" s="114">
        <f>'Income Statement'!AY35</f>
        <v>0.91260997067448679</v>
      </c>
      <c r="AT12" s="114">
        <f>'Income Statement'!AZ35</f>
        <v>0.77104557640750671</v>
      </c>
      <c r="AU12" s="114">
        <f>'Income Statement'!BB35</f>
        <v>0.8436147186147186</v>
      </c>
      <c r="AV12" s="114">
        <f>'Income Statement'!BC35</f>
        <v>0.92340884573894277</v>
      </c>
      <c r="AW12" s="114">
        <f>'Income Statement'!BD35</f>
        <v>0.86746361746361744</v>
      </c>
      <c r="AX12" s="114">
        <f>'Income Statement'!BE35</f>
        <v>0.30892410341951626</v>
      </c>
      <c r="AY12" s="114">
        <f>'Income Statement'!BG35</f>
        <v>0.90155131264916466</v>
      </c>
      <c r="AZ12" s="114">
        <f>'Income Statement'!BH35</f>
        <v>1.2575030012004802</v>
      </c>
      <c r="BA12" s="114">
        <f>'Income Statement'!BI35</f>
        <v>1.0712682379349046</v>
      </c>
      <c r="BB12" s="114">
        <f>'Income Statement'!BJ35</f>
        <v>1.3345884884346422</v>
      </c>
      <c r="BC12" s="114">
        <f>'Income Statement'!BL35</f>
        <v>0.71131213564690543</v>
      </c>
      <c r="BD12" s="114">
        <f>'Income Statement'!BM35</f>
        <v>0.81235715567569511</v>
      </c>
      <c r="BE12" s="114">
        <f>'Income Statement'!BN35</f>
        <v>0.59378484424275735</v>
      </c>
      <c r="BF12" s="114">
        <f>'Income Statement'!BO35</f>
        <v>0.22080400716576093</v>
      </c>
      <c r="BG12" s="114">
        <f>'Income Statement'!BQ35</f>
        <v>0.70910936937614499</v>
      </c>
      <c r="BH12" s="114">
        <f>'Income Statement'!BR35</f>
        <v>1.1429888217533535</v>
      </c>
      <c r="BI12" s="114">
        <f>'Income Statement'!BS35</f>
        <v>0.71317803411654945</v>
      </c>
      <c r="BJ12" s="114">
        <f>'Income Statement'!BT35</f>
        <v>1.4054101787177133</v>
      </c>
      <c r="BK12" s="114">
        <f>'Income Statement'!BV35</f>
        <v>0.48186805484236389</v>
      </c>
      <c r="BL12" s="114">
        <f>'Income Statement'!BW35</f>
        <v>0.78224104314685616</v>
      </c>
      <c r="BM12" s="114">
        <f>'Income Statement'!BX35</f>
        <v>1.2022893574871472</v>
      </c>
      <c r="BN12" s="114">
        <f>'Income Statement'!BY35</f>
        <v>0.95003731918379219</v>
      </c>
      <c r="BO12" s="114">
        <f>'Income Statement'!CA35</f>
        <v>0.51607106660165558</v>
      </c>
      <c r="BP12" s="114">
        <f>'Income Statement'!CB35</f>
        <v>0.61587081058562843</v>
      </c>
      <c r="BQ12" s="114">
        <f>'Income Statement'!CC35</f>
        <v>0.80798255650551065</v>
      </c>
      <c r="BR12" s="114">
        <f>'Income Statement'!CD35</f>
        <v>0.57140286310739041</v>
      </c>
      <c r="BS12" s="114">
        <f>'Income Statement'!CF35</f>
        <v>0.68402068489192169</v>
      </c>
      <c r="BT12" s="114">
        <f>'Income Statement'!CG35</f>
        <v>0.65937834643195159</v>
      </c>
      <c r="BU12" s="114">
        <f>'Income Statement'!CH35</f>
        <v>0.51861568233134292</v>
      </c>
      <c r="BV12" s="114">
        <f>'Income Statement'!CI35</f>
        <v>0.57757637222714198</v>
      </c>
      <c r="BW12" s="114">
        <f>'Income Statement'!CK35</f>
        <v>0.43220479472187745</v>
      </c>
      <c r="BX12" s="114">
        <f>'Income Statement'!CL35</f>
        <v>0.23484617360173876</v>
      </c>
      <c r="BY12" s="1524">
        <f>'Income Statement'!CM35</f>
        <v>0.37299745901523657</v>
      </c>
      <c r="CC12" s="316"/>
      <c r="CJ12" t="s">
        <v>464</v>
      </c>
      <c r="CL12" s="270"/>
      <c r="CM12" s="270"/>
      <c r="CN12" s="270"/>
      <c r="CO12" s="270"/>
      <c r="CP12" s="270"/>
      <c r="CQ12" s="270"/>
      <c r="CR12" s="270"/>
      <c r="CS12" s="270"/>
      <c r="CT12" s="270"/>
      <c r="CU12" s="270"/>
      <c r="CV12" s="270"/>
      <c r="CW12" s="270"/>
      <c r="CX12" s="270"/>
      <c r="CY12" s="270"/>
      <c r="CZ12" s="270"/>
      <c r="DA12" s="270"/>
      <c r="DB12" s="270"/>
      <c r="DC12" s="270"/>
      <c r="DD12" s="270"/>
      <c r="DE12" s="270"/>
      <c r="DF12" s="270"/>
      <c r="DG12" s="270"/>
      <c r="DH12" s="270"/>
      <c r="DI12" s="270"/>
    </row>
    <row r="13" spans="1:113">
      <c r="A13" s="94" t="s">
        <v>227</v>
      </c>
      <c r="B13" s="94"/>
      <c r="C13" s="113"/>
      <c r="D13" s="113"/>
      <c r="E13" s="113"/>
      <c r="F13" s="113"/>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525"/>
      <c r="CC13" s="316"/>
      <c r="CJ13" t="s">
        <v>227</v>
      </c>
      <c r="CL13" s="270"/>
      <c r="CM13" s="270"/>
      <c r="CN13" s="270"/>
      <c r="CO13" s="270"/>
      <c r="CP13" s="270"/>
      <c r="CQ13" s="270"/>
      <c r="CR13" s="270"/>
      <c r="CS13" s="270"/>
      <c r="CT13" s="270"/>
      <c r="CU13" s="270"/>
      <c r="CV13" s="270"/>
      <c r="CW13" s="270"/>
      <c r="CX13" s="270"/>
      <c r="CY13" s="270"/>
      <c r="CZ13" s="270"/>
      <c r="DA13" s="270"/>
      <c r="DB13" s="270"/>
      <c r="DC13" s="270"/>
      <c r="DD13" s="270"/>
      <c r="DE13" s="270"/>
      <c r="DF13" s="270"/>
      <c r="DG13" s="270"/>
      <c r="DH13" s="270"/>
      <c r="DI13" s="270"/>
    </row>
    <row r="14" spans="1:113">
      <c r="A14" s="94" t="s">
        <v>151</v>
      </c>
      <c r="B14" s="94"/>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524"/>
      <c r="CC14" s="316"/>
      <c r="CJ14" t="s">
        <v>151</v>
      </c>
      <c r="CL14" s="270"/>
      <c r="CM14" s="270"/>
      <c r="CN14" s="270"/>
      <c r="CO14" s="270"/>
      <c r="CP14" s="270"/>
      <c r="CQ14" s="270"/>
      <c r="CR14" s="270"/>
      <c r="CS14" s="270"/>
      <c r="CT14" s="270"/>
      <c r="CU14" s="270"/>
      <c r="CV14" s="270"/>
      <c r="CW14" s="270"/>
      <c r="CX14" s="270"/>
      <c r="CY14" s="270"/>
      <c r="CZ14" s="270"/>
      <c r="DA14" s="270"/>
      <c r="DB14" s="270"/>
      <c r="DC14" s="270"/>
      <c r="DD14" s="270"/>
      <c r="DE14" s="270"/>
      <c r="DF14" s="270"/>
      <c r="DG14" s="270"/>
      <c r="DH14" s="270"/>
      <c r="DI14" s="270"/>
    </row>
    <row r="15" spans="1:113">
      <c r="A15" s="1282"/>
      <c r="B15" s="1282"/>
      <c r="C15" s="1283"/>
      <c r="D15" s="1283"/>
      <c r="E15" s="1283"/>
      <c r="F15" s="1283"/>
      <c r="G15" s="1283"/>
      <c r="H15" s="1283"/>
      <c r="I15" s="1283"/>
      <c r="J15" s="1283"/>
      <c r="K15" s="1283"/>
      <c r="L15" s="1283"/>
      <c r="M15" s="1283"/>
      <c r="N15" s="1283"/>
      <c r="O15" s="1283"/>
      <c r="P15" s="1283"/>
      <c r="Q15" s="1283"/>
      <c r="R15" s="1283"/>
      <c r="S15" s="1283"/>
      <c r="T15" s="1283"/>
      <c r="U15" s="1283"/>
      <c r="V15" s="1283"/>
      <c r="W15" s="1283"/>
      <c r="X15" s="1283"/>
      <c r="Y15" s="1283"/>
      <c r="Z15" s="1283"/>
      <c r="AA15" s="1283"/>
      <c r="AB15" s="1283"/>
      <c r="AC15" s="1283"/>
      <c r="AD15" s="1283"/>
      <c r="AE15" s="1283"/>
      <c r="AF15" s="1283"/>
      <c r="AG15" s="1283"/>
      <c r="AH15" s="1283"/>
      <c r="AI15" s="1283"/>
      <c r="AJ15" s="1283"/>
      <c r="AK15" s="1283"/>
      <c r="AL15" s="1283"/>
      <c r="AM15" s="1283"/>
      <c r="AN15" s="1283"/>
      <c r="AO15" s="1283"/>
      <c r="AP15" s="1283"/>
      <c r="AQ15" s="1283"/>
      <c r="AR15" s="1283"/>
      <c r="AS15" s="1283"/>
      <c r="AT15" s="1283"/>
      <c r="AU15" s="1283"/>
      <c r="AV15" s="1283"/>
      <c r="AW15" s="1283"/>
      <c r="AX15" s="1283"/>
      <c r="AY15" s="1283"/>
      <c r="AZ15" s="1283"/>
      <c r="BA15" s="1283"/>
      <c r="BB15" s="1283"/>
      <c r="BC15" s="1283"/>
      <c r="BD15" s="1283"/>
      <c r="BE15" s="1283"/>
      <c r="BF15" s="1283"/>
      <c r="BG15" s="1283"/>
      <c r="BH15" s="1283"/>
      <c r="BI15" s="1283"/>
      <c r="BJ15" s="1283"/>
      <c r="BK15" s="1283"/>
      <c r="BL15" s="1283"/>
      <c r="BM15" s="1283"/>
      <c r="BN15" s="1283"/>
      <c r="BO15" s="1283"/>
      <c r="BP15" s="1283"/>
      <c r="BQ15" s="1283"/>
      <c r="BR15" s="1283"/>
      <c r="BS15" s="1283"/>
      <c r="BT15" s="1283"/>
      <c r="BU15" s="1283"/>
      <c r="BV15" s="1283"/>
      <c r="BW15" s="1283"/>
      <c r="BX15" s="1283"/>
      <c r="BY15" s="1526"/>
      <c r="CC15" s="316"/>
      <c r="CD15" s="1284"/>
      <c r="CE15" s="1284"/>
      <c r="CF15" s="1285"/>
      <c r="CG15" s="1285"/>
      <c r="CH15" s="1285"/>
      <c r="CI15" s="1285"/>
      <c r="CJ15" s="1285"/>
      <c r="CK15" s="1285"/>
      <c r="CL15" s="1285"/>
      <c r="CM15" s="1285"/>
      <c r="CN15" s="1285"/>
      <c r="CO15" s="1285"/>
      <c r="CP15" s="1285"/>
      <c r="CQ15" s="1285"/>
      <c r="CR15" s="1285"/>
      <c r="CS15" s="1285"/>
      <c r="CT15" s="1285"/>
      <c r="CU15" s="1285"/>
      <c r="CV15" s="1285"/>
      <c r="CW15" s="1285"/>
      <c r="CX15" s="1285"/>
      <c r="CY15" s="1285"/>
      <c r="CZ15" s="1285"/>
      <c r="DA15" s="1285"/>
      <c r="DB15" s="1285"/>
      <c r="DC15" s="1285"/>
      <c r="DD15" s="1285"/>
      <c r="DE15" s="1285"/>
      <c r="DF15" s="1285"/>
    </row>
    <row r="16" spans="1:113">
      <c r="A16" s="1282" t="s">
        <v>175</v>
      </c>
      <c r="B16" s="1282"/>
      <c r="C16" s="1283"/>
      <c r="D16" s="1283"/>
      <c r="E16" s="1283"/>
      <c r="F16" s="1283"/>
      <c r="G16" s="1283"/>
      <c r="H16" s="1283"/>
      <c r="I16" s="1283"/>
      <c r="J16" s="1283"/>
      <c r="K16" s="1283"/>
      <c r="L16" s="1283"/>
      <c r="M16" s="1283"/>
      <c r="N16" s="1283"/>
      <c r="O16" s="1283"/>
      <c r="P16" s="1283"/>
      <c r="Q16" s="1283"/>
      <c r="R16" s="1283"/>
      <c r="S16" s="1283"/>
      <c r="T16" s="1283"/>
      <c r="U16" s="1283"/>
      <c r="V16" s="1283"/>
      <c r="W16" s="1283"/>
      <c r="X16" s="1283"/>
      <c r="Y16" s="1283"/>
      <c r="Z16" s="1283"/>
      <c r="AA16" s="113">
        <f>AA17+AA18</f>
        <v>14660</v>
      </c>
      <c r="AB16" s="113">
        <f t="shared" ref="AB16:BW16" si="33">AB17+AB18</f>
        <v>17083</v>
      </c>
      <c r="AC16" s="113">
        <f t="shared" si="33"/>
        <v>17541</v>
      </c>
      <c r="AD16" s="113">
        <f t="shared" si="33"/>
        <v>17822</v>
      </c>
      <c r="AE16" s="113">
        <f t="shared" si="33"/>
        <v>22716</v>
      </c>
      <c r="AF16" s="113">
        <f t="shared" si="33"/>
        <v>24300</v>
      </c>
      <c r="AG16" s="113">
        <f t="shared" si="33"/>
        <v>24307</v>
      </c>
      <c r="AH16" s="113">
        <f t="shared" si="33"/>
        <v>23409</v>
      </c>
      <c r="AI16" s="113">
        <f t="shared" si="33"/>
        <v>23726</v>
      </c>
      <c r="AJ16" s="113">
        <f t="shared" si="33"/>
        <v>22533</v>
      </c>
      <c r="AK16" s="113">
        <f t="shared" si="33"/>
        <v>19720</v>
      </c>
      <c r="AL16" s="113">
        <f t="shared" si="33"/>
        <v>20056</v>
      </c>
      <c r="AM16" s="113">
        <f t="shared" si="33"/>
        <v>18591</v>
      </c>
      <c r="AN16" s="113">
        <f t="shared" si="33"/>
        <v>17889</v>
      </c>
      <c r="AO16" s="113">
        <f t="shared" si="33"/>
        <v>15157</v>
      </c>
      <c r="AP16" s="113">
        <f t="shared" si="33"/>
        <v>14671</v>
      </c>
      <c r="AQ16" s="113">
        <f t="shared" si="33"/>
        <v>14560</v>
      </c>
      <c r="AR16" s="113">
        <f t="shared" si="33"/>
        <v>14564</v>
      </c>
      <c r="AS16" s="113">
        <f t="shared" si="33"/>
        <v>13380</v>
      </c>
      <c r="AT16" s="113">
        <f t="shared" si="33"/>
        <v>14751</v>
      </c>
      <c r="AU16" s="113">
        <f t="shared" si="33"/>
        <v>14826</v>
      </c>
      <c r="AV16" s="113">
        <f t="shared" si="33"/>
        <v>13297</v>
      </c>
      <c r="AW16" s="113">
        <f t="shared" si="33"/>
        <v>14956</v>
      </c>
      <c r="AX16" s="113">
        <f t="shared" si="33"/>
        <v>12564</v>
      </c>
      <c r="AY16" s="113">
        <f t="shared" si="33"/>
        <v>13835</v>
      </c>
      <c r="AZ16" s="113">
        <f t="shared" si="33"/>
        <v>13539</v>
      </c>
      <c r="BA16" s="113">
        <f t="shared" si="33"/>
        <v>13393</v>
      </c>
      <c r="BB16" s="113">
        <f t="shared" si="33"/>
        <v>12810</v>
      </c>
      <c r="BC16" s="113">
        <f t="shared" si="33"/>
        <v>30575.462999999996</v>
      </c>
      <c r="BD16" s="113">
        <f t="shared" si="33"/>
        <v>32428.724000000002</v>
      </c>
      <c r="BE16" s="113">
        <f t="shared" si="33"/>
        <v>31803.036</v>
      </c>
      <c r="BF16" s="113">
        <f t="shared" si="33"/>
        <v>33627.719000000005</v>
      </c>
      <c r="BG16" s="113">
        <f t="shared" si="33"/>
        <v>32247</v>
      </c>
      <c r="BH16" s="113">
        <f t="shared" si="33"/>
        <v>33990.453999999998</v>
      </c>
      <c r="BI16" s="113">
        <f t="shared" si="33"/>
        <v>34607.954000000005</v>
      </c>
      <c r="BJ16" s="113">
        <f t="shared" si="33"/>
        <v>35648.638000000006</v>
      </c>
      <c r="BK16" s="113">
        <f t="shared" si="33"/>
        <v>35787.582999999999</v>
      </c>
      <c r="BL16" s="113">
        <f t="shared" si="33"/>
        <v>39865.625999999997</v>
      </c>
      <c r="BM16" s="113">
        <f t="shared" si="33"/>
        <v>44272.071000000004</v>
      </c>
      <c r="BN16" s="113">
        <f t="shared" si="33"/>
        <v>43769.157000000007</v>
      </c>
      <c r="BO16" s="113">
        <f t="shared" si="33"/>
        <v>40729.142</v>
      </c>
      <c r="BP16" s="113">
        <f t="shared" si="33"/>
        <v>42468.745000000003</v>
      </c>
      <c r="BQ16" s="113">
        <f t="shared" si="33"/>
        <v>44141.624000000003</v>
      </c>
      <c r="BR16" s="113">
        <f t="shared" si="33"/>
        <v>43913.615000000005</v>
      </c>
      <c r="BS16" s="113">
        <f t="shared" si="33"/>
        <v>46047.011999999995</v>
      </c>
      <c r="BT16" s="113">
        <f t="shared" si="33"/>
        <v>43482.864000000001</v>
      </c>
      <c r="BU16" s="113">
        <f t="shared" si="33"/>
        <v>46643.845000000001</v>
      </c>
      <c r="BV16" s="113">
        <f t="shared" si="33"/>
        <v>46088.013999999996</v>
      </c>
      <c r="BW16" s="113">
        <f t="shared" si="33"/>
        <v>44831.834000000003</v>
      </c>
      <c r="BX16" s="113">
        <f t="shared" ref="BX16" si="34">BX17+BX18</f>
        <v>63358.044999999998</v>
      </c>
      <c r="BY16" s="1522">
        <f>BY17+BY18</f>
        <v>61000.071999999993</v>
      </c>
      <c r="CC16" s="316"/>
      <c r="CD16" s="1284"/>
      <c r="CE16" s="1284"/>
      <c r="CF16" s="1285"/>
      <c r="CG16" s="1285"/>
      <c r="CH16" s="1285"/>
      <c r="CI16" s="1285"/>
      <c r="CJ16" s="1285"/>
      <c r="CK16" s="1285"/>
      <c r="CL16" s="1285"/>
      <c r="CM16" s="1285"/>
      <c r="CN16" s="1285"/>
      <c r="CO16" s="1285"/>
      <c r="CP16" s="1285"/>
      <c r="CQ16" s="1285"/>
      <c r="CR16" s="1285"/>
      <c r="CS16" s="1285"/>
      <c r="CT16" s="1285"/>
      <c r="CU16" s="1285"/>
      <c r="CV16" s="1285"/>
      <c r="CW16" s="1285"/>
      <c r="CX16" s="1285"/>
      <c r="CY16" s="1285"/>
      <c r="CZ16" s="1285"/>
      <c r="DA16" s="1285"/>
      <c r="DB16" s="1285"/>
      <c r="DC16" s="1285"/>
      <c r="DD16" s="1285"/>
      <c r="DE16" s="1285"/>
      <c r="DF16" s="1285"/>
    </row>
    <row r="17" spans="1:113">
      <c r="A17" s="1282" t="s">
        <v>1069</v>
      </c>
      <c r="B17" s="1282"/>
      <c r="C17" s="1283"/>
      <c r="D17" s="1283"/>
      <c r="E17" s="1283"/>
      <c r="F17" s="1283"/>
      <c r="G17" s="1283"/>
      <c r="H17" s="1283"/>
      <c r="I17" s="1283"/>
      <c r="J17" s="1283"/>
      <c r="K17" s="1283"/>
      <c r="L17" s="1283"/>
      <c r="M17" s="1283"/>
      <c r="N17" s="1283"/>
      <c r="O17" s="1283"/>
      <c r="P17" s="1283"/>
      <c r="Q17" s="1283"/>
      <c r="R17" s="1283"/>
      <c r="S17" s="1283"/>
      <c r="T17" s="1283"/>
      <c r="U17" s="1283"/>
      <c r="V17" s="1283"/>
      <c r="W17" s="1283"/>
      <c r="X17" s="1283"/>
      <c r="Y17" s="1283"/>
      <c r="Z17" s="1283"/>
      <c r="AA17" s="1291">
        <f>'[16]Reported Group Balance Sheet'!D6</f>
        <v>517</v>
      </c>
      <c r="AB17" s="1291">
        <f>'[16]Reported Group Balance Sheet'!E6</f>
        <v>1902</v>
      </c>
      <c r="AC17" s="1291">
        <f>'[16]Reported Group Balance Sheet'!F6</f>
        <v>2117</v>
      </c>
      <c r="AD17" s="1291">
        <f>'[16]Reported Group Balance Sheet'!G6</f>
        <v>1318</v>
      </c>
      <c r="AE17" s="1291">
        <f>'[16]Reported Group Balance Sheet'!H6</f>
        <v>2472</v>
      </c>
      <c r="AF17" s="1291">
        <f>'[16]Reported Group Balance Sheet'!I6</f>
        <v>2490</v>
      </c>
      <c r="AG17" s="1291">
        <f>'[16]Reported Group Balance Sheet'!J6</f>
        <v>3147</v>
      </c>
      <c r="AH17" s="1291">
        <f>'[16]Reported Group Balance Sheet'!K6</f>
        <v>6951</v>
      </c>
      <c r="AI17" s="1291">
        <f>'[16]Reported Group Balance Sheet'!L6</f>
        <v>6853</v>
      </c>
      <c r="AJ17" s="1291">
        <f>'[16]Reported Group Balance Sheet'!M6</f>
        <v>5500</v>
      </c>
      <c r="AK17" s="1291">
        <f>'[16]Reported Group Balance Sheet'!N6</f>
        <v>3644</v>
      </c>
      <c r="AL17" s="1291">
        <f>'[16]Reported Group Balance Sheet'!O6</f>
        <v>3312</v>
      </c>
      <c r="AM17" s="1291">
        <f>'[16]Reported Group Balance Sheet'!P6</f>
        <v>2222</v>
      </c>
      <c r="AN17" s="1291">
        <f>'[16]Reported Group Balance Sheet'!Q6</f>
        <v>6217</v>
      </c>
      <c r="AO17" s="1291">
        <f>'[16]Reported Group Balance Sheet'!R6</f>
        <v>3343</v>
      </c>
      <c r="AP17" s="1291">
        <f>'[16]Reported Group Balance Sheet'!S6</f>
        <v>1400</v>
      </c>
      <c r="AQ17" s="1291">
        <f>'[16]Reported Group Balance Sheet'!T6</f>
        <v>1730</v>
      </c>
      <c r="AR17" s="1291">
        <f>'[16]Reported Group Balance Sheet'!U6</f>
        <v>1943</v>
      </c>
      <c r="AS17" s="1291">
        <f>'[16]Reported Group Balance Sheet'!V6</f>
        <v>1299</v>
      </c>
      <c r="AT17" s="1291">
        <f>'[16]Reported Group Balance Sheet'!W6</f>
        <v>2455</v>
      </c>
      <c r="AU17" s="1291">
        <f>'[16]Reported Group Balance Sheet'!X6</f>
        <v>3289</v>
      </c>
      <c r="AV17" s="1291">
        <f>'[16]Reported Group Balance Sheet'!Y6</f>
        <v>2094</v>
      </c>
      <c r="AW17" s="1291">
        <f>'[16]Reported Group Balance Sheet'!Z6</f>
        <v>2399</v>
      </c>
      <c r="AX17" s="1291">
        <f>'[16]Reported Group Balance Sheet'!AA6</f>
        <v>1047</v>
      </c>
      <c r="AY17" s="1291">
        <f>'[16]Reported Group Balance Sheet'!AB6</f>
        <v>1597</v>
      </c>
      <c r="AZ17" s="1291">
        <f>'[16]Reported Group Balance Sheet'!AC6</f>
        <v>2208</v>
      </c>
      <c r="BA17" s="1291">
        <f>'[16]Reported Group Balance Sheet'!AD6</f>
        <v>1496</v>
      </c>
      <c r="BB17" s="1291">
        <f>'[16]Reported Group Balance Sheet'!AE6</f>
        <v>1603</v>
      </c>
      <c r="BC17" s="1291">
        <f>'[16]Reported Group Balance Sheet'!AF6</f>
        <v>2982.328</v>
      </c>
      <c r="BD17" s="1291">
        <f>'[16]Reported Group Balance Sheet'!AG6</f>
        <v>4273.6149999999998</v>
      </c>
      <c r="BE17" s="1291">
        <f>'[16]Reported Group Balance Sheet'!AH6</f>
        <v>3052.4870000000001</v>
      </c>
      <c r="BF17" s="1291">
        <f>'[16]Reported Group Balance Sheet'!AI6</f>
        <v>2965.5889999999999</v>
      </c>
      <c r="BG17" s="1291">
        <f>'[16]Reported Group Balance Sheet'!AJ6</f>
        <v>1516</v>
      </c>
      <c r="BH17" s="1291">
        <f>'[16]Reported Group Balance Sheet'!AK6</f>
        <v>2406.1179999999999</v>
      </c>
      <c r="BI17" s="1291">
        <f>'[16]Reported Group Balance Sheet'!AL6</f>
        <v>3669.6089999999999</v>
      </c>
      <c r="BJ17" s="1291">
        <f>'[16]Reported Group Balance Sheet'!AM6</f>
        <v>2664.3870000000002</v>
      </c>
      <c r="BK17" s="1291">
        <f>'[16]Reported Group Balance Sheet'!AN6</f>
        <v>1414.6679999999999</v>
      </c>
      <c r="BL17" s="1291">
        <f>'[16]Reported Group Balance Sheet'!AO6</f>
        <v>2008.4110000000001</v>
      </c>
      <c r="BM17" s="1291">
        <f>'[16]Reported Group Balance Sheet'!AP6</f>
        <v>5764.8059999999996</v>
      </c>
      <c r="BN17" s="1291">
        <f>'[16]Reported Group Balance Sheet'!AQ6</f>
        <v>5152.3029999999999</v>
      </c>
      <c r="BO17" s="1291">
        <f>'[16]Reported Group Balance Sheet'!AR6</f>
        <v>1701.623</v>
      </c>
      <c r="BP17" s="1291">
        <f>'[16]Reported Group Balance Sheet'!AS6</f>
        <v>1540.6179999999999</v>
      </c>
      <c r="BQ17" s="1291">
        <f>'[16]Reported Group Balance Sheet'!AT6</f>
        <v>1817.6189999999999</v>
      </c>
      <c r="BR17" s="1291">
        <f>'[16]Reported Group Balance Sheet'!AU6</f>
        <v>966.02700000000004</v>
      </c>
      <c r="BS17" s="1291">
        <f>'[16]Reported Group Balance Sheet'!AV6</f>
        <v>1150.133</v>
      </c>
      <c r="BT17" s="1291">
        <f>'[16]Reported Group Balance Sheet'!AW6</f>
        <v>1395.559</v>
      </c>
      <c r="BU17" s="1291">
        <f>'[16]Reported Group Balance Sheet'!AX6</f>
        <v>1834.557</v>
      </c>
      <c r="BV17" s="1291">
        <f>'[16]Reported Group Balance Sheet'!AY6</f>
        <v>1386.6369999999999</v>
      </c>
      <c r="BW17" s="1291">
        <f>'[16]Reported Group Balance Sheet'!AZ6</f>
        <v>1463.7360000000001</v>
      </c>
      <c r="BX17" s="1291">
        <f>'[16]Reported Group Balance Sheet'!BA6</f>
        <v>1198.549</v>
      </c>
      <c r="BY17" s="1527">
        <f>'[16]Reported Group Balance Sheet'!BB6</f>
        <v>1355.4380000000001</v>
      </c>
      <c r="CC17" s="316"/>
      <c r="CD17" s="1284"/>
      <c r="CE17" s="1284"/>
      <c r="CF17" s="1285"/>
      <c r="CG17" s="1285"/>
      <c r="CH17" s="1285"/>
      <c r="CI17" s="1285"/>
      <c r="CJ17" s="1285"/>
      <c r="CK17" s="1285"/>
      <c r="CL17" s="1285"/>
      <c r="CM17" s="1285"/>
      <c r="CN17" s="1285"/>
      <c r="CO17" s="1285"/>
      <c r="CP17" s="1285"/>
      <c r="CQ17" s="1285"/>
      <c r="CR17" s="1285"/>
      <c r="CS17" s="1285"/>
      <c r="CT17" s="1285"/>
      <c r="CU17" s="1285"/>
      <c r="CV17" s="1285"/>
      <c r="CW17" s="1285"/>
      <c r="CX17" s="1285"/>
      <c r="CY17" s="1285"/>
      <c r="CZ17" s="1285"/>
      <c r="DA17" s="1285"/>
      <c r="DB17" s="1285"/>
      <c r="DC17" s="1285"/>
      <c r="DD17" s="1285"/>
      <c r="DE17" s="1285"/>
      <c r="DF17" s="1285"/>
    </row>
    <row r="18" spans="1:113">
      <c r="A18" s="1282" t="s">
        <v>150</v>
      </c>
      <c r="B18" s="1282"/>
      <c r="C18" s="1283"/>
      <c r="D18" s="1283"/>
      <c r="E18" s="1283"/>
      <c r="F18" s="1283"/>
      <c r="G18" s="1283"/>
      <c r="H18" s="1283"/>
      <c r="I18" s="1283"/>
      <c r="J18" s="1283"/>
      <c r="K18" s="1283"/>
      <c r="L18" s="1283"/>
      <c r="M18" s="1283"/>
      <c r="N18" s="1283"/>
      <c r="O18" s="1283"/>
      <c r="P18" s="1283"/>
      <c r="Q18" s="1283"/>
      <c r="R18" s="1283"/>
      <c r="S18" s="1283"/>
      <c r="T18" s="1283"/>
      <c r="U18" s="1283"/>
      <c r="V18" s="1283"/>
      <c r="W18" s="1283"/>
      <c r="X18" s="1283"/>
      <c r="Y18" s="1283"/>
      <c r="Z18" s="1283"/>
      <c r="AA18" s="1291">
        <f>'[16]Reported Group Balance Sheet'!D61</f>
        <v>14143</v>
      </c>
      <c r="AB18" s="1291">
        <f>'[16]Reported Group Balance Sheet'!E61</f>
        <v>15181</v>
      </c>
      <c r="AC18" s="1291">
        <f>'[16]Reported Group Balance Sheet'!F61</f>
        <v>15424</v>
      </c>
      <c r="AD18" s="1291">
        <f>'[16]Reported Group Balance Sheet'!G61</f>
        <v>16504</v>
      </c>
      <c r="AE18" s="1291">
        <f>'[16]Reported Group Balance Sheet'!H61</f>
        <v>20244</v>
      </c>
      <c r="AF18" s="1291">
        <f>'[16]Reported Group Balance Sheet'!I61</f>
        <v>21810</v>
      </c>
      <c r="AG18" s="1291">
        <f>'[16]Reported Group Balance Sheet'!J61</f>
        <v>21160</v>
      </c>
      <c r="AH18" s="1291">
        <f>'[16]Reported Group Balance Sheet'!K61</f>
        <v>16458</v>
      </c>
      <c r="AI18" s="1291">
        <f>'[16]Reported Group Balance Sheet'!L61</f>
        <v>16873</v>
      </c>
      <c r="AJ18" s="1291">
        <f>'[16]Reported Group Balance Sheet'!M61</f>
        <v>17033</v>
      </c>
      <c r="AK18" s="1291">
        <f>'[16]Reported Group Balance Sheet'!N61</f>
        <v>16076</v>
      </c>
      <c r="AL18" s="1291">
        <f>'[16]Reported Group Balance Sheet'!O61</f>
        <v>16744</v>
      </c>
      <c r="AM18" s="1291">
        <f>'[16]Reported Group Balance Sheet'!P61</f>
        <v>16369</v>
      </c>
      <c r="AN18" s="1291">
        <f>'[16]Reported Group Balance Sheet'!Q61</f>
        <v>11672</v>
      </c>
      <c r="AO18" s="1291">
        <f>'[16]Reported Group Balance Sheet'!R61</f>
        <v>11814</v>
      </c>
      <c r="AP18" s="1291">
        <f>'[16]Reported Group Balance Sheet'!S61</f>
        <v>13271</v>
      </c>
      <c r="AQ18" s="1291">
        <f>'[16]Reported Group Balance Sheet'!T61</f>
        <v>12830</v>
      </c>
      <c r="AR18" s="1291">
        <f>'[16]Reported Group Balance Sheet'!U61</f>
        <v>12621</v>
      </c>
      <c r="AS18" s="1291">
        <f>'[16]Reported Group Balance Sheet'!V61</f>
        <v>12081</v>
      </c>
      <c r="AT18" s="1291">
        <f>'[16]Reported Group Balance Sheet'!W61</f>
        <v>12296</v>
      </c>
      <c r="AU18" s="1291">
        <f>'[16]Reported Group Balance Sheet'!X61</f>
        <v>11537</v>
      </c>
      <c r="AV18" s="1291">
        <f>'[16]Reported Group Balance Sheet'!Y61</f>
        <v>11203</v>
      </c>
      <c r="AW18" s="1291">
        <f>'[16]Reported Group Balance Sheet'!Z61</f>
        <v>12557</v>
      </c>
      <c r="AX18" s="1291">
        <f>'[16]Reported Group Balance Sheet'!AA61</f>
        <v>11517</v>
      </c>
      <c r="AY18" s="1291">
        <f>'[16]Reported Group Balance Sheet'!AB61</f>
        <v>12238</v>
      </c>
      <c r="AZ18" s="1291">
        <f>'[16]Reported Group Balance Sheet'!AC61</f>
        <v>11331</v>
      </c>
      <c r="BA18" s="1291">
        <f>'[16]Reported Group Balance Sheet'!AD61</f>
        <v>11897</v>
      </c>
      <c r="BB18" s="1291">
        <f>'[16]Reported Group Balance Sheet'!AE61</f>
        <v>11207</v>
      </c>
      <c r="BC18" s="1291">
        <f>'[16]Reported Group Balance Sheet'!AF61</f>
        <v>27593.134999999995</v>
      </c>
      <c r="BD18" s="1291">
        <f>'[16]Reported Group Balance Sheet'!AG61</f>
        <v>28155.109000000004</v>
      </c>
      <c r="BE18" s="1291">
        <f>'[16]Reported Group Balance Sheet'!AH61</f>
        <v>28750.548999999999</v>
      </c>
      <c r="BF18" s="1291">
        <f>'[16]Reported Group Balance Sheet'!AI61</f>
        <v>30662.130000000005</v>
      </c>
      <c r="BG18" s="1291">
        <f>'[16]Reported Group Balance Sheet'!AJ61</f>
        <v>30731</v>
      </c>
      <c r="BH18" s="1291">
        <f>'[16]Reported Group Balance Sheet'!AK61</f>
        <v>31584.335999999999</v>
      </c>
      <c r="BI18" s="1291">
        <f>'[16]Reported Group Balance Sheet'!AL61</f>
        <v>30938.345000000005</v>
      </c>
      <c r="BJ18" s="1291">
        <f>'[16]Reported Group Balance Sheet'!AM61</f>
        <v>32984.251000000004</v>
      </c>
      <c r="BK18" s="1291">
        <f>'[16]Reported Group Balance Sheet'!AN61</f>
        <v>34372.915000000001</v>
      </c>
      <c r="BL18" s="1291">
        <f>'[16]Reported Group Balance Sheet'!AO61</f>
        <v>37857.214999999997</v>
      </c>
      <c r="BM18" s="1291">
        <f>'[16]Reported Group Balance Sheet'!AP61</f>
        <v>38507.265000000007</v>
      </c>
      <c r="BN18" s="1291">
        <f>'[16]Reported Group Balance Sheet'!AQ61</f>
        <v>38616.854000000007</v>
      </c>
      <c r="BO18" s="1291">
        <f>'[16]Reported Group Balance Sheet'!AR61</f>
        <v>39027.519</v>
      </c>
      <c r="BP18" s="1291">
        <f>'[16]Reported Group Balance Sheet'!AS61</f>
        <v>40928.127</v>
      </c>
      <c r="BQ18" s="1291">
        <f>'[16]Reported Group Balance Sheet'!AT61</f>
        <v>42324.005000000005</v>
      </c>
      <c r="BR18" s="1291">
        <f>'[16]Reported Group Balance Sheet'!AU61</f>
        <v>42947.588000000003</v>
      </c>
      <c r="BS18" s="1291">
        <f>'[16]Reported Group Balance Sheet'!AV61</f>
        <v>44896.878999999994</v>
      </c>
      <c r="BT18" s="1291">
        <f>'[16]Reported Group Balance Sheet'!AW61</f>
        <v>42087.305</v>
      </c>
      <c r="BU18" s="1291">
        <f>'[16]Reported Group Balance Sheet'!AX61</f>
        <v>44809.288</v>
      </c>
      <c r="BV18" s="1291">
        <f>'[16]Reported Group Balance Sheet'!AY61</f>
        <v>44701.376999999993</v>
      </c>
      <c r="BW18" s="1291">
        <f>'[16]Reported Group Balance Sheet'!AZ61</f>
        <v>43368.098000000005</v>
      </c>
      <c r="BX18" s="1291">
        <f>'[16]Reported Group Balance Sheet'!BA61</f>
        <v>62159.495999999999</v>
      </c>
      <c r="BY18" s="1527">
        <f>'[16]Reported Group Balance Sheet'!BB61</f>
        <v>59644.633999999991</v>
      </c>
      <c r="CC18" s="316"/>
      <c r="CD18" s="1284"/>
      <c r="CE18" s="1284"/>
      <c r="CF18" s="1285"/>
      <c r="CG18" s="1285"/>
      <c r="CH18" s="1285"/>
      <c r="CI18" s="1285"/>
      <c r="CJ18" s="1285"/>
      <c r="CK18" s="1285"/>
      <c r="CL18" s="1285"/>
      <c r="CM18" s="1285"/>
      <c r="CN18" s="1285"/>
      <c r="CO18" s="1285"/>
      <c r="CP18" s="1285"/>
      <c r="CQ18" s="1285"/>
      <c r="CR18" s="1285"/>
      <c r="CS18" s="1285"/>
      <c r="CT18" s="1285"/>
      <c r="CU18" s="1285"/>
      <c r="CV18" s="1285"/>
      <c r="CW18" s="1285"/>
      <c r="CX18" s="1285"/>
      <c r="CY18" s="1285"/>
      <c r="CZ18" s="1285"/>
      <c r="DA18" s="1285"/>
      <c r="DB18" s="1285"/>
      <c r="DC18" s="1285"/>
      <c r="DD18" s="1285"/>
      <c r="DE18" s="1285"/>
      <c r="DF18" s="1285"/>
    </row>
    <row r="19" spans="1:113">
      <c r="A19" s="1282" t="s">
        <v>1071</v>
      </c>
      <c r="B19" s="1282"/>
      <c r="C19" s="1286"/>
      <c r="D19" s="1286"/>
      <c r="E19" s="1286"/>
      <c r="F19" s="1286"/>
      <c r="G19" s="1286"/>
      <c r="H19" s="1286"/>
      <c r="I19" s="1286"/>
      <c r="J19" s="1286"/>
      <c r="K19" s="1286"/>
      <c r="L19" s="1286"/>
      <c r="M19" s="1286"/>
      <c r="N19" s="1286"/>
      <c r="O19" s="1286"/>
      <c r="P19" s="1286"/>
      <c r="Q19" s="1286"/>
      <c r="R19" s="1286"/>
      <c r="S19" s="1286"/>
      <c r="T19" s="1286"/>
      <c r="U19" s="1286"/>
      <c r="V19" s="1286"/>
      <c r="W19" s="1286"/>
      <c r="X19" s="1286"/>
      <c r="Y19" s="1286"/>
      <c r="Z19" s="1286"/>
      <c r="AA19" s="1287">
        <f>AA18/(AA9*4)</f>
        <v>1.7460493827160495</v>
      </c>
      <c r="AB19" s="1287">
        <f t="shared" ref="AB19:BL19" si="35">AB18/(AB9*4)</f>
        <v>1.7743104254324451</v>
      </c>
      <c r="AC19" s="1287">
        <f t="shared" si="35"/>
        <v>1.7099778270509978</v>
      </c>
      <c r="AD19" s="1287">
        <f t="shared" si="35"/>
        <v>1.8419642857142857</v>
      </c>
      <c r="AE19" s="1287">
        <f t="shared" si="35"/>
        <v>2.299409359382099</v>
      </c>
      <c r="AF19" s="1287">
        <f t="shared" si="35"/>
        <v>2.6455604075691412</v>
      </c>
      <c r="AG19" s="1287">
        <f t="shared" si="35"/>
        <v>2.5667151868025231</v>
      </c>
      <c r="AH19" s="1287">
        <f t="shared" si="35"/>
        <v>1.788913043478261</v>
      </c>
      <c r="AI19" s="1287">
        <f t="shared" si="35"/>
        <v>2.2473361747469367</v>
      </c>
      <c r="AJ19" s="1287">
        <f t="shared" si="35"/>
        <v>2.1291250000000002</v>
      </c>
      <c r="AK19" s="1287">
        <f t="shared" si="35"/>
        <v>1.8301457194899817</v>
      </c>
      <c r="AL19" s="1287">
        <f t="shared" si="35"/>
        <v>1.8043103448275861</v>
      </c>
      <c r="AM19" s="1287">
        <f t="shared" si="35"/>
        <v>1.8669023722627738</v>
      </c>
      <c r="AN19" s="1287">
        <f t="shared" si="35"/>
        <v>1.4137596899224807</v>
      </c>
      <c r="AO19" s="1287">
        <f t="shared" si="35"/>
        <v>1.4916666666666667</v>
      </c>
      <c r="AP19" s="1287">
        <f t="shared" si="35"/>
        <v>1.8219384953322351</v>
      </c>
      <c r="AQ19" s="1287">
        <f t="shared" si="35"/>
        <v>1.7356601731601731</v>
      </c>
      <c r="AR19" s="1287">
        <f t="shared" si="35"/>
        <v>1.5220694645441388</v>
      </c>
      <c r="AS19" s="1287">
        <f t="shared" si="35"/>
        <v>1.3240903112669882</v>
      </c>
      <c r="AT19" s="1287">
        <f t="shared" si="35"/>
        <v>1.4506842850401132</v>
      </c>
      <c r="AU19" s="1287">
        <f t="shared" si="35"/>
        <v>1.4522910372608258</v>
      </c>
      <c r="AV19" s="1287">
        <f t="shared" si="35"/>
        <v>1.4003749999999999</v>
      </c>
      <c r="AW19" s="1287">
        <f t="shared" si="35"/>
        <v>1.4426700367647058</v>
      </c>
      <c r="AX19" s="1287">
        <f t="shared" si="35"/>
        <v>1.2246916205869842</v>
      </c>
      <c r="AY19" s="1287">
        <f t="shared" si="35"/>
        <v>1.3424747696358053</v>
      </c>
      <c r="AZ19" s="1287">
        <f t="shared" si="35"/>
        <v>1.1463982193443949</v>
      </c>
      <c r="BA19" s="1287">
        <f t="shared" si="35"/>
        <v>1.140433282208589</v>
      </c>
      <c r="BB19" s="1287">
        <f t="shared" si="35"/>
        <v>1.0742906441717792</v>
      </c>
      <c r="BC19" s="1287">
        <f t="shared" si="35"/>
        <v>2.166546403894472</v>
      </c>
      <c r="BD19" s="1287">
        <f t="shared" si="35"/>
        <v>2.1290917271627348</v>
      </c>
      <c r="BE19" s="1287">
        <f t="shared" si="35"/>
        <v>2.1109066813509543</v>
      </c>
      <c r="BF19" s="1287">
        <f t="shared" si="35"/>
        <v>2.4219691943127968</v>
      </c>
      <c r="BG19" s="1287">
        <f t="shared" si="35"/>
        <v>2.4632093619749922</v>
      </c>
      <c r="BH19" s="1287">
        <f t="shared" si="35"/>
        <v>2.3437471059661621</v>
      </c>
      <c r="BI19" s="1287">
        <f t="shared" si="35"/>
        <v>2.2628982592159161</v>
      </c>
      <c r="BJ19" s="1287">
        <f t="shared" si="35"/>
        <v>2.4389419550428868</v>
      </c>
      <c r="BK19" s="1287">
        <f t="shared" si="35"/>
        <v>2.7073814587271583</v>
      </c>
      <c r="BL19" s="1287">
        <f t="shared" si="35"/>
        <v>2.6585122893258424</v>
      </c>
      <c r="BM19" s="1287">
        <f t="shared" ref="BM19:BW19" si="36">BM18/(BM9*4)</f>
        <v>2.6425518116936595</v>
      </c>
      <c r="BN19" s="1287">
        <f t="shared" si="36"/>
        <v>2.5023881544841893</v>
      </c>
      <c r="BO19" s="1287">
        <f t="shared" si="36"/>
        <v>2.7231034747418366</v>
      </c>
      <c r="BP19" s="1287">
        <f t="shared" si="36"/>
        <v>2.5146305603342345</v>
      </c>
      <c r="BQ19" s="1287">
        <f t="shared" si="36"/>
        <v>2.5788450524006827</v>
      </c>
      <c r="BR19" s="1287">
        <f t="shared" si="36"/>
        <v>2.5997329297820824</v>
      </c>
      <c r="BS19" s="1287">
        <f t="shared" si="36"/>
        <v>2.5200313762909738</v>
      </c>
      <c r="BT19" s="1287">
        <f t="shared" si="36"/>
        <v>2.3366258605374197</v>
      </c>
      <c r="BU19" s="1287">
        <f t="shared" si="36"/>
        <v>2.5817750633786587</v>
      </c>
      <c r="BV19" s="1287">
        <f t="shared" si="36"/>
        <v>2.4384342679467594</v>
      </c>
      <c r="BW19" s="1287">
        <f t="shared" si="36"/>
        <v>2.509147072436936</v>
      </c>
      <c r="BX19" s="1287">
        <f t="shared" ref="BX19" si="37">BX18/(BX9*4)</f>
        <v>3.4633104524180967</v>
      </c>
      <c r="BY19" s="1528">
        <f>BY18/(BY9*4)</f>
        <v>3.0694027377521609</v>
      </c>
      <c r="CC19" s="316"/>
      <c r="CD19" s="1284"/>
      <c r="CE19" s="1284"/>
      <c r="CF19" s="1285"/>
      <c r="CG19" s="1285"/>
      <c r="CH19" s="1285"/>
      <c r="CI19" s="1285"/>
      <c r="CJ19" s="1285"/>
      <c r="CK19" s="1285"/>
      <c r="CL19" s="1285"/>
      <c r="CM19" s="1285"/>
      <c r="CN19" s="1285"/>
      <c r="CO19" s="1285"/>
      <c r="CP19" s="1285"/>
      <c r="CQ19" s="1285"/>
      <c r="CR19" s="1285"/>
      <c r="CS19" s="1285"/>
      <c r="CT19" s="1285"/>
      <c r="CU19" s="1285"/>
      <c r="CV19" s="1285"/>
      <c r="CW19" s="1285"/>
      <c r="CX19" s="1285"/>
      <c r="CY19" s="1285"/>
      <c r="CZ19" s="1285"/>
      <c r="DA19" s="1285"/>
      <c r="DB19" s="1285"/>
      <c r="DC19" s="1285"/>
      <c r="DD19" s="1285"/>
      <c r="DE19" s="1285"/>
      <c r="DF19" s="1285"/>
    </row>
    <row r="20" spans="1:113">
      <c r="A20" s="1282"/>
      <c r="B20" s="1282"/>
      <c r="C20" s="1286"/>
      <c r="D20" s="1286"/>
      <c r="E20" s="1286"/>
      <c r="F20" s="1286"/>
      <c r="G20" s="1286"/>
      <c r="H20" s="1286"/>
      <c r="I20" s="1286"/>
      <c r="J20" s="1286"/>
      <c r="K20" s="1286"/>
      <c r="L20" s="1286"/>
      <c r="M20" s="1286"/>
      <c r="N20" s="1286"/>
      <c r="O20" s="1286"/>
      <c r="P20" s="1286"/>
      <c r="Q20" s="1286"/>
      <c r="R20" s="1286"/>
      <c r="S20" s="1286"/>
      <c r="T20" s="1286"/>
      <c r="U20" s="1286"/>
      <c r="V20" s="1286"/>
      <c r="W20" s="1286"/>
      <c r="X20" s="1286"/>
      <c r="Y20" s="1286"/>
      <c r="Z20" s="1286"/>
      <c r="AA20" s="1286"/>
      <c r="AB20" s="1286"/>
      <c r="AC20" s="1286"/>
      <c r="AD20" s="1286"/>
      <c r="AE20" s="1286"/>
      <c r="AF20" s="1286"/>
      <c r="AG20" s="1286"/>
      <c r="AH20" s="1286"/>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C20" s="1286"/>
      <c r="BD20" s="1286"/>
      <c r="BE20" s="1286"/>
      <c r="BF20" s="1286"/>
      <c r="BG20" s="1286"/>
      <c r="BH20" s="1286"/>
      <c r="BI20" s="1286"/>
      <c r="BJ20" s="1286"/>
      <c r="BK20" s="1286"/>
      <c r="BL20" s="1286"/>
      <c r="BM20" s="1286"/>
      <c r="BN20" s="1286"/>
      <c r="BO20" s="1286"/>
      <c r="BP20" s="1286"/>
      <c r="BQ20" s="1286"/>
      <c r="BR20" s="1286"/>
      <c r="BS20" s="1286"/>
      <c r="BT20" s="1286"/>
      <c r="BU20" s="1286"/>
      <c r="BV20" s="1286"/>
      <c r="BW20" s="1286"/>
      <c r="BX20" s="1286"/>
      <c r="BY20" s="1529"/>
      <c r="CC20" s="316"/>
      <c r="CD20" s="1284"/>
      <c r="CE20" s="1284"/>
      <c r="CF20" s="1285"/>
      <c r="CG20" s="1285"/>
      <c r="CH20" s="1285"/>
      <c r="CI20" s="1285"/>
      <c r="CJ20" s="1285"/>
      <c r="CK20" s="1285"/>
      <c r="CL20" s="1285"/>
      <c r="CM20" s="1285"/>
      <c r="CN20" s="1285"/>
      <c r="CO20" s="1285"/>
      <c r="CP20" s="1285"/>
      <c r="CQ20" s="1285"/>
      <c r="CR20" s="1285"/>
      <c r="CS20" s="1285"/>
      <c r="CT20" s="1285"/>
      <c r="CU20" s="1285"/>
      <c r="CV20" s="1285"/>
      <c r="CW20" s="1285"/>
      <c r="CX20" s="1285"/>
      <c r="CY20" s="1285"/>
      <c r="CZ20" s="1285"/>
      <c r="DA20" s="1285"/>
      <c r="DB20" s="1285"/>
      <c r="DC20" s="1285"/>
      <c r="DD20" s="1285"/>
      <c r="DE20" s="1285"/>
      <c r="DF20" s="1285"/>
    </row>
    <row r="21" spans="1:113">
      <c r="A21" s="1288" t="s">
        <v>1412</v>
      </c>
      <c r="B21" s="1282"/>
      <c r="C21" s="1286"/>
      <c r="D21" s="1286"/>
      <c r="E21" s="1286"/>
      <c r="F21" s="1286"/>
      <c r="G21" s="1286"/>
      <c r="H21" s="1286"/>
      <c r="I21" s="1286"/>
      <c r="J21" s="1286"/>
      <c r="K21" s="1286"/>
      <c r="L21" s="1286"/>
      <c r="M21" s="1286"/>
      <c r="N21" s="1286"/>
      <c r="O21" s="1286"/>
      <c r="P21" s="1286"/>
      <c r="Q21" s="1286"/>
      <c r="R21" s="1286"/>
      <c r="S21" s="1286"/>
      <c r="T21" s="1286"/>
      <c r="U21" s="1286"/>
      <c r="V21" s="1286"/>
      <c r="W21" s="1286"/>
      <c r="X21" s="1286"/>
      <c r="Y21" s="1286"/>
      <c r="Z21" s="1286"/>
      <c r="AA21" s="1286"/>
      <c r="AB21" s="1286"/>
      <c r="AC21" s="1286"/>
      <c r="AD21" s="1286"/>
      <c r="AE21" s="1286"/>
      <c r="AF21" s="1286"/>
      <c r="AG21" s="1286"/>
      <c r="AH21" s="1286"/>
      <c r="AI21" s="1286"/>
      <c r="AJ21" s="1286"/>
      <c r="AK21" s="1286"/>
      <c r="AL21" s="1286"/>
      <c r="AM21" s="1286"/>
      <c r="AN21" s="1286"/>
      <c r="AO21" s="1286"/>
      <c r="AP21" s="1286"/>
      <c r="AQ21" s="1286"/>
      <c r="AR21" s="1286"/>
      <c r="AS21" s="1286"/>
      <c r="AT21" s="1286"/>
      <c r="AU21" s="1286"/>
      <c r="AV21" s="1286"/>
      <c r="AW21" s="1286"/>
      <c r="AX21" s="1286"/>
      <c r="AY21" s="1286"/>
      <c r="AZ21" s="1286"/>
      <c r="BA21" s="1286"/>
      <c r="BB21" s="1286"/>
      <c r="BC21" s="1286"/>
      <c r="BD21" s="1286"/>
      <c r="BE21" s="1286"/>
      <c r="BF21" s="1286"/>
      <c r="BG21" s="1286"/>
      <c r="BH21" s="1286"/>
      <c r="BI21" s="1286"/>
      <c r="BJ21" s="1286"/>
      <c r="BK21" s="1286"/>
      <c r="BL21" s="1286"/>
      <c r="BM21" s="1286"/>
      <c r="BN21" s="1286"/>
      <c r="BO21" s="1286"/>
      <c r="BP21" s="1286"/>
      <c r="BQ21" s="1286"/>
      <c r="BR21" s="1286"/>
      <c r="BS21" s="1286"/>
      <c r="BT21" s="1286"/>
      <c r="BU21" s="1286"/>
      <c r="BV21" s="1286"/>
      <c r="BW21" s="1286"/>
      <c r="BX21" s="1286"/>
      <c r="BY21" s="1529"/>
      <c r="CC21" s="316"/>
      <c r="CD21" s="1284"/>
      <c r="CE21" s="1284"/>
      <c r="CF21" s="1285"/>
      <c r="CG21" s="1285"/>
      <c r="CH21" s="1285"/>
      <c r="CI21" s="1285"/>
      <c r="CJ21" s="1285"/>
      <c r="CK21" s="1285"/>
      <c r="CL21" s="1285"/>
      <c r="CM21" s="1285"/>
      <c r="CN21" s="1285"/>
      <c r="CO21" s="1285"/>
      <c r="CP21" s="1285"/>
      <c r="CQ21" s="1285"/>
      <c r="CR21" s="1285"/>
      <c r="CS21" s="1285"/>
      <c r="CT21" s="1285"/>
      <c r="CU21" s="1285"/>
      <c r="CV21" s="1285"/>
      <c r="CW21" s="1285"/>
      <c r="CX21" s="1285"/>
      <c r="CY21" s="1285"/>
      <c r="CZ21" s="1285"/>
      <c r="DA21" s="1285"/>
      <c r="DB21" s="1285"/>
      <c r="DC21" s="1285"/>
      <c r="DD21" s="1285"/>
      <c r="DE21" s="1285"/>
      <c r="DF21" s="1285"/>
    </row>
    <row r="22" spans="1:113">
      <c r="A22" s="1282" t="s">
        <v>2</v>
      </c>
      <c r="B22" s="1282"/>
      <c r="C22" s="1286"/>
      <c r="D22" s="1286"/>
      <c r="E22" s="1286"/>
      <c r="F22" s="1286"/>
      <c r="G22" s="1286">
        <f>G9</f>
        <v>1134</v>
      </c>
      <c r="H22" s="1286">
        <f t="shared" ref="H22:BL22" si="38">H9</f>
        <v>1490</v>
      </c>
      <c r="I22" s="1286">
        <f t="shared" si="38"/>
        <v>1486</v>
      </c>
      <c r="J22" s="1286">
        <f t="shared" si="38"/>
        <v>1022</v>
      </c>
      <c r="K22" s="1286">
        <f t="shared" si="38"/>
        <v>1113</v>
      </c>
      <c r="L22" s="1286">
        <f t="shared" si="38"/>
        <v>1455</v>
      </c>
      <c r="M22" s="1286">
        <f t="shared" si="38"/>
        <v>1672</v>
      </c>
      <c r="N22" s="1286">
        <f t="shared" si="38"/>
        <v>1965</v>
      </c>
      <c r="O22" s="1286">
        <f t="shared" si="38"/>
        <v>2142</v>
      </c>
      <c r="P22" s="1286">
        <f t="shared" si="38"/>
        <v>2288</v>
      </c>
      <c r="Q22" s="1286">
        <f t="shared" si="38"/>
        <v>2362</v>
      </c>
      <c r="R22" s="1286">
        <f t="shared" si="38"/>
        <v>2495</v>
      </c>
      <c r="S22" s="1286">
        <f t="shared" si="38"/>
        <v>2363</v>
      </c>
      <c r="T22" s="1286">
        <f t="shared" si="38"/>
        <v>2395</v>
      </c>
      <c r="U22" s="1286">
        <f t="shared" si="38"/>
        <v>2270</v>
      </c>
      <c r="V22" s="1286">
        <f t="shared" si="38"/>
        <v>2320</v>
      </c>
      <c r="W22" s="1286">
        <f t="shared" si="38"/>
        <v>2391</v>
      </c>
      <c r="X22" s="1286">
        <f t="shared" si="38"/>
        <v>2546</v>
      </c>
      <c r="Y22" s="1286">
        <f t="shared" si="38"/>
        <v>2505</v>
      </c>
      <c r="Z22" s="1286">
        <f t="shared" si="38"/>
        <v>2303</v>
      </c>
      <c r="AA22" s="1286">
        <f t="shared" si="38"/>
        <v>2025</v>
      </c>
      <c r="AB22" s="1286">
        <f t="shared" si="38"/>
        <v>2139</v>
      </c>
      <c r="AC22" s="1286">
        <f t="shared" si="38"/>
        <v>2255</v>
      </c>
      <c r="AD22" s="1286">
        <f t="shared" si="38"/>
        <v>2240</v>
      </c>
      <c r="AE22" s="1286">
        <f t="shared" si="38"/>
        <v>2201</v>
      </c>
      <c r="AF22" s="1286">
        <f t="shared" si="38"/>
        <v>2061</v>
      </c>
      <c r="AG22" s="1286">
        <f t="shared" si="38"/>
        <v>2061</v>
      </c>
      <c r="AH22" s="1286">
        <f t="shared" si="38"/>
        <v>2300</v>
      </c>
      <c r="AI22" s="1286">
        <f t="shared" si="38"/>
        <v>1877</v>
      </c>
      <c r="AJ22" s="1286">
        <f t="shared" si="38"/>
        <v>2000</v>
      </c>
      <c r="AK22" s="1286">
        <f t="shared" si="38"/>
        <v>2196</v>
      </c>
      <c r="AL22" s="1286">
        <f t="shared" si="38"/>
        <v>2320</v>
      </c>
      <c r="AM22" s="1286">
        <f t="shared" si="38"/>
        <v>2192</v>
      </c>
      <c r="AN22" s="1286">
        <f t="shared" si="38"/>
        <v>2064</v>
      </c>
      <c r="AO22" s="1286">
        <f t="shared" si="38"/>
        <v>1980</v>
      </c>
      <c r="AP22" s="1286">
        <f t="shared" si="38"/>
        <v>1821</v>
      </c>
      <c r="AQ22" s="1286">
        <f t="shared" si="38"/>
        <v>1848</v>
      </c>
      <c r="AR22" s="1286">
        <f t="shared" si="38"/>
        <v>2073</v>
      </c>
      <c r="AS22" s="1286">
        <f t="shared" si="38"/>
        <v>2281</v>
      </c>
      <c r="AT22" s="1286">
        <f t="shared" si="38"/>
        <v>2119</v>
      </c>
      <c r="AU22" s="1286">
        <f t="shared" si="38"/>
        <v>1986</v>
      </c>
      <c r="AV22" s="1286">
        <f t="shared" si="38"/>
        <v>2000</v>
      </c>
      <c r="AW22" s="1286">
        <f t="shared" si="38"/>
        <v>2176</v>
      </c>
      <c r="AX22" s="1286">
        <f t="shared" si="38"/>
        <v>2351</v>
      </c>
      <c r="AY22" s="1286">
        <f t="shared" si="38"/>
        <v>2279</v>
      </c>
      <c r="AZ22" s="1286">
        <f t="shared" si="38"/>
        <v>2471</v>
      </c>
      <c r="BA22" s="1286">
        <f t="shared" si="38"/>
        <v>2608</v>
      </c>
      <c r="BB22" s="1286">
        <f t="shared" si="38"/>
        <v>2608</v>
      </c>
      <c r="BC22" s="1286">
        <f t="shared" si="38"/>
        <v>3184</v>
      </c>
      <c r="BD22" s="1286">
        <f t="shared" si="38"/>
        <v>3306</v>
      </c>
      <c r="BE22" s="1286">
        <f t="shared" si="38"/>
        <v>3405</v>
      </c>
      <c r="BF22" s="1286">
        <f t="shared" si="38"/>
        <v>3165</v>
      </c>
      <c r="BG22" s="1286">
        <f t="shared" si="38"/>
        <v>3119</v>
      </c>
      <c r="BH22" s="1286">
        <f t="shared" si="38"/>
        <v>3369</v>
      </c>
      <c r="BI22" s="1286">
        <f t="shared" si="38"/>
        <v>3418</v>
      </c>
      <c r="BJ22" s="1286">
        <f t="shared" si="38"/>
        <v>3381</v>
      </c>
      <c r="BK22" s="1286">
        <f t="shared" si="38"/>
        <v>3174</v>
      </c>
      <c r="BL22" s="1286">
        <f t="shared" si="38"/>
        <v>3560</v>
      </c>
      <c r="BM22" s="1286">
        <f t="shared" ref="BM22:BW22" si="39">BM9</f>
        <v>3643</v>
      </c>
      <c r="BN22" s="1286">
        <f t="shared" si="39"/>
        <v>3858</v>
      </c>
      <c r="BO22" s="1286">
        <f t="shared" si="39"/>
        <v>3583</v>
      </c>
      <c r="BP22" s="1286">
        <f t="shared" si="39"/>
        <v>4069</v>
      </c>
      <c r="BQ22" s="1286">
        <f t="shared" si="39"/>
        <v>4103</v>
      </c>
      <c r="BR22" s="1286">
        <f t="shared" si="39"/>
        <v>4130</v>
      </c>
      <c r="BS22" s="1286">
        <f t="shared" si="39"/>
        <v>4454</v>
      </c>
      <c r="BT22" s="1286">
        <f t="shared" si="39"/>
        <v>4503</v>
      </c>
      <c r="BU22" s="1286">
        <f t="shared" si="39"/>
        <v>4339</v>
      </c>
      <c r="BV22" s="1286">
        <f t="shared" si="39"/>
        <v>4583</v>
      </c>
      <c r="BW22" s="1286">
        <f t="shared" si="39"/>
        <v>4321</v>
      </c>
      <c r="BX22" s="1286">
        <f t="shared" ref="BX22" si="40">BX9</f>
        <v>4487</v>
      </c>
      <c r="BY22" s="1529">
        <f>BY9</f>
        <v>4858</v>
      </c>
      <c r="CC22" s="316"/>
      <c r="CD22" s="1284"/>
      <c r="CE22" s="1284"/>
      <c r="CF22" s="1285"/>
      <c r="CG22" s="1285"/>
      <c r="CH22" s="1285"/>
      <c r="CI22" s="1285"/>
      <c r="CJ22" s="1285"/>
      <c r="CK22" s="1285"/>
      <c r="CL22" s="1285"/>
      <c r="CM22" s="1285"/>
      <c r="CN22" s="1285"/>
      <c r="CO22" s="1285"/>
      <c r="CP22" s="1285"/>
      <c r="CQ22" s="1285"/>
      <c r="CR22" s="1285"/>
      <c r="CS22" s="1285"/>
      <c r="CT22" s="1285"/>
      <c r="CU22" s="1285"/>
      <c r="CV22" s="1285"/>
      <c r="CW22" s="1285"/>
      <c r="CX22" s="1285"/>
      <c r="CY22" s="1285"/>
      <c r="CZ22" s="1285"/>
      <c r="DA22" s="1285"/>
      <c r="DB22" s="1285"/>
      <c r="DC22" s="1285"/>
      <c r="DD22" s="1285"/>
      <c r="DE22" s="1285"/>
      <c r="DF22" s="1285"/>
    </row>
    <row r="23" spans="1:113">
      <c r="A23" s="1282" t="s">
        <v>1074</v>
      </c>
      <c r="B23" s="1282"/>
      <c r="C23" s="1289"/>
      <c r="D23" s="1289"/>
      <c r="E23" s="1289"/>
      <c r="F23" s="1289"/>
      <c r="G23" s="113">
        <f>'Income Statement'!D268</f>
        <v>-146</v>
      </c>
      <c r="H23" s="113">
        <f>'Income Statement'!E268</f>
        <v>-162</v>
      </c>
      <c r="I23" s="113">
        <f>'Income Statement'!F268</f>
        <v>-146</v>
      </c>
      <c r="J23" s="113">
        <f>'Income Statement'!G268</f>
        <v>514</v>
      </c>
      <c r="K23" s="113">
        <f>'Income Statement'!I268</f>
        <v>99</v>
      </c>
      <c r="L23" s="113">
        <f>'Income Statement'!J268</f>
        <v>-366</v>
      </c>
      <c r="M23" s="113">
        <f>'Income Statement'!K268</f>
        <v>-198</v>
      </c>
      <c r="N23" s="113">
        <f>'Income Statement'!L268</f>
        <v>-175.79999999999995</v>
      </c>
      <c r="O23" s="113">
        <f>'Income Statement'!N268</f>
        <v>-221</v>
      </c>
      <c r="P23" s="113">
        <f>'Income Statement'!O268</f>
        <v>-269</v>
      </c>
      <c r="Q23" s="113">
        <f>'Income Statement'!P268</f>
        <v>-189</v>
      </c>
      <c r="R23" s="113">
        <f>'Income Statement'!Q268</f>
        <v>-298</v>
      </c>
      <c r="S23" s="113">
        <f>'Income Statement'!S268</f>
        <v>-281</v>
      </c>
      <c r="T23" s="113">
        <f>'Income Statement'!T268</f>
        <v>-260</v>
      </c>
      <c r="U23" s="113">
        <f>'Income Statement'!U268</f>
        <v>-244</v>
      </c>
      <c r="V23" s="113">
        <f>'Income Statement'!V268</f>
        <v>-250</v>
      </c>
      <c r="W23" s="113">
        <f>'Income Statement'!X268</f>
        <v>-251</v>
      </c>
      <c r="X23" s="113">
        <f>'Income Statement'!Y268</f>
        <v>-262</v>
      </c>
      <c r="Y23" s="113">
        <f>'Income Statement'!Z268</f>
        <v>-257</v>
      </c>
      <c r="Z23" s="113">
        <f>'Income Statement'!AA268</f>
        <v>-265</v>
      </c>
      <c r="AA23" s="113">
        <f>'Income Statement'!AC268</f>
        <v>-128</v>
      </c>
      <c r="AB23" s="113">
        <f>'Income Statement'!AD268</f>
        <v>-135</v>
      </c>
      <c r="AC23" s="113">
        <f>'Income Statement'!AE268</f>
        <v>-14</v>
      </c>
      <c r="AD23" s="113">
        <f>'Income Statement'!AF268</f>
        <v>-80</v>
      </c>
      <c r="AE23" s="113">
        <f>'Income Statement'!AH268</f>
        <v>-213</v>
      </c>
      <c r="AF23" s="113">
        <f>'Income Statement'!AI268</f>
        <v>225</v>
      </c>
      <c r="AG23" s="113">
        <f>'Income Statement'!AJ268</f>
        <v>161</v>
      </c>
      <c r="AH23" s="113">
        <f>'Income Statement'!AK268</f>
        <v>6</v>
      </c>
      <c r="AI23" s="113">
        <f>'Income Statement'!AM268</f>
        <v>253</v>
      </c>
      <c r="AJ23" s="113">
        <f>'Income Statement'!AN268</f>
        <v>145</v>
      </c>
      <c r="AK23" s="113">
        <f>'Income Statement'!AO268</f>
        <v>404</v>
      </c>
      <c r="AL23" s="113">
        <f>'Income Statement'!AP268</f>
        <v>-197</v>
      </c>
      <c r="AM23" s="113">
        <f>'Income Statement'!AR268</f>
        <v>-72</v>
      </c>
      <c r="AN23" s="113">
        <f>'Income Statement'!AS268</f>
        <v>81</v>
      </c>
      <c r="AO23" s="113">
        <f>'Income Statement'!AT268</f>
        <v>26</v>
      </c>
      <c r="AP23" s="113">
        <f>'Income Statement'!AU268</f>
        <v>155</v>
      </c>
      <c r="AQ23" s="113">
        <f>'Income Statement'!AW268</f>
        <v>119</v>
      </c>
      <c r="AR23" s="113">
        <f>'Income Statement'!AX268</f>
        <v>-2</v>
      </c>
      <c r="AS23" s="113">
        <f>'Income Statement'!AY268</f>
        <v>-71</v>
      </c>
      <c r="AT23" s="113">
        <f>'Income Statement'!AZ268</f>
        <v>108</v>
      </c>
      <c r="AU23" s="113">
        <f>'Income Statement'!BB268</f>
        <v>87</v>
      </c>
      <c r="AV23" s="113">
        <f>'Income Statement'!BC268</f>
        <v>-14</v>
      </c>
      <c r="AW23" s="113">
        <f>'Income Statement'!BD268</f>
        <v>56</v>
      </c>
      <c r="AX23" s="113">
        <f>'Income Statement'!BE268</f>
        <v>970</v>
      </c>
      <c r="AY23" s="113">
        <f>'Income Statement'!BG268</f>
        <v>-26.7</v>
      </c>
      <c r="AZ23" s="113">
        <f>'Income Statement'!BH268</f>
        <v>-106.3</v>
      </c>
      <c r="BA23" s="113">
        <f>'Income Statement'!BI268</f>
        <v>-124.00000000000001</v>
      </c>
      <c r="BB23" s="113">
        <f>'Income Statement'!BJ268</f>
        <v>-175</v>
      </c>
      <c r="BC23" s="113">
        <f>'Income Statement'!BL268</f>
        <v>-25.69399999999996</v>
      </c>
      <c r="BD23" s="113">
        <f>'Income Statement'!BM268</f>
        <v>-157.54500000000002</v>
      </c>
      <c r="BE23" s="113">
        <f>'Income Statement'!BN268</f>
        <v>-204.80000000000018</v>
      </c>
      <c r="BF23" s="113">
        <f>'Income Statement'!BO268</f>
        <v>613.82800000000043</v>
      </c>
      <c r="BG23" s="113">
        <f>'Income Statement'!BQ268</f>
        <v>-68.437999999999988</v>
      </c>
      <c r="BH23" s="113">
        <f>'Income Statement'!BR268</f>
        <v>-57.841000000000008</v>
      </c>
      <c r="BI23" s="113">
        <f>'Income Statement'!BS268</f>
        <v>-113.81400000000008</v>
      </c>
      <c r="BJ23" s="113">
        <f>'Income Statement'!BT268</f>
        <v>-179.63999999999976</v>
      </c>
      <c r="BK23" s="113">
        <f>'Income Statement'!BV268</f>
        <v>-33.123999999999995</v>
      </c>
      <c r="BL23" s="113">
        <f>'Income Statement'!BW268</f>
        <v>-77.946000000000026</v>
      </c>
      <c r="BM23" s="113">
        <f>'Income Statement'!BX268</f>
        <v>-93.591999999999871</v>
      </c>
      <c r="BN23" s="113">
        <f>'Income Statement'!BY268</f>
        <v>-27.179999999999978</v>
      </c>
      <c r="BO23" s="113">
        <f>'Income Statement'!CA268</f>
        <v>-33.601999999999975</v>
      </c>
      <c r="BP23" s="113">
        <f>'Income Statement'!CB268</f>
        <v>-112.20700000000005</v>
      </c>
      <c r="BQ23" s="113">
        <f>'Income Statement'!CC268</f>
        <v>-86.165000000000077</v>
      </c>
      <c r="BR23" s="113">
        <f>'Income Statement'!CD268</f>
        <v>-188.09499999999997</v>
      </c>
      <c r="BS23" s="113">
        <f>'Income Statement'!CF268</f>
        <v>-129.76600000000008</v>
      </c>
      <c r="BT23" s="113">
        <f>'Income Statement'!CG268</f>
        <v>-171.40100000000007</v>
      </c>
      <c r="BU23" s="113">
        <f>'Income Statement'!CH268</f>
        <v>-117.8349999999997</v>
      </c>
      <c r="BV23" s="113">
        <f>'Income Statement'!CI268</f>
        <v>-160.5920000000001</v>
      </c>
      <c r="BW23" s="113">
        <f>'Income Statement'!CK268</f>
        <v>-134.91899999999993</v>
      </c>
      <c r="BX23" s="113">
        <f>'Income Statement'!CL268</f>
        <v>257.89499999999998</v>
      </c>
      <c r="BY23" s="1522">
        <f>'Income Statement'!CM268</f>
        <v>-4472.5149999999994</v>
      </c>
      <c r="CC23" s="316"/>
      <c r="CD23" s="1284"/>
      <c r="CE23" s="1284"/>
      <c r="CF23" s="1285"/>
      <c r="CG23" s="1285"/>
      <c r="CH23" s="1285"/>
      <c r="CI23" s="1285"/>
      <c r="CJ23" s="1285"/>
      <c r="CK23" s="1285"/>
      <c r="CL23" s="1285"/>
      <c r="CM23" s="1285"/>
      <c r="CN23" s="1285"/>
      <c r="CO23" s="1285"/>
      <c r="CP23" s="1285"/>
      <c r="CQ23" s="1285"/>
      <c r="CR23" s="1285"/>
      <c r="CS23" s="1285"/>
      <c r="CT23" s="1285"/>
      <c r="CU23" s="1285"/>
      <c r="CV23" s="1285"/>
      <c r="CW23" s="1285"/>
      <c r="CX23" s="1285"/>
      <c r="CY23" s="1285"/>
      <c r="CZ23" s="1285"/>
      <c r="DA23" s="1285"/>
      <c r="DB23" s="1285"/>
      <c r="DC23" s="1285"/>
      <c r="DD23" s="1285"/>
      <c r="DE23" s="1285"/>
      <c r="DF23" s="1285"/>
    </row>
    <row r="24" spans="1:113">
      <c r="A24" s="1282" t="s">
        <v>1029</v>
      </c>
      <c r="B24" s="1282"/>
      <c r="C24" s="1286"/>
      <c r="D24" s="1286"/>
      <c r="E24" s="1286"/>
      <c r="F24" s="1286"/>
      <c r="G24" s="1286">
        <f>-G11</f>
        <v>-1827</v>
      </c>
      <c r="H24" s="1286">
        <f t="shared" ref="H24:BS24" si="41">-H11</f>
        <v>-3457</v>
      </c>
      <c r="I24" s="1286">
        <f t="shared" si="41"/>
        <v>-3393</v>
      </c>
      <c r="J24" s="1286">
        <f t="shared" si="41"/>
        <v>-2705</v>
      </c>
      <c r="K24" s="1286">
        <f t="shared" si="41"/>
        <v>-1767</v>
      </c>
      <c r="L24" s="1286">
        <f t="shared" si="41"/>
        <v>-1104</v>
      </c>
      <c r="M24" s="1286">
        <f t="shared" si="41"/>
        <v>-594</v>
      </c>
      <c r="N24" s="1286">
        <f t="shared" si="41"/>
        <v>-1817.6999999999998</v>
      </c>
      <c r="O24" s="1286">
        <f t="shared" si="41"/>
        <v>-734</v>
      </c>
      <c r="P24" s="1286">
        <f t="shared" si="41"/>
        <v>-1055</v>
      </c>
      <c r="Q24" s="1286">
        <f t="shared" si="41"/>
        <v>-1676</v>
      </c>
      <c r="R24" s="1286">
        <f t="shared" si="41"/>
        <v>-1383</v>
      </c>
      <c r="S24" s="1286">
        <f t="shared" si="41"/>
        <v>-1302</v>
      </c>
      <c r="T24" s="1286">
        <f t="shared" si="41"/>
        <v>-1284</v>
      </c>
      <c r="U24" s="1286">
        <f t="shared" si="41"/>
        <v>-1551</v>
      </c>
      <c r="V24" s="1286">
        <f t="shared" si="41"/>
        <v>-2385</v>
      </c>
      <c r="W24" s="1286">
        <f t="shared" si="41"/>
        <v>-2528</v>
      </c>
      <c r="X24" s="1286">
        <f t="shared" si="41"/>
        <v>-2744</v>
      </c>
      <c r="Y24" s="1286">
        <f t="shared" si="41"/>
        <v>-1909</v>
      </c>
      <c r="Z24" s="1286">
        <f t="shared" si="41"/>
        <v>-2995</v>
      </c>
      <c r="AA24" s="1286">
        <f t="shared" si="41"/>
        <v>-1791</v>
      </c>
      <c r="AB24" s="1286">
        <f t="shared" si="41"/>
        <v>-2257</v>
      </c>
      <c r="AC24" s="1286">
        <f t="shared" si="41"/>
        <v>-1793</v>
      </c>
      <c r="AD24" s="1286">
        <f t="shared" si="41"/>
        <v>-1553</v>
      </c>
      <c r="AE24" s="1286">
        <f t="shared" si="41"/>
        <v>-1747</v>
      </c>
      <c r="AF24" s="1286">
        <f t="shared" si="41"/>
        <v>-1855</v>
      </c>
      <c r="AG24" s="1286">
        <f t="shared" si="41"/>
        <v>-1692</v>
      </c>
      <c r="AH24" s="1286">
        <f t="shared" si="41"/>
        <v>-1801</v>
      </c>
      <c r="AI24" s="1286">
        <f t="shared" si="41"/>
        <v>-1211</v>
      </c>
      <c r="AJ24" s="1286">
        <f t="shared" si="41"/>
        <v>-1071</v>
      </c>
      <c r="AK24" s="1286">
        <f t="shared" si="41"/>
        <v>-682</v>
      </c>
      <c r="AL24" s="1286">
        <f t="shared" si="41"/>
        <v>-1182</v>
      </c>
      <c r="AM24" s="1286">
        <f t="shared" si="41"/>
        <v>-1048</v>
      </c>
      <c r="AN24" s="1286">
        <f t="shared" si="41"/>
        <v>-822</v>
      </c>
      <c r="AO24" s="1286">
        <f t="shared" si="41"/>
        <v>-2521</v>
      </c>
      <c r="AP24" s="1286">
        <f t="shared" si="41"/>
        <v>-1193</v>
      </c>
      <c r="AQ24" s="1286">
        <f t="shared" si="41"/>
        <v>-1306</v>
      </c>
      <c r="AR24" s="1286">
        <f t="shared" si="41"/>
        <v>-2397</v>
      </c>
      <c r="AS24" s="1286">
        <f t="shared" si="41"/>
        <v>-1556</v>
      </c>
      <c r="AT24" s="1286">
        <f t="shared" si="41"/>
        <v>-1438</v>
      </c>
      <c r="AU24" s="1286">
        <f t="shared" si="41"/>
        <v>-1559</v>
      </c>
      <c r="AV24" s="1286">
        <f t="shared" si="41"/>
        <v>-1712</v>
      </c>
      <c r="AW24" s="1286">
        <f t="shared" si="41"/>
        <v>-1669</v>
      </c>
      <c r="AX24" s="1286">
        <f t="shared" si="41"/>
        <v>-1852</v>
      </c>
      <c r="AY24" s="1286">
        <f t="shared" si="41"/>
        <v>-1511</v>
      </c>
      <c r="AZ24" s="1286">
        <f t="shared" si="41"/>
        <v>-2095</v>
      </c>
      <c r="BA24" s="1286">
        <f t="shared" si="41"/>
        <v>-1909</v>
      </c>
      <c r="BB24" s="1286">
        <f t="shared" si="41"/>
        <v>-2481</v>
      </c>
      <c r="BC24" s="1286">
        <f t="shared" si="41"/>
        <v>-1784</v>
      </c>
      <c r="BD24" s="1286">
        <f t="shared" si="41"/>
        <v>-1951</v>
      </c>
      <c r="BE24" s="1286">
        <f t="shared" si="41"/>
        <v>-1334</v>
      </c>
      <c r="BF24" s="1286">
        <f t="shared" si="41"/>
        <v>-1086</v>
      </c>
      <c r="BG24" s="1286">
        <f t="shared" si="41"/>
        <v>-1716</v>
      </c>
      <c r="BH24" s="1286">
        <f t="shared" si="41"/>
        <v>-2857</v>
      </c>
      <c r="BI24" s="1286">
        <f t="shared" si="41"/>
        <v>-1783</v>
      </c>
      <c r="BJ24" s="1286">
        <f t="shared" si="41"/>
        <v>-3565</v>
      </c>
      <c r="BK24" s="1286">
        <f t="shared" si="41"/>
        <v>-1234</v>
      </c>
      <c r="BL24" s="1286">
        <f t="shared" si="41"/>
        <v>-1983.5380000000005</v>
      </c>
      <c r="BM24" s="1286">
        <f t="shared" si="41"/>
        <v>-3102.4619999999995</v>
      </c>
      <c r="BN24" s="1286">
        <f t="shared" si="41"/>
        <v>-2743</v>
      </c>
      <c r="BO24" s="1286">
        <f t="shared" si="41"/>
        <v>-1413</v>
      </c>
      <c r="BP24" s="1286">
        <f t="shared" si="41"/>
        <v>-1743</v>
      </c>
      <c r="BQ24" s="1286">
        <f t="shared" si="41"/>
        <v>-2389</v>
      </c>
      <c r="BR24" s="1286">
        <f t="shared" si="41"/>
        <v>-1613</v>
      </c>
      <c r="BS24" s="1286">
        <f t="shared" si="41"/>
        <v>-2057</v>
      </c>
      <c r="BT24" s="1286">
        <f t="shared" ref="BT24:BW24" si="42">-BT11</f>
        <v>-2088</v>
      </c>
      <c r="BU24" s="1286">
        <f t="shared" si="42"/>
        <v>-1504</v>
      </c>
      <c r="BV24" s="1286">
        <f t="shared" si="42"/>
        <v>-1733</v>
      </c>
      <c r="BW24" s="1286">
        <f t="shared" si="42"/>
        <v>-1241</v>
      </c>
      <c r="BX24" s="1286">
        <f>-BX11</f>
        <v>-1090</v>
      </c>
      <c r="BY24" s="1529">
        <f>-BY11</f>
        <v>-1929</v>
      </c>
      <c r="CC24" s="316"/>
      <c r="CD24" s="1284"/>
      <c r="CE24" s="1284"/>
      <c r="CF24" s="1285"/>
      <c r="CG24" s="1285"/>
      <c r="CH24" s="1285"/>
      <c r="CI24" s="1285"/>
      <c r="CJ24" s="1285"/>
      <c r="CK24" s="1285"/>
      <c r="CL24" s="1285"/>
      <c r="CM24" s="1285"/>
      <c r="CN24" s="1285"/>
      <c r="CO24" s="1285"/>
      <c r="CP24" s="1285"/>
      <c r="CQ24" s="1285"/>
      <c r="CR24" s="1285"/>
      <c r="CS24" s="1285"/>
      <c r="CT24" s="1285"/>
      <c r="CU24" s="1285"/>
      <c r="CV24" s="1285"/>
      <c r="CW24" s="1285"/>
      <c r="CX24" s="1285"/>
      <c r="CY24" s="1285"/>
      <c r="CZ24" s="1285"/>
      <c r="DA24" s="1285"/>
      <c r="DB24" s="1285"/>
      <c r="DC24" s="1285"/>
      <c r="DD24" s="1285"/>
      <c r="DE24" s="1285"/>
      <c r="DF24" s="1285"/>
    </row>
    <row r="25" spans="1:113">
      <c r="A25" s="1282" t="s">
        <v>1260</v>
      </c>
      <c r="B25" s="1282"/>
      <c r="C25" s="1289"/>
      <c r="D25" s="1289"/>
      <c r="E25" s="1289"/>
      <c r="F25" s="1289"/>
      <c r="G25" s="1289"/>
      <c r="H25" s="1289"/>
      <c r="I25" s="1289"/>
      <c r="J25" s="1289"/>
      <c r="K25" s="1289"/>
      <c r="L25" s="1289"/>
      <c r="M25" s="1289"/>
      <c r="N25" s="1289"/>
      <c r="O25" s="1289"/>
      <c r="P25" s="1289"/>
      <c r="Q25" s="1289"/>
      <c r="R25" s="1289"/>
      <c r="S25" s="1289"/>
      <c r="T25" s="1289"/>
      <c r="U25" s="1289"/>
      <c r="V25" s="1289"/>
      <c r="W25" s="1289"/>
      <c r="X25" s="1289"/>
      <c r="Y25" s="1289"/>
      <c r="Z25" s="1289"/>
      <c r="AA25" s="1289"/>
      <c r="AB25" s="1289"/>
      <c r="AC25" s="1289"/>
      <c r="AD25" s="1289"/>
      <c r="AE25" s="1289"/>
      <c r="AF25" s="1289"/>
      <c r="AG25" s="1289"/>
      <c r="AH25" s="1289"/>
      <c r="AI25" s="1289"/>
      <c r="AJ25" s="1289"/>
      <c r="AK25" s="1289"/>
      <c r="AL25" s="1289"/>
      <c r="AM25" s="1289"/>
      <c r="AN25" s="1289"/>
      <c r="AO25" s="1289"/>
      <c r="AP25" s="1289"/>
      <c r="AQ25" s="1289"/>
      <c r="AR25" s="1289"/>
      <c r="AS25" s="1289"/>
      <c r="AT25" s="1289"/>
      <c r="AU25" s="1289"/>
      <c r="AV25" s="1289"/>
      <c r="AW25" s="1289"/>
      <c r="AX25" s="1289"/>
      <c r="AY25" s="1289"/>
      <c r="AZ25" s="1289"/>
      <c r="BA25" s="1289"/>
      <c r="BB25" s="1289"/>
      <c r="BC25" s="1289"/>
      <c r="BD25" s="1289"/>
      <c r="BE25" s="1289"/>
      <c r="BF25" s="1289"/>
      <c r="BG25" s="1289"/>
      <c r="BH25" s="1289"/>
      <c r="BI25" s="1289"/>
      <c r="BJ25" s="1289"/>
      <c r="BK25" s="1289"/>
      <c r="BL25" s="1289"/>
      <c r="BM25" s="1289"/>
      <c r="BN25" s="1289"/>
      <c r="BO25" s="1289"/>
      <c r="BP25" s="1289"/>
      <c r="BQ25" s="1289"/>
      <c r="BR25" s="1289"/>
      <c r="BS25" s="1289"/>
      <c r="BT25" s="1289"/>
      <c r="BU25" s="1289"/>
      <c r="BV25" s="1289"/>
      <c r="BW25" s="1289"/>
      <c r="BX25" s="1289"/>
      <c r="BY25" s="1289"/>
      <c r="CC25" s="316"/>
      <c r="CD25" s="1284"/>
      <c r="CE25" s="1284"/>
      <c r="CF25" s="1285"/>
      <c r="CG25" s="1285"/>
      <c r="CH25" s="1285"/>
      <c r="CI25" s="1285"/>
      <c r="CJ25" s="1285"/>
      <c r="CK25" s="1285"/>
      <c r="CL25" s="1285"/>
      <c r="CM25" s="1285"/>
      <c r="CN25" s="1285"/>
      <c r="CO25" s="1285"/>
      <c r="CP25" s="1285"/>
      <c r="CQ25" s="1285"/>
      <c r="CR25" s="1285"/>
      <c r="CS25" s="1285"/>
      <c r="CT25" s="1285"/>
      <c r="CU25" s="1285"/>
      <c r="CV25" s="1285"/>
      <c r="CW25" s="1285"/>
      <c r="CX25" s="1285"/>
      <c r="CY25" s="1285"/>
      <c r="CZ25" s="1285"/>
      <c r="DA25" s="1285"/>
      <c r="DB25" s="1285"/>
      <c r="DC25" s="1285"/>
      <c r="DD25" s="1285"/>
      <c r="DE25" s="1285"/>
      <c r="DF25" s="1285"/>
    </row>
    <row r="26" spans="1:113">
      <c r="A26" s="1282" t="s">
        <v>1076</v>
      </c>
      <c r="B26" s="1282"/>
      <c r="C26" s="1289"/>
      <c r="D26" s="1289"/>
      <c r="E26" s="1289"/>
      <c r="F26" s="1289"/>
      <c r="G26" s="113">
        <f>'Income Statement'!D262</f>
        <v>-196</v>
      </c>
      <c r="H26" s="113">
        <f>'Income Statement'!E262</f>
        <v>-219</v>
      </c>
      <c r="I26" s="113">
        <f>'Income Statement'!F262</f>
        <v>-287</v>
      </c>
      <c r="J26" s="113">
        <f>'Income Statement'!G262</f>
        <v>-392</v>
      </c>
      <c r="K26" s="113">
        <f>'Income Statement'!I262</f>
        <v>-366</v>
      </c>
      <c r="L26" s="113">
        <f>'Income Statement'!J262</f>
        <v>-321</v>
      </c>
      <c r="M26" s="113">
        <f>'Income Statement'!K262</f>
        <v>-279</v>
      </c>
      <c r="N26" s="113">
        <f>'Income Statement'!L262</f>
        <v>-252.29999999999995</v>
      </c>
      <c r="O26" s="113">
        <f>'Income Statement'!N262</f>
        <v>-211</v>
      </c>
      <c r="P26" s="113">
        <f>'Income Statement'!O262</f>
        <v>-205</v>
      </c>
      <c r="Q26" s="113">
        <f>'Income Statement'!P262</f>
        <v>-188</v>
      </c>
      <c r="R26" s="113">
        <f>'Income Statement'!Q262</f>
        <v>-176</v>
      </c>
      <c r="S26" s="113">
        <f>'Income Statement'!S262</f>
        <v>-154</v>
      </c>
      <c r="T26" s="113">
        <f>'Income Statement'!T262</f>
        <v>-151</v>
      </c>
      <c r="U26" s="113">
        <f>'Income Statement'!U262</f>
        <v>-151</v>
      </c>
      <c r="V26" s="113">
        <f>'Income Statement'!V262</f>
        <v>-124</v>
      </c>
      <c r="W26" s="113">
        <f>'Income Statement'!X262</f>
        <v>-120</v>
      </c>
      <c r="X26" s="113">
        <f>'Income Statement'!Y262</f>
        <v>-138</v>
      </c>
      <c r="Y26" s="113">
        <f>'Income Statement'!Z262</f>
        <v>-166</v>
      </c>
      <c r="Z26" s="113">
        <f>'Income Statement'!AA262</f>
        <v>-177</v>
      </c>
      <c r="AA26" s="113">
        <f>'Income Statement'!AC262</f>
        <v>-205</v>
      </c>
      <c r="AB26" s="113">
        <f>'Income Statement'!AD262</f>
        <v>-118</v>
      </c>
      <c r="AC26" s="113">
        <f>'Income Statement'!AE262</f>
        <v>182</v>
      </c>
      <c r="AD26" s="113">
        <f>'Income Statement'!AF262</f>
        <v>-152</v>
      </c>
      <c r="AE26" s="113">
        <f>'Income Statement'!AH262</f>
        <v>-508</v>
      </c>
      <c r="AF26" s="113">
        <f>'Income Statement'!AI262</f>
        <v>-219</v>
      </c>
      <c r="AG26" s="113">
        <f>'Income Statement'!AJ262</f>
        <v>-299</v>
      </c>
      <c r="AH26" s="113">
        <f>'Income Statement'!AK262</f>
        <v>-320</v>
      </c>
      <c r="AI26" s="113">
        <f>'Income Statement'!AM262</f>
        <v>-271</v>
      </c>
      <c r="AJ26" s="113">
        <f>'Income Statement'!AN262</f>
        <v>-354</v>
      </c>
      <c r="AK26" s="113">
        <f>'Income Statement'!AO262</f>
        <v>-338</v>
      </c>
      <c r="AL26" s="113">
        <f>'Income Statement'!AP262</f>
        <v>-503</v>
      </c>
      <c r="AM26" s="113">
        <f>'Income Statement'!AR262</f>
        <v>-496</v>
      </c>
      <c r="AN26" s="113">
        <f>'Income Statement'!AS262</f>
        <v>-438</v>
      </c>
      <c r="AO26" s="113">
        <f>'Income Statement'!AT262</f>
        <v>-355</v>
      </c>
      <c r="AP26" s="113">
        <f>'Income Statement'!AU262</f>
        <v>-301</v>
      </c>
      <c r="AQ26" s="113">
        <f>'Income Statement'!AW262</f>
        <v>-348</v>
      </c>
      <c r="AR26" s="113">
        <f>'Income Statement'!AX262</f>
        <v>-366</v>
      </c>
      <c r="AS26" s="113">
        <f>'Income Statement'!AY262</f>
        <v>-343</v>
      </c>
      <c r="AT26" s="113">
        <f>'Income Statement'!AZ262</f>
        <v>-338</v>
      </c>
      <c r="AU26" s="113">
        <f>'Income Statement'!BB262</f>
        <v>-345</v>
      </c>
      <c r="AV26" s="113">
        <f>'Income Statement'!BC262</f>
        <v>-382</v>
      </c>
      <c r="AW26" s="113">
        <f>'Income Statement'!BD262</f>
        <v>-418</v>
      </c>
      <c r="AX26" s="113">
        <f>'Income Statement'!BE262</f>
        <v>-481</v>
      </c>
      <c r="AY26" s="113">
        <f>'Income Statement'!BG262</f>
        <v>-585.52499999999998</v>
      </c>
      <c r="AZ26" s="113">
        <f>'Income Statement'!BH262</f>
        <v>-445.47500000000002</v>
      </c>
      <c r="BA26" s="113">
        <f>'Income Statement'!BI262</f>
        <v>-503</v>
      </c>
      <c r="BB26" s="113">
        <f>'Income Statement'!BJ262</f>
        <v>-535.00000000000011</v>
      </c>
      <c r="BC26" s="113">
        <f>'Income Statement'!BL262</f>
        <v>-630.81500000000005</v>
      </c>
      <c r="BD26" s="113">
        <f>'Income Statement'!BM262</f>
        <v>-581.98</v>
      </c>
      <c r="BE26" s="113">
        <f>'Income Statement'!BN262</f>
        <v>-617.38599999999997</v>
      </c>
      <c r="BF26" s="113">
        <f>'Income Statement'!BO262</f>
        <v>-655.08600000000024</v>
      </c>
      <c r="BG26" s="113">
        <f>'Income Statement'!BQ262</f>
        <v>-552</v>
      </c>
      <c r="BH26" s="113">
        <f>'Income Statement'!BR262</f>
        <v>-583.71600000000012</v>
      </c>
      <c r="BI26" s="113">
        <f>'Income Statement'!BS262</f>
        <v>-574.07600000000002</v>
      </c>
      <c r="BJ26" s="113">
        <f>'Income Statement'!BT262</f>
        <v>-580.67899999999986</v>
      </c>
      <c r="BK26" s="113">
        <f>'Income Statement'!BV262</f>
        <v>-572.69500000000005</v>
      </c>
      <c r="BL26" s="113">
        <f>'Income Statement'!BW262</f>
        <v>-590.26300000000003</v>
      </c>
      <c r="BM26" s="113">
        <f>'Income Statement'!BX262</f>
        <v>-670.8549999999999</v>
      </c>
      <c r="BN26" s="113">
        <f>'Income Statement'!BY262</f>
        <v>-831.85400000000038</v>
      </c>
      <c r="BO26" s="113">
        <f>'Income Statement'!CA262</f>
        <v>-655.048</v>
      </c>
      <c r="BP26" s="113">
        <f>'Income Statement'!CB262</f>
        <v>-709.16499999999996</v>
      </c>
      <c r="BQ26" s="113">
        <f>'Income Statement'!CC262</f>
        <v>-739.47500000000014</v>
      </c>
      <c r="BR26" s="113">
        <f>'Income Statement'!CD262</f>
        <v>-736.19499999999971</v>
      </c>
      <c r="BS26" s="113">
        <f>'Income Statement'!CF262</f>
        <v>-742.48500000000001</v>
      </c>
      <c r="BT26" s="113">
        <f>'Income Statement'!CG262</f>
        <v>-765.21300000000008</v>
      </c>
      <c r="BU26" s="113">
        <f>'Income Statement'!CH262</f>
        <v>-741.04999999999984</v>
      </c>
      <c r="BV26" s="113">
        <f>'Income Statement'!CI262</f>
        <v>-783.79800000000034</v>
      </c>
      <c r="BW26" s="113">
        <f>'Income Statement'!CK262</f>
        <v>-744.01499999999999</v>
      </c>
      <c r="BX26" s="113">
        <f>'Income Statement'!CL262</f>
        <v>-1066.453</v>
      </c>
      <c r="BY26" s="1522">
        <f>'Income Statement'!CM262</f>
        <v>-438.28000000000009</v>
      </c>
      <c r="CC26" s="316"/>
      <c r="CD26" s="1284"/>
      <c r="CE26" s="1284"/>
      <c r="CF26" s="1285"/>
      <c r="CG26" s="1285"/>
      <c r="CH26" s="1285"/>
      <c r="CI26" s="1285"/>
      <c r="CJ26" s="1285"/>
      <c r="CK26" s="1285"/>
      <c r="CL26" s="1285"/>
      <c r="CM26" s="1285"/>
      <c r="CN26" s="1285"/>
      <c r="CO26" s="1285"/>
      <c r="CP26" s="1285"/>
      <c r="CQ26" s="1285"/>
      <c r="CR26" s="1285"/>
      <c r="CS26" s="1285"/>
      <c r="CT26" s="1285"/>
      <c r="CU26" s="1285"/>
      <c r="CV26" s="1285"/>
      <c r="CW26" s="1285"/>
      <c r="CX26" s="1285"/>
      <c r="CY26" s="1285"/>
      <c r="CZ26" s="1285"/>
      <c r="DA26" s="1285"/>
      <c r="DB26" s="1285"/>
      <c r="DC26" s="1285"/>
      <c r="DD26" s="1285"/>
      <c r="DE26" s="1285"/>
      <c r="DF26" s="1285"/>
    </row>
    <row r="27" spans="1:113">
      <c r="A27" s="1282" t="s">
        <v>501</v>
      </c>
      <c r="B27" s="1282"/>
      <c r="C27" s="1286"/>
      <c r="D27" s="1286"/>
      <c r="E27" s="1286"/>
      <c r="F27" s="1286"/>
      <c r="G27" s="1286"/>
      <c r="H27" s="1286"/>
      <c r="I27" s="1286"/>
      <c r="J27" s="1286"/>
      <c r="K27" s="1286"/>
      <c r="L27" s="1286"/>
      <c r="M27" s="1286"/>
      <c r="N27" s="1286"/>
      <c r="O27" s="1286"/>
      <c r="P27" s="1286"/>
      <c r="Q27" s="1286"/>
      <c r="R27" s="1286"/>
      <c r="S27" s="1286"/>
      <c r="T27" s="1286"/>
      <c r="U27" s="1286"/>
      <c r="V27" s="1286"/>
      <c r="W27" s="1286"/>
      <c r="X27" s="1286"/>
      <c r="Y27" s="1286"/>
      <c r="Z27" s="1286"/>
      <c r="AA27" s="1286"/>
      <c r="AB27" s="1286"/>
      <c r="AC27" s="1286"/>
      <c r="AD27" s="1286"/>
      <c r="AE27" s="1286"/>
      <c r="AF27" s="1286"/>
      <c r="AG27" s="1286"/>
      <c r="AH27" s="1286"/>
      <c r="AI27" s="1286"/>
      <c r="AJ27" s="1286"/>
      <c r="AK27" s="1286"/>
      <c r="AL27" s="1286"/>
      <c r="AM27" s="1286"/>
      <c r="AN27" s="1286"/>
      <c r="AO27" s="1286"/>
      <c r="AP27" s="1286"/>
      <c r="AQ27" s="1286"/>
      <c r="AR27" s="1286"/>
      <c r="AS27" s="1286"/>
      <c r="AT27" s="1286"/>
      <c r="AU27" s="1286"/>
      <c r="AV27" s="1286"/>
      <c r="AW27" s="1286"/>
      <c r="AX27" s="1286"/>
      <c r="AY27" s="1286"/>
      <c r="AZ27" s="1286"/>
      <c r="BA27" s="1286"/>
      <c r="BB27" s="1286"/>
      <c r="BC27" s="1286"/>
      <c r="BD27" s="1286"/>
      <c r="BE27" s="1286"/>
      <c r="BF27" s="1286"/>
      <c r="BG27" s="1286"/>
      <c r="BH27" s="1286"/>
      <c r="BI27" s="1286"/>
      <c r="BJ27" s="1286"/>
      <c r="BK27" s="1286"/>
      <c r="BL27" s="1286"/>
      <c r="BM27" s="1286"/>
      <c r="BN27" s="1286"/>
      <c r="BO27" s="1286"/>
      <c r="BP27" s="1286"/>
      <c r="BQ27" s="1286"/>
      <c r="BR27" s="1286"/>
      <c r="BS27" s="1286"/>
      <c r="BT27" s="1286"/>
      <c r="BU27" s="1286"/>
      <c r="BV27" s="1286"/>
      <c r="BW27" s="1286"/>
      <c r="BX27" s="1286"/>
      <c r="BY27" s="1529"/>
      <c r="CC27" s="316"/>
      <c r="CD27" s="1284"/>
      <c r="CE27" s="1284"/>
      <c r="CF27" s="1285"/>
      <c r="CG27" s="1285"/>
      <c r="CH27" s="1285"/>
      <c r="CI27" s="1285"/>
      <c r="CJ27" s="1285"/>
      <c r="CK27" s="1285"/>
      <c r="CL27" s="1285"/>
      <c r="CM27" s="1285"/>
      <c r="CN27" s="1285"/>
      <c r="CO27" s="1285"/>
      <c r="CP27" s="1285"/>
      <c r="CQ27" s="1285"/>
      <c r="CR27" s="1285"/>
      <c r="CS27" s="1285"/>
      <c r="CT27" s="1285"/>
      <c r="CU27" s="1285"/>
      <c r="CV27" s="1285"/>
      <c r="CW27" s="1285"/>
      <c r="CX27" s="1285"/>
      <c r="CY27" s="1285"/>
      <c r="CZ27" s="1285"/>
      <c r="DA27" s="1285"/>
      <c r="DB27" s="1285"/>
      <c r="DC27" s="1285"/>
      <c r="DD27" s="1285"/>
      <c r="DE27" s="1285"/>
      <c r="DF27" s="1285"/>
    </row>
    <row r="28" spans="1:113">
      <c r="A28" s="1288" t="s">
        <v>1461</v>
      </c>
      <c r="B28" s="1282"/>
      <c r="C28" s="1290">
        <f>SUM(C22:C27)</f>
        <v>0</v>
      </c>
      <c r="D28" s="1290">
        <f t="shared" ref="D28:BO28" si="43">SUM(D22:D27)</f>
        <v>0</v>
      </c>
      <c r="E28" s="1290">
        <f t="shared" si="43"/>
        <v>0</v>
      </c>
      <c r="F28" s="1290">
        <f t="shared" si="43"/>
        <v>0</v>
      </c>
      <c r="G28" s="1290">
        <f t="shared" si="43"/>
        <v>-1035</v>
      </c>
      <c r="H28" s="1290">
        <f t="shared" si="43"/>
        <v>-2348</v>
      </c>
      <c r="I28" s="1290">
        <f t="shared" si="43"/>
        <v>-2340</v>
      </c>
      <c r="J28" s="1290">
        <f t="shared" si="43"/>
        <v>-1561</v>
      </c>
      <c r="K28" s="1290">
        <f t="shared" si="43"/>
        <v>-921</v>
      </c>
      <c r="L28" s="1290">
        <f t="shared" si="43"/>
        <v>-336</v>
      </c>
      <c r="M28" s="1290">
        <f t="shared" si="43"/>
        <v>601</v>
      </c>
      <c r="N28" s="1290">
        <f t="shared" si="43"/>
        <v>-280.79999999999973</v>
      </c>
      <c r="O28" s="1290">
        <f t="shared" si="43"/>
        <v>976</v>
      </c>
      <c r="P28" s="1290">
        <f t="shared" si="43"/>
        <v>759</v>
      </c>
      <c r="Q28" s="1290">
        <f t="shared" si="43"/>
        <v>309</v>
      </c>
      <c r="R28" s="1290">
        <f t="shared" si="43"/>
        <v>638</v>
      </c>
      <c r="S28" s="1290">
        <f t="shared" si="43"/>
        <v>626</v>
      </c>
      <c r="T28" s="1290">
        <f t="shared" si="43"/>
        <v>700</v>
      </c>
      <c r="U28" s="1290">
        <f t="shared" si="43"/>
        <v>324</v>
      </c>
      <c r="V28" s="1290">
        <f t="shared" si="43"/>
        <v>-439</v>
      </c>
      <c r="W28" s="1290">
        <f t="shared" si="43"/>
        <v>-508</v>
      </c>
      <c r="X28" s="1290">
        <f t="shared" si="43"/>
        <v>-598</v>
      </c>
      <c r="Y28" s="1290">
        <f t="shared" si="43"/>
        <v>173</v>
      </c>
      <c r="Z28" s="1290">
        <f t="shared" si="43"/>
        <v>-1134</v>
      </c>
      <c r="AA28" s="1290">
        <f t="shared" si="43"/>
        <v>-99</v>
      </c>
      <c r="AB28" s="1290">
        <f t="shared" si="43"/>
        <v>-371</v>
      </c>
      <c r="AC28" s="1290">
        <f t="shared" si="43"/>
        <v>630</v>
      </c>
      <c r="AD28" s="1290">
        <f t="shared" si="43"/>
        <v>455</v>
      </c>
      <c r="AE28" s="1290">
        <f t="shared" si="43"/>
        <v>-267</v>
      </c>
      <c r="AF28" s="1290">
        <f t="shared" si="43"/>
        <v>212</v>
      </c>
      <c r="AG28" s="1290">
        <f t="shared" si="43"/>
        <v>231</v>
      </c>
      <c r="AH28" s="1290">
        <f t="shared" si="43"/>
        <v>185</v>
      </c>
      <c r="AI28" s="1290">
        <f t="shared" si="43"/>
        <v>648</v>
      </c>
      <c r="AJ28" s="1290">
        <f t="shared" si="43"/>
        <v>720</v>
      </c>
      <c r="AK28" s="1290">
        <f t="shared" si="43"/>
        <v>1580</v>
      </c>
      <c r="AL28" s="1290">
        <f t="shared" si="43"/>
        <v>438</v>
      </c>
      <c r="AM28" s="1290">
        <f t="shared" si="43"/>
        <v>576</v>
      </c>
      <c r="AN28" s="1290">
        <f t="shared" si="43"/>
        <v>885</v>
      </c>
      <c r="AO28" s="1290">
        <f t="shared" si="43"/>
        <v>-870</v>
      </c>
      <c r="AP28" s="1290">
        <f t="shared" si="43"/>
        <v>482</v>
      </c>
      <c r="AQ28" s="1290">
        <f t="shared" si="43"/>
        <v>313</v>
      </c>
      <c r="AR28" s="1290">
        <f t="shared" si="43"/>
        <v>-692</v>
      </c>
      <c r="AS28" s="1290">
        <f t="shared" si="43"/>
        <v>311</v>
      </c>
      <c r="AT28" s="1290">
        <f t="shared" si="43"/>
        <v>451</v>
      </c>
      <c r="AU28" s="1290">
        <f t="shared" si="43"/>
        <v>169</v>
      </c>
      <c r="AV28" s="1290">
        <f t="shared" si="43"/>
        <v>-108</v>
      </c>
      <c r="AW28" s="1290">
        <f t="shared" si="43"/>
        <v>145</v>
      </c>
      <c r="AX28" s="1290">
        <f t="shared" si="43"/>
        <v>988</v>
      </c>
      <c r="AY28" s="1290">
        <f t="shared" si="43"/>
        <v>155.7750000000002</v>
      </c>
      <c r="AZ28" s="1290">
        <f t="shared" si="43"/>
        <v>-175.7750000000002</v>
      </c>
      <c r="BA28" s="1290">
        <f t="shared" si="43"/>
        <v>72</v>
      </c>
      <c r="BB28" s="1290">
        <f t="shared" si="43"/>
        <v>-583.00000000000011</v>
      </c>
      <c r="BC28" s="1290">
        <f t="shared" si="43"/>
        <v>743.49099999999999</v>
      </c>
      <c r="BD28" s="1290">
        <f t="shared" si="43"/>
        <v>615.47499999999991</v>
      </c>
      <c r="BE28" s="1290">
        <f t="shared" si="43"/>
        <v>1248.8139999999999</v>
      </c>
      <c r="BF28" s="1290">
        <f t="shared" si="43"/>
        <v>2037.7420000000002</v>
      </c>
      <c r="BG28" s="1290">
        <f t="shared" si="43"/>
        <v>782.5619999999999</v>
      </c>
      <c r="BH28" s="1290">
        <f t="shared" si="43"/>
        <v>-129.55700000000002</v>
      </c>
      <c r="BI28" s="1290">
        <f t="shared" si="43"/>
        <v>947.10999999999967</v>
      </c>
      <c r="BJ28" s="1290">
        <f t="shared" si="43"/>
        <v>-944.31899999999973</v>
      </c>
      <c r="BK28" s="1290">
        <f t="shared" si="43"/>
        <v>1334.181</v>
      </c>
      <c r="BL28" s="1290">
        <f t="shared" si="43"/>
        <v>908.25299999999959</v>
      </c>
      <c r="BM28" s="1290">
        <f t="shared" si="43"/>
        <v>-223.90899999999908</v>
      </c>
      <c r="BN28" s="1290">
        <f t="shared" si="43"/>
        <v>255.96599999999978</v>
      </c>
      <c r="BO28" s="1290">
        <f t="shared" si="43"/>
        <v>1481.3500000000001</v>
      </c>
      <c r="BP28" s="1290">
        <f t="shared" ref="BP28:BW28" si="44">SUM(BP22:BP27)</f>
        <v>1504.6280000000002</v>
      </c>
      <c r="BQ28" s="1290">
        <f t="shared" si="44"/>
        <v>888.3599999999999</v>
      </c>
      <c r="BR28" s="1290">
        <f t="shared" si="44"/>
        <v>1592.7100000000005</v>
      </c>
      <c r="BS28" s="1290">
        <f t="shared" si="44"/>
        <v>1524.7490000000003</v>
      </c>
      <c r="BT28" s="1290">
        <f t="shared" si="44"/>
        <v>1478.386</v>
      </c>
      <c r="BU28" s="1290">
        <f t="shared" si="44"/>
        <v>1976.1150000000002</v>
      </c>
      <c r="BV28" s="1290">
        <f t="shared" si="44"/>
        <v>1905.6099999999992</v>
      </c>
      <c r="BW28" s="1290">
        <f t="shared" si="44"/>
        <v>2201.0660000000003</v>
      </c>
      <c r="BX28" s="1290">
        <f t="shared" ref="BX28" si="45">SUM(BX22:BX27)</f>
        <v>2588.4420000000005</v>
      </c>
      <c r="BY28" s="1530">
        <f>SUM(BY22:BY27)</f>
        <v>-1981.7949999999996</v>
      </c>
      <c r="CC28" s="316"/>
      <c r="CD28" s="1284"/>
      <c r="CE28" s="1284"/>
      <c r="CF28" s="1285"/>
      <c r="CG28" s="1285"/>
      <c r="CH28" s="1285"/>
      <c r="CI28" s="1285"/>
      <c r="CJ28" s="1285"/>
      <c r="CK28" s="1285"/>
      <c r="CL28" s="1285"/>
      <c r="CM28" s="1285"/>
      <c r="CN28" s="1285"/>
      <c r="CO28" s="1285"/>
      <c r="CP28" s="1285"/>
      <c r="CQ28" s="1285"/>
      <c r="CR28" s="1285"/>
      <c r="CS28" s="1285"/>
      <c r="CT28" s="1285"/>
      <c r="CU28" s="1285"/>
      <c r="CV28" s="1285"/>
      <c r="CW28" s="1285"/>
      <c r="CX28" s="1285"/>
      <c r="CY28" s="1285"/>
      <c r="CZ28" s="1285"/>
      <c r="DA28" s="1285"/>
      <c r="DB28" s="1285"/>
      <c r="DC28" s="1285"/>
      <c r="DD28" s="1285"/>
      <c r="DE28" s="1285"/>
      <c r="DF28" s="1285"/>
    </row>
    <row r="29" spans="1:113">
      <c r="A29" s="58" t="s">
        <v>465</v>
      </c>
      <c r="B29" s="93"/>
      <c r="C29" s="115"/>
      <c r="D29" s="115"/>
      <c r="E29" s="115"/>
      <c r="F29" s="115"/>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531"/>
      <c r="CC29" s="316"/>
      <c r="CJ29" s="267" t="s">
        <v>465</v>
      </c>
      <c r="CK29" s="264"/>
      <c r="CL29" s="271"/>
      <c r="CM29" s="271"/>
      <c r="CN29" s="271"/>
      <c r="CO29" s="271"/>
      <c r="CP29" s="271"/>
      <c r="CQ29" s="271"/>
      <c r="CR29" s="271"/>
      <c r="CS29" s="271"/>
      <c r="CT29" s="271"/>
      <c r="CU29" s="271"/>
      <c r="CV29" s="271"/>
      <c r="CW29" s="271"/>
      <c r="CX29" s="271"/>
      <c r="CY29" s="271"/>
      <c r="CZ29" s="271"/>
      <c r="DA29" s="271"/>
      <c r="DB29" s="271"/>
      <c r="DC29" s="271"/>
      <c r="DD29" s="271"/>
      <c r="DE29" s="271"/>
      <c r="DF29" s="271"/>
      <c r="DG29" s="271"/>
      <c r="DH29" s="271"/>
      <c r="DI29" s="271"/>
    </row>
    <row r="30" spans="1:113">
      <c r="A30" s="96" t="s">
        <v>462</v>
      </c>
      <c r="B30" s="96"/>
      <c r="C30" s="116"/>
      <c r="D30" s="116"/>
      <c r="E30" s="116"/>
      <c r="F30" s="116"/>
      <c r="G30" s="116">
        <f>'Income Statement'!D225</f>
        <v>-3836.3353801500161</v>
      </c>
      <c r="H30" s="116">
        <f>'Income Statement'!E225</f>
        <v>-4230.5224755666186</v>
      </c>
      <c r="I30" s="116">
        <f>'Income Statement'!F225</f>
        <v>-4642.4199282496902</v>
      </c>
      <c r="J30" s="116">
        <f>'Income Statement'!G225</f>
        <v>-3410.2173669236472</v>
      </c>
      <c r="K30" s="116">
        <f>'Income Statement'!I225</f>
        <v>1503</v>
      </c>
      <c r="L30" s="116">
        <f>'Income Statement'!J225</f>
        <v>1705</v>
      </c>
      <c r="M30" s="116">
        <f>'Income Statement'!K225</f>
        <v>1818</v>
      </c>
      <c r="N30" s="116">
        <f>'Income Statement'!L225</f>
        <v>2038</v>
      </c>
      <c r="O30" s="116">
        <f>'Income Statement'!N225</f>
        <v>4106</v>
      </c>
      <c r="P30" s="116">
        <f>'Income Statement'!O225</f>
        <v>4261</v>
      </c>
      <c r="Q30" s="116">
        <f>'Income Statement'!P225</f>
        <v>4442</v>
      </c>
      <c r="R30" s="116">
        <f>'Income Statement'!Q225</f>
        <v>4651</v>
      </c>
      <c r="S30" s="116">
        <f>'Income Statement'!S225</f>
        <v>4482</v>
      </c>
      <c r="T30" s="116">
        <f>'Income Statement'!T225</f>
        <v>4553</v>
      </c>
      <c r="U30" s="116">
        <f>'Income Statement'!U225</f>
        <v>4780</v>
      </c>
      <c r="V30" s="116">
        <f>'Income Statement'!V225</f>
        <v>4961</v>
      </c>
      <c r="W30" s="116">
        <f>'Income Statement'!X225</f>
        <v>4893</v>
      </c>
      <c r="X30" s="116">
        <f>'Income Statement'!Y225</f>
        <v>5229</v>
      </c>
      <c r="Y30" s="116">
        <f>'Income Statement'!Z225</f>
        <v>5574</v>
      </c>
      <c r="Z30" s="116">
        <f>'Income Statement'!AA225</f>
        <v>5273</v>
      </c>
      <c r="AA30" s="116">
        <f>'Income Statement'!AC225</f>
        <v>5758</v>
      </c>
      <c r="AB30" s="116">
        <f>'Income Statement'!AD225</f>
        <v>6055</v>
      </c>
      <c r="AC30" s="116">
        <f>'Income Statement'!AE225</f>
        <v>6388</v>
      </c>
      <c r="AD30" s="116">
        <f>'Income Statement'!AF225</f>
        <v>6383</v>
      </c>
      <c r="AE30" s="116">
        <f>'Income Statement'!AH225</f>
        <v>5507</v>
      </c>
      <c r="AF30" s="116">
        <f>'Income Statement'!AI225</f>
        <v>6041</v>
      </c>
      <c r="AG30" s="116">
        <f>'Income Statement'!AJ225</f>
        <v>6006</v>
      </c>
      <c r="AH30" s="116">
        <f>'Income Statement'!AK225</f>
        <v>5906</v>
      </c>
      <c r="AI30" s="116">
        <f>'Income Statement'!AM225</f>
        <v>5481</v>
      </c>
      <c r="AJ30" s="116">
        <f>'Income Statement'!AN225</f>
        <v>5611</v>
      </c>
      <c r="AK30" s="116">
        <f>'Income Statement'!AO225</f>
        <v>5830</v>
      </c>
      <c r="AL30" s="116">
        <f>'Income Statement'!AP225</f>
        <v>5973</v>
      </c>
      <c r="AM30" s="116">
        <f>'Income Statement'!AR225</f>
        <v>5616</v>
      </c>
      <c r="AN30" s="116">
        <f>'Income Statement'!AS225</f>
        <v>5238</v>
      </c>
      <c r="AO30" s="116">
        <f>'Income Statement'!AT225</f>
        <v>5230</v>
      </c>
      <c r="AP30" s="116">
        <f>'Income Statement'!AU225</f>
        <v>5258</v>
      </c>
      <c r="AQ30" s="116">
        <f>'Income Statement'!AW225</f>
        <v>5266</v>
      </c>
      <c r="AR30" s="116">
        <f>'Income Statement'!AX225</f>
        <v>5667</v>
      </c>
      <c r="AS30" s="116">
        <f>'Income Statement'!AY225</f>
        <v>5970</v>
      </c>
      <c r="AT30" s="116">
        <f>'Income Statement'!AZ225</f>
        <v>5972</v>
      </c>
      <c r="AU30" s="116">
        <f>'Income Statement'!BB225</f>
        <v>5501.3649999999998</v>
      </c>
      <c r="AV30" s="116">
        <f>'Income Statement'!BC225</f>
        <v>5544.6769999999997</v>
      </c>
      <c r="AW30" s="116">
        <f>'Income Statement'!BD225</f>
        <v>5846.17</v>
      </c>
      <c r="AX30" s="116">
        <f>'Income Statement'!BE225</f>
        <v>6046.6</v>
      </c>
      <c r="AY30" s="116">
        <f>'Income Statement'!BG225</f>
        <v>5967.2240000000002</v>
      </c>
      <c r="AZ30" s="116">
        <f>'Income Statement'!BH225</f>
        <v>6289.6049999999996</v>
      </c>
      <c r="BA30" s="116">
        <f>'Income Statement'!BI225</f>
        <v>6463.6930000000002</v>
      </c>
      <c r="BB30" s="116">
        <f>'Income Statement'!BJ225</f>
        <v>6412.33</v>
      </c>
      <c r="BC30" s="116">
        <f>'Income Statement'!BL225</f>
        <v>6497.1509999999989</v>
      </c>
      <c r="BD30" s="116">
        <f>'Income Statement'!BM225</f>
        <v>6585.009</v>
      </c>
      <c r="BE30" s="116">
        <f>'Income Statement'!BN225</f>
        <v>6573.991</v>
      </c>
      <c r="BF30" s="116">
        <f>'Income Statement'!BO225</f>
        <v>6352.9440000000013</v>
      </c>
      <c r="BG30" s="116">
        <f>'Income Statement'!BQ225</f>
        <v>6247.3630000000003</v>
      </c>
      <c r="BH30" s="116">
        <f>'Income Statement'!BR225</f>
        <v>6726.8360000000002</v>
      </c>
      <c r="BI30" s="116">
        <f>'Income Statement'!BS225</f>
        <v>6825.9939999999997</v>
      </c>
      <c r="BJ30" s="116">
        <f>'Income Statement'!BT225</f>
        <v>6953.857</v>
      </c>
      <c r="BK30" s="116">
        <f t="shared" ref="BK30" si="46">BK7</f>
        <v>6742.0590000000002</v>
      </c>
      <c r="BL30" s="116">
        <f t="shared" ref="BL30:BM30" si="47">BL7</f>
        <v>7332.7409999999991</v>
      </c>
      <c r="BM30" s="116">
        <f t="shared" si="47"/>
        <v>7520.6000000000031</v>
      </c>
      <c r="BN30" s="116">
        <f t="shared" ref="BN30:BO30" si="48">BN7</f>
        <v>7546.5939999999982</v>
      </c>
      <c r="BO30" s="116">
        <f t="shared" si="48"/>
        <v>7547.3239999999996</v>
      </c>
      <c r="BP30" s="116">
        <f t="shared" ref="BP30:BQ30" si="49">BP7</f>
        <v>8217.2030000000013</v>
      </c>
      <c r="BQ30" s="116">
        <f t="shared" si="49"/>
        <v>8103.2769999999991</v>
      </c>
      <c r="BR30" s="116">
        <f t="shared" ref="BR30:BS30" si="50">BR7</f>
        <v>8454.8470000000016</v>
      </c>
      <c r="BS30" s="116">
        <f t="shared" si="50"/>
        <v>8438.2849999999999</v>
      </c>
      <c r="BT30" s="116">
        <f t="shared" ref="BT30:BU30" si="51">BT7</f>
        <v>8613.3120000000017</v>
      </c>
      <c r="BU30" s="116">
        <f t="shared" si="51"/>
        <v>8309.8139999999985</v>
      </c>
      <c r="BV30" s="116">
        <f t="shared" ref="BV30:BW30" si="52">BV7</f>
        <v>9030.1860000000015</v>
      </c>
      <c r="BW30" s="116">
        <f t="shared" si="52"/>
        <v>8601.1769999999997</v>
      </c>
      <c r="BX30" s="116">
        <f t="shared" ref="BX30" si="53">BX7</f>
        <v>10493.717000000001</v>
      </c>
      <c r="BY30" s="1532">
        <f>BY7</f>
        <v>11452.569</v>
      </c>
      <c r="CC30" s="316"/>
      <c r="CJ30" t="s">
        <v>462</v>
      </c>
      <c r="CL30" s="270">
        <f t="shared" ref="CL30:CT30" si="54">CL7</f>
        <v>7990</v>
      </c>
      <c r="CM30" s="270">
        <f t="shared" si="54"/>
        <v>12061.33</v>
      </c>
      <c r="CN30" s="270">
        <f t="shared" si="54"/>
        <v>13707</v>
      </c>
      <c r="CO30" s="270">
        <f t="shared" si="54"/>
        <v>17460</v>
      </c>
      <c r="CP30" s="270">
        <f t="shared" si="54"/>
        <v>18262</v>
      </c>
      <c r="CQ30" s="270">
        <f t="shared" si="54"/>
        <v>20969</v>
      </c>
      <c r="CR30" s="270">
        <f t="shared" si="54"/>
        <v>21266</v>
      </c>
      <c r="CS30" s="270">
        <f t="shared" si="54"/>
        <v>23460</v>
      </c>
      <c r="CT30" s="270">
        <f t="shared" si="54"/>
        <v>22895</v>
      </c>
      <c r="CU30" s="270">
        <f t="shared" ref="CU30:DG30" si="55">CU7</f>
        <v>21341</v>
      </c>
      <c r="CV30" s="270">
        <f t="shared" si="55"/>
        <v>22901</v>
      </c>
      <c r="CW30" s="270">
        <f t="shared" si="55"/>
        <v>22938.811999999998</v>
      </c>
      <c r="CX30" s="270">
        <f t="shared" si="55"/>
        <v>25132.851999999999</v>
      </c>
      <c r="CY30" s="270">
        <f t="shared" si="55"/>
        <v>26009.095000000001</v>
      </c>
      <c r="CZ30" s="270">
        <f t="shared" si="55"/>
        <v>26754.050000000003</v>
      </c>
      <c r="DA30" s="270">
        <f t="shared" si="55"/>
        <v>29141.994000000002</v>
      </c>
      <c r="DB30" s="270">
        <f t="shared" si="55"/>
        <v>32322.651000000005</v>
      </c>
      <c r="DC30" s="270">
        <f t="shared" si="55"/>
        <v>34391.597000000002</v>
      </c>
      <c r="DD30" s="270">
        <f t="shared" si="55"/>
        <v>42474.105831966364</v>
      </c>
      <c r="DE30" s="270">
        <f t="shared" si="55"/>
        <v>47281.52542977938</v>
      </c>
      <c r="DF30" s="270">
        <f t="shared" si="55"/>
        <v>49342.820741226758</v>
      </c>
      <c r="DG30" s="270">
        <f t="shared" si="55"/>
        <v>51491.024704882409</v>
      </c>
      <c r="DH30" s="270">
        <f t="shared" ref="DH30:DI30" si="56">DH7</f>
        <v>53729.794804044934</v>
      </c>
      <c r="DI30" s="270">
        <f t="shared" si="56"/>
        <v>56062.943842146051</v>
      </c>
    </row>
    <row r="31" spans="1:113">
      <c r="A31" s="125" t="s">
        <v>466</v>
      </c>
      <c r="B31" s="125"/>
      <c r="C31" s="126"/>
      <c r="D31" s="126"/>
      <c r="E31" s="126"/>
      <c r="F31" s="126"/>
      <c r="G31" s="126">
        <f>'Income Statement'!D225-'Income Statement'!D224-'Income Statement'!D222</f>
        <v>2111</v>
      </c>
      <c r="H31" s="126">
        <f>'Income Statement'!E225-'Income Statement'!E224-'Income Statement'!E222</f>
        <v>2617</v>
      </c>
      <c r="I31" s="126">
        <f>'Income Statement'!F225-'Income Statement'!F224-'Income Statement'!F222</f>
        <v>2693</v>
      </c>
      <c r="J31" s="126">
        <f>'Income Statement'!G225-'Income Statement'!G224-'Income Statement'!G222</f>
        <v>2347</v>
      </c>
      <c r="K31" s="126">
        <f>'Income Statement'!I225-'Income Statement'!I224-'Income Statement'!I222</f>
        <v>1503</v>
      </c>
      <c r="L31" s="126">
        <f>'Income Statement'!J225-'Income Statement'!J224-'Income Statement'!J222</f>
        <v>1705</v>
      </c>
      <c r="M31" s="126">
        <f>'Income Statement'!K225-'Income Statement'!K224-'Income Statement'!K222</f>
        <v>1818</v>
      </c>
      <c r="N31" s="126">
        <f>'Income Statement'!L225-'Income Statement'!L224-'Income Statement'!L222</f>
        <v>2038</v>
      </c>
      <c r="O31" s="126">
        <f>'Income Statement'!N225-'Income Statement'!N224-'Income Statement'!N222</f>
        <v>3822</v>
      </c>
      <c r="P31" s="126">
        <f>'Income Statement'!O225-'Income Statement'!O224-'Income Statement'!O222</f>
        <v>3956</v>
      </c>
      <c r="Q31" s="126">
        <f>'Income Statement'!P225-'Income Statement'!P224-'Income Statement'!P222</f>
        <v>4088</v>
      </c>
      <c r="R31" s="126">
        <f>'Income Statement'!Q225-'Income Statement'!Q224-'Income Statement'!Q222</f>
        <v>4285</v>
      </c>
      <c r="S31" s="126">
        <f>'Income Statement'!S225-'Income Statement'!S224-'Income Statement'!S222</f>
        <v>4101</v>
      </c>
      <c r="T31" s="126">
        <f>'Income Statement'!T225-'Income Statement'!T224-'Income Statement'!T222</f>
        <v>4185</v>
      </c>
      <c r="U31" s="126">
        <f>'Income Statement'!U225-'Income Statement'!U224-'Income Statement'!U222</f>
        <v>4413</v>
      </c>
      <c r="V31" s="126">
        <f>'Income Statement'!V225-'Income Statement'!V224-'Income Statement'!V222</f>
        <v>4531</v>
      </c>
      <c r="W31" s="126">
        <f>'Income Statement'!X225-'Income Statement'!X224-'Income Statement'!X222</f>
        <v>4516</v>
      </c>
      <c r="X31" s="126">
        <f>'Income Statement'!Y225-'Income Statement'!Y224-'Income Statement'!Y222</f>
        <v>4844</v>
      </c>
      <c r="Y31" s="126">
        <f>'Income Statement'!Z225-'Income Statement'!Z224-'Income Statement'!Z222</f>
        <v>5219</v>
      </c>
      <c r="Z31" s="126">
        <f>'Income Statement'!AA225-'Income Statement'!AA224-'Income Statement'!AA222</f>
        <v>5016</v>
      </c>
      <c r="AA31" s="126">
        <f>'Income Statement'!AC225-'Income Statement'!AC224-'Income Statement'!AC222</f>
        <v>5423</v>
      </c>
      <c r="AB31" s="126">
        <f>'Income Statement'!AD225-'Income Statement'!AD224-'Income Statement'!AD222</f>
        <v>5724</v>
      </c>
      <c r="AC31" s="126">
        <f>'Income Statement'!AE225-'Income Statement'!AE224-'Income Statement'!AE222</f>
        <v>6039</v>
      </c>
      <c r="AD31" s="126">
        <f>'Income Statement'!AF225-'Income Statement'!AF224-'Income Statement'!AF222</f>
        <v>6007</v>
      </c>
      <c r="AE31" s="126">
        <f>'Income Statement'!AH225-'Income Statement'!AH224-'Income Statement'!AH222</f>
        <v>5075</v>
      </c>
      <c r="AF31" s="126">
        <f>'Income Statement'!AI225-'Income Statement'!AI224-'Income Statement'!AI222</f>
        <v>5730</v>
      </c>
      <c r="AG31" s="126">
        <f>'Income Statement'!AJ225-'Income Statement'!AJ224-'Income Statement'!AJ222</f>
        <v>5727</v>
      </c>
      <c r="AH31" s="126">
        <f>'Income Statement'!AK225-'Income Statement'!AK224-'Income Statement'!AK222</f>
        <v>5580</v>
      </c>
      <c r="AI31" s="126">
        <f>'Income Statement'!AM225-'Income Statement'!AM224-'Income Statement'!AM222</f>
        <v>5249</v>
      </c>
      <c r="AJ31" s="126">
        <f>'Income Statement'!AN225-'Income Statement'!AN224-'Income Statement'!AN222</f>
        <v>5368</v>
      </c>
      <c r="AK31" s="126">
        <f>'Income Statement'!AO225-'Income Statement'!AO224-'Income Statement'!AO222</f>
        <v>5591</v>
      </c>
      <c r="AL31" s="126">
        <f>'Income Statement'!AP225-'Income Statement'!AP224-'Income Statement'!AP222</f>
        <v>5630</v>
      </c>
      <c r="AM31" s="126">
        <f>'Income Statement'!AR225-'Income Statement'!AR224-'Income Statement'!AR222</f>
        <v>5313</v>
      </c>
      <c r="AN31" s="126">
        <f>'Income Statement'!AS225-'Income Statement'!AS224-'Income Statement'!AS222</f>
        <v>4969</v>
      </c>
      <c r="AO31" s="126">
        <f>'Income Statement'!AT225-'Income Statement'!AT224-'Income Statement'!AT222</f>
        <v>5031</v>
      </c>
      <c r="AP31" s="126">
        <f>'Income Statement'!AU225-'Income Statement'!AU224-'Income Statement'!AU222</f>
        <v>5021</v>
      </c>
      <c r="AQ31" s="126">
        <f>'Income Statement'!AW225-'Income Statement'!AW224-'Income Statement'!AW222</f>
        <v>5039</v>
      </c>
      <c r="AR31" s="126">
        <f>'Income Statement'!AX225-'Income Statement'!AX224-'Income Statement'!AX222</f>
        <v>5446</v>
      </c>
      <c r="AS31" s="126">
        <f>'Income Statement'!AY225-'Income Statement'!AY224-'Income Statement'!AY222</f>
        <v>5689</v>
      </c>
      <c r="AT31" s="126">
        <f>'Income Statement'!AZ225-'Income Statement'!AZ224-'Income Statement'!AZ222</f>
        <v>5747</v>
      </c>
      <c r="AU31" s="126">
        <f>'Income Statement'!BB225-'Income Statement'!BB224-'Income Statement'!BB222</f>
        <v>5164.3130000000001</v>
      </c>
      <c r="AV31" s="126">
        <f>'Income Statement'!BC225-'Income Statement'!BC224-'Income Statement'!BC222</f>
        <v>5169.4580000000005</v>
      </c>
      <c r="AW31" s="126">
        <f>'Income Statement'!BD225-'Income Statement'!BD224-'Income Statement'!BD222</f>
        <v>5403.9480000000003</v>
      </c>
      <c r="AX31" s="126">
        <f>'Income Statement'!BE225-'Income Statement'!BE224-'Income Statement'!BE222</f>
        <v>5665.768</v>
      </c>
      <c r="AY31" s="1059">
        <v>5967.2240000000002</v>
      </c>
      <c r="AZ31" s="1059">
        <v>6289.6049999999996</v>
      </c>
      <c r="BA31" s="1059">
        <v>6463.6930000000011</v>
      </c>
      <c r="BB31" s="1059">
        <v>6412.1059999999979</v>
      </c>
      <c r="BC31" s="1059">
        <v>6497.1509999999998</v>
      </c>
      <c r="BD31" s="1059">
        <v>6589.268</v>
      </c>
      <c r="BE31" s="1059">
        <v>6569.732</v>
      </c>
      <c r="BF31" s="1059">
        <v>6352.9440000000004</v>
      </c>
      <c r="BG31" s="1059">
        <v>6247.3630000000003</v>
      </c>
      <c r="BH31" s="1059">
        <v>6726.8360000000002</v>
      </c>
      <c r="BI31" s="1059">
        <v>6825.9939999999997</v>
      </c>
      <c r="BJ31" s="1059">
        <v>6953.857</v>
      </c>
      <c r="BK31" s="1059">
        <v>6742.0590000000002</v>
      </c>
      <c r="BL31" s="1059">
        <v>7308.3810000000003</v>
      </c>
      <c r="BM31" s="1059">
        <v>7437.7219999999998</v>
      </c>
      <c r="BN31" s="1059">
        <v>7442.0959999999995</v>
      </c>
      <c r="BO31" s="1059">
        <v>7419.5280000000002</v>
      </c>
      <c r="BP31" s="1059">
        <v>8108.1239999999998</v>
      </c>
      <c r="BQ31" s="1059">
        <v>7981.8030000000017</v>
      </c>
      <c r="BR31" s="1059">
        <v>8312.1859999999961</v>
      </c>
      <c r="BS31" s="1059">
        <v>8272.5849999999991</v>
      </c>
      <c r="BT31" s="1059">
        <v>8421.2880000000005</v>
      </c>
      <c r="BU31" s="1059">
        <v>8091.4150000000009</v>
      </c>
      <c r="BV31" s="1059">
        <v>8831.120600000002</v>
      </c>
      <c r="BW31" s="1059">
        <v>8475.3469999999998</v>
      </c>
      <c r="BX31" s="1059">
        <v>10363.795</v>
      </c>
      <c r="BY31" s="1533">
        <v>11311.869000000001</v>
      </c>
      <c r="CA31" t="s">
        <v>846</v>
      </c>
      <c r="CB31" t="s">
        <v>815</v>
      </c>
      <c r="CC31" s="316"/>
      <c r="CJ31" t="s">
        <v>466</v>
      </c>
      <c r="CL31" s="270">
        <f>CL8</f>
        <v>7990</v>
      </c>
      <c r="CM31" s="270">
        <f t="shared" ref="CM31:CT31" si="57">CM8</f>
        <v>12061.33</v>
      </c>
      <c r="CN31" s="270">
        <f t="shared" si="57"/>
        <v>13707</v>
      </c>
      <c r="CO31" s="270">
        <f t="shared" si="57"/>
        <v>17460</v>
      </c>
      <c r="CP31" s="270">
        <f t="shared" si="57"/>
        <v>18262</v>
      </c>
      <c r="CQ31" s="270">
        <f t="shared" si="57"/>
        <v>20969</v>
      </c>
      <c r="CR31" s="270">
        <f t="shared" si="57"/>
        <v>21266</v>
      </c>
      <c r="CS31" s="270">
        <f t="shared" si="57"/>
        <v>23460</v>
      </c>
      <c r="CT31" s="270">
        <f t="shared" si="57"/>
        <v>22895</v>
      </c>
      <c r="CU31" s="270">
        <f t="shared" ref="CU31:DG31" si="58">CU8</f>
        <v>21341</v>
      </c>
      <c r="CV31" s="270">
        <f t="shared" si="58"/>
        <v>22901</v>
      </c>
      <c r="CW31" s="270">
        <f t="shared" si="58"/>
        <v>22938.811999999998</v>
      </c>
      <c r="CX31" s="270">
        <f t="shared" si="58"/>
        <v>25132.851999999999</v>
      </c>
      <c r="CY31" s="270">
        <f t="shared" si="58"/>
        <v>26009.095000000001</v>
      </c>
      <c r="CZ31" s="270">
        <f t="shared" si="58"/>
        <v>26754.050000000003</v>
      </c>
      <c r="DA31" s="270">
        <f t="shared" si="58"/>
        <v>29141.994000000002</v>
      </c>
      <c r="DB31" s="270">
        <f t="shared" si="58"/>
        <v>32322.651000000005</v>
      </c>
      <c r="DC31" s="270">
        <f t="shared" si="58"/>
        <v>34391.597000000002</v>
      </c>
      <c r="DD31" s="270">
        <f t="shared" si="58"/>
        <v>42474.105831966364</v>
      </c>
      <c r="DE31" s="270">
        <f t="shared" si="58"/>
        <v>47281.52542977938</v>
      </c>
      <c r="DF31" s="270">
        <f t="shared" si="58"/>
        <v>49342.820741226758</v>
      </c>
      <c r="DG31" s="270">
        <f t="shared" si="58"/>
        <v>51491.024704882409</v>
      </c>
      <c r="DH31" s="270">
        <f t="shared" ref="DH31:DI31" si="59">DH8</f>
        <v>53729.794804044934</v>
      </c>
      <c r="DI31" s="270">
        <f t="shared" si="59"/>
        <v>56062.943842146051</v>
      </c>
    </row>
    <row r="32" spans="1:113">
      <c r="A32" s="96" t="s">
        <v>467</v>
      </c>
      <c r="B32" s="96"/>
      <c r="C32" s="116"/>
      <c r="D32" s="116"/>
      <c r="E32" s="116"/>
      <c r="F32" s="116"/>
      <c r="G32" s="116">
        <f>'Income Statement'!D225-'Income Statement'!D224-'Income Statement'!D222-'Income Statement'!D217-'Income Statement'!D216</f>
        <v>1388</v>
      </c>
      <c r="H32" s="116">
        <f>'Income Statement'!E225-'Income Statement'!E224-'Income Statement'!E222-'Income Statement'!E217-'Income Statement'!E216</f>
        <v>1786</v>
      </c>
      <c r="I32" s="116">
        <f>'Income Statement'!F225-'Income Statement'!F224-'Income Statement'!F222-'Income Statement'!F217-'Income Statement'!F216</f>
        <v>1841</v>
      </c>
      <c r="J32" s="116">
        <f>'Income Statement'!G225-'Income Statement'!G224-'Income Statement'!G222-'Income Statement'!G217-'Income Statement'!G216</f>
        <v>1608</v>
      </c>
      <c r="K32" s="116">
        <f>'Income Statement'!I225-'Income Statement'!I224-'Income Statement'!I222-'Income Statement'!I217-'Income Statement'!I216</f>
        <v>1503</v>
      </c>
      <c r="L32" s="116">
        <f>'Income Statement'!J225-'Income Statement'!J224-'Income Statement'!J222-'Income Statement'!J217-'Income Statement'!J216</f>
        <v>1705</v>
      </c>
      <c r="M32" s="116">
        <f>'Income Statement'!K225-'Income Statement'!K224-'Income Statement'!K222-'Income Statement'!K217-'Income Statement'!K216</f>
        <v>1818</v>
      </c>
      <c r="N32" s="116">
        <f>'Income Statement'!L225-'Income Statement'!L224-'Income Statement'!L222-'Income Statement'!L217-'Income Statement'!L216</f>
        <v>2038</v>
      </c>
      <c r="O32" s="116">
        <f>'Income Statement'!N225-'Income Statement'!N224-'Income Statement'!N222-'Income Statement'!N217-'Income Statement'!N216</f>
        <v>3366</v>
      </c>
      <c r="P32" s="116">
        <f>'Income Statement'!O225-'Income Statement'!O224-'Income Statement'!O222-'Income Statement'!O217-'Income Statement'!O216</f>
        <v>3491</v>
      </c>
      <c r="Q32" s="116">
        <f>'Income Statement'!P225-'Income Statement'!P224-'Income Statement'!P222-'Income Statement'!P217-'Income Statement'!P216</f>
        <v>3605</v>
      </c>
      <c r="R32" s="116">
        <f>'Income Statement'!Q225-'Income Statement'!Q224-'Income Statement'!Q222-'Income Statement'!Q217-'Income Statement'!Q216</f>
        <v>3804</v>
      </c>
      <c r="S32" s="116">
        <f>'Income Statement'!S225-'Income Statement'!S224-'Income Statement'!S222-'Income Statement'!S217-'Income Statement'!S216</f>
        <v>3639</v>
      </c>
      <c r="T32" s="116">
        <f>'Income Statement'!T225-'Income Statement'!T224-'Income Statement'!T222-'Income Statement'!T217-'Income Statement'!T216</f>
        <v>3702</v>
      </c>
      <c r="U32" s="116">
        <f>'Income Statement'!U225-'Income Statement'!U224-'Income Statement'!U222-'Income Statement'!U217-'Income Statement'!U216</f>
        <v>3890</v>
      </c>
      <c r="V32" s="116">
        <f>'Income Statement'!V225-'Income Statement'!V224-'Income Statement'!V222-'Income Statement'!V217-'Income Statement'!V216</f>
        <v>4041</v>
      </c>
      <c r="W32" s="116">
        <f>'Income Statement'!X225-'Income Statement'!X224-'Income Statement'!X222-'Income Statement'!X217-'Income Statement'!X216</f>
        <v>4035</v>
      </c>
      <c r="X32" s="116">
        <f>'Income Statement'!Y225-'Income Statement'!Y224-'Income Statement'!Y222-'Income Statement'!Y217-'Income Statement'!Y216</f>
        <v>4169</v>
      </c>
      <c r="Y32" s="116">
        <f>'Income Statement'!Z225-'Income Statement'!Z224-'Income Statement'!Z222-'Income Statement'!Z217-'Income Statement'!Z216</f>
        <v>4353</v>
      </c>
      <c r="Z32" s="116">
        <f>'Income Statement'!AA225-'Income Statement'!AA224-'Income Statement'!AA222-'Income Statement'!AA217-'Income Statement'!AA216</f>
        <v>4198</v>
      </c>
      <c r="AA32" s="116">
        <f>'Income Statement'!AC225-'Income Statement'!AC224-'Income Statement'!AC222-'Income Statement'!AC217-'Income Statement'!AC216</f>
        <v>4612</v>
      </c>
      <c r="AB32" s="116">
        <f>'Income Statement'!AD225-'Income Statement'!AD224-'Income Statement'!AD222-'Income Statement'!AD217-'Income Statement'!AD216</f>
        <v>4907</v>
      </c>
      <c r="AC32" s="116">
        <f>'Income Statement'!AE225-'Income Statement'!AE224-'Income Statement'!AE222-'Income Statement'!AE217-'Income Statement'!AE216</f>
        <v>5215</v>
      </c>
      <c r="AD32" s="116">
        <f>'Income Statement'!AF225-'Income Statement'!AF224-'Income Statement'!AF222-'Income Statement'!AF217-'Income Statement'!AF216</f>
        <v>5218</v>
      </c>
      <c r="AE32" s="116">
        <f>'Income Statement'!AH225-'Income Statement'!AH224-'Income Statement'!AH222-'Income Statement'!AH217-'Income Statement'!AH216</f>
        <v>4244</v>
      </c>
      <c r="AF32" s="116">
        <f>'Income Statement'!AI225-'Income Statement'!AI224-'Income Statement'!AI222-'Income Statement'!AI217-'Income Statement'!AI216</f>
        <v>4908</v>
      </c>
      <c r="AG32" s="116">
        <f>'Income Statement'!AJ225-'Income Statement'!AJ224-'Income Statement'!AJ222-'Income Statement'!AJ217-'Income Statement'!AJ216</f>
        <v>4903</v>
      </c>
      <c r="AH32" s="116">
        <f>'Income Statement'!AK225-'Income Statement'!AK224-'Income Statement'!AK222-'Income Statement'!AK217-'Income Statement'!AK216</f>
        <v>4853</v>
      </c>
      <c r="AI32" s="116">
        <f>'Income Statement'!AM225-'Income Statement'!AM224-'Income Statement'!AM222-'Income Statement'!AM217-'Income Statement'!AM216</f>
        <v>4542</v>
      </c>
      <c r="AJ32" s="116">
        <f>'Income Statement'!AN225-'Income Statement'!AN224-'Income Statement'!AN222-'Income Statement'!AN217-'Income Statement'!AN216</f>
        <v>4685</v>
      </c>
      <c r="AK32" s="116">
        <f>'Income Statement'!AO225-'Income Statement'!AO224-'Income Statement'!AO222-'Income Statement'!AO217-'Income Statement'!AO216</f>
        <v>4934</v>
      </c>
      <c r="AL32" s="116">
        <f>'Income Statement'!AP225-'Income Statement'!AP224-'Income Statement'!AP222-'Income Statement'!AP217-'Income Statement'!AP216</f>
        <v>5032</v>
      </c>
      <c r="AM32" s="116">
        <f>'Income Statement'!AR225-'Income Statement'!AR224-'Income Statement'!AR222-'Income Statement'!AR217-'Income Statement'!AR216</f>
        <v>4781</v>
      </c>
      <c r="AN32" s="116">
        <f>'Income Statement'!AS225-'Income Statement'!AS224-'Income Statement'!AS222-'Income Statement'!AS217-'Income Statement'!AS216</f>
        <v>4469</v>
      </c>
      <c r="AO32" s="116">
        <f>'Income Statement'!AT225-'Income Statement'!AT224-'Income Statement'!AT222-'Income Statement'!AT217-'Income Statement'!AT216</f>
        <v>4539</v>
      </c>
      <c r="AP32" s="116">
        <f>'Income Statement'!AU225-'Income Statement'!AU224-'Income Statement'!AU222-'Income Statement'!AU217-'Income Statement'!AU216</f>
        <v>4586</v>
      </c>
      <c r="AQ32" s="116">
        <f>'Income Statement'!AW225-'Income Statement'!AW224-'Income Statement'!AW222-'Income Statement'!AW217-'Income Statement'!AW216</f>
        <v>4599</v>
      </c>
      <c r="AR32" s="116">
        <f>'Income Statement'!AX225-'Income Statement'!AX224-'Income Statement'!AX222-'Income Statement'!AX217-'Income Statement'!AX216</f>
        <v>5026</v>
      </c>
      <c r="AS32" s="116">
        <f>'Income Statement'!AY225-'Income Statement'!AY224-'Income Statement'!AY222-'Income Statement'!AY217-'Income Statement'!AY216</f>
        <v>5280</v>
      </c>
      <c r="AT32" s="116">
        <f>'Income Statement'!AZ225-'Income Statement'!AZ224-'Income Statement'!AZ222-'Income Statement'!AZ217-'Income Statement'!AZ216</f>
        <v>5355</v>
      </c>
      <c r="AU32" s="116">
        <f>'Income Statement'!BB225-'Income Statement'!BB224-'Income Statement'!BB222-'Income Statement'!BB217-'Income Statement'!BB216</f>
        <v>4853.4030000000002</v>
      </c>
      <c r="AV32" s="116">
        <f>'Income Statement'!BC225-'Income Statement'!BC224-'Income Statement'!BC222-'Income Statement'!BC217-'Income Statement'!BC216</f>
        <v>4842.1270000000004</v>
      </c>
      <c r="AW32" s="116">
        <f>'Income Statement'!BD225-'Income Statement'!BD224-'Income Statement'!BD222-'Income Statement'!BD217-'Income Statement'!BD216</f>
        <v>5047.2139999999999</v>
      </c>
      <c r="AX32" s="116">
        <f>'Income Statement'!BE225-'Income Statement'!BE224-'Income Statement'!BE222-'Income Statement'!BE217-'Income Statement'!BE216</f>
        <v>5343.116</v>
      </c>
      <c r="AY32" s="1060">
        <v>5682.8230000000003</v>
      </c>
      <c r="AZ32" s="1060">
        <v>6003.848</v>
      </c>
      <c r="BA32" s="1060">
        <v>6179.773000000001</v>
      </c>
      <c r="BB32" s="1060">
        <v>6153.5699999999979</v>
      </c>
      <c r="BC32" s="1060">
        <v>6246.5590000000002</v>
      </c>
      <c r="BD32" s="1060">
        <v>6411.1379999999999</v>
      </c>
      <c r="BE32" s="1060">
        <v>6391.9939999999997</v>
      </c>
      <c r="BF32" s="1060">
        <v>6186.1180000000004</v>
      </c>
      <c r="BG32" s="1060">
        <v>6092.6880000000001</v>
      </c>
      <c r="BH32" s="1060">
        <v>6431.4440000000004</v>
      </c>
      <c r="BI32" s="1060">
        <v>6595.8620000000001</v>
      </c>
      <c r="BJ32" s="1060">
        <v>6681.6620000000003</v>
      </c>
      <c r="BK32" s="1060">
        <v>6478.7960000000003</v>
      </c>
      <c r="BL32" s="1060">
        <v>6907.3310000000001</v>
      </c>
      <c r="BM32" s="1060">
        <v>7095.5999999999995</v>
      </c>
      <c r="BN32" s="1060">
        <v>7083.5839999999998</v>
      </c>
      <c r="BO32" s="1060">
        <v>7164.424</v>
      </c>
      <c r="BP32" s="1060">
        <v>7771.0259999999998</v>
      </c>
      <c r="BQ32" s="1060">
        <v>7553.0720000000019</v>
      </c>
      <c r="BR32" s="1060">
        <v>7903.1859999999961</v>
      </c>
      <c r="BS32" s="1060">
        <v>8061.5869999999995</v>
      </c>
      <c r="BT32" s="1060">
        <v>8259.0110000000004</v>
      </c>
      <c r="BU32" s="1060">
        <v>7748.7720000000008</v>
      </c>
      <c r="BV32" s="1060">
        <v>8407.3336000000018</v>
      </c>
      <c r="BW32" s="1060">
        <v>8082.6989999999996</v>
      </c>
      <c r="BX32" s="1060">
        <v>9756.6200000000008</v>
      </c>
      <c r="BY32" s="1534">
        <v>10467.144</v>
      </c>
      <c r="CA32" t="s">
        <v>845</v>
      </c>
      <c r="CB32" t="s">
        <v>814</v>
      </c>
      <c r="CC32" s="316"/>
      <c r="CJ32" t="s">
        <v>467</v>
      </c>
      <c r="CL32" s="270">
        <f>'Income Statement'!C231</f>
        <v>0</v>
      </c>
      <c r="CM32" s="270">
        <f>'Income Statement'!H231</f>
        <v>0</v>
      </c>
      <c r="CN32" s="270">
        <f>'Income Statement'!M231</f>
        <v>0</v>
      </c>
      <c r="CO32" s="270">
        <f>'Income Statement'!R231</f>
        <v>0</v>
      </c>
      <c r="CP32" s="270">
        <f>'Income Statement'!W231</f>
        <v>0</v>
      </c>
      <c r="CQ32" s="270">
        <f>'Income Statement'!AB231</f>
        <v>0</v>
      </c>
      <c r="CR32" s="270">
        <f>'Income Statement'!AG231</f>
        <v>0</v>
      </c>
      <c r="CS32" s="270">
        <f>'Income Statement'!AL231</f>
        <v>20365</v>
      </c>
      <c r="CT32" s="270">
        <f>'Income Statement'!AQ231</f>
        <v>20314</v>
      </c>
      <c r="CU32" s="270">
        <f>'Income Statement'!AV231</f>
        <v>19452</v>
      </c>
      <c r="CV32" s="270">
        <f>'Income Statement'!BA231</f>
        <v>21240</v>
      </c>
      <c r="CW32" s="270">
        <f>'Income Statement'!BF231</f>
        <v>21683.439999999999</v>
      </c>
      <c r="CX32" s="270">
        <f>'Income Statement'!BK231</f>
        <v>24037.642999999996</v>
      </c>
      <c r="CY32" s="270">
        <f>'Income Statement'!BP231</f>
        <v>25244.940000000002</v>
      </c>
      <c r="CZ32" s="270">
        <f>'Income Statement'!BU231</f>
        <v>25813.940000000002</v>
      </c>
      <c r="DA32" s="270">
        <f>'Income Statement'!BZ231</f>
        <v>27596.321</v>
      </c>
      <c r="DB32" s="270">
        <f>'Income Statement'!CE231</f>
        <v>30406.218999999997</v>
      </c>
      <c r="DC32" s="270">
        <f>'Income Statement'!CJ231</f>
        <v>32478.044600000001</v>
      </c>
      <c r="DD32" s="270">
        <f>'Income Statement'!CO231</f>
        <v>39423.026346314931</v>
      </c>
      <c r="DE32" s="270">
        <f>'Income Statement'!CP231</f>
        <v>43911.91263519082</v>
      </c>
      <c r="DF32" s="270">
        <f>'Income Statement'!CQ231</f>
        <v>45811.996866064161</v>
      </c>
      <c r="DG32" s="270">
        <f>'Income Statement'!CR231</f>
        <v>47791.259164538795</v>
      </c>
      <c r="DH32" s="270">
        <f>'Income Statement'!CS231</f>
        <v>49852.97541884995</v>
      </c>
      <c r="DI32" s="270">
        <f>'Income Statement'!CT231</f>
        <v>52000.557328840892</v>
      </c>
    </row>
    <row r="33" spans="1:113">
      <c r="A33" s="96" t="s">
        <v>2</v>
      </c>
      <c r="B33" s="96"/>
      <c r="C33" s="116"/>
      <c r="D33" s="116"/>
      <c r="E33" s="116"/>
      <c r="F33" s="116"/>
      <c r="G33" s="116">
        <f t="shared" ref="G33:BK33" si="60">G9</f>
        <v>1134</v>
      </c>
      <c r="H33" s="116">
        <f t="shared" si="60"/>
        <v>1490</v>
      </c>
      <c r="I33" s="116">
        <f t="shared" si="60"/>
        <v>1486</v>
      </c>
      <c r="J33" s="116">
        <f t="shared" si="60"/>
        <v>1022</v>
      </c>
      <c r="K33" s="116">
        <f t="shared" si="60"/>
        <v>1113</v>
      </c>
      <c r="L33" s="116">
        <f t="shared" si="60"/>
        <v>1455</v>
      </c>
      <c r="M33" s="116">
        <f t="shared" si="60"/>
        <v>1672</v>
      </c>
      <c r="N33" s="116">
        <f t="shared" si="60"/>
        <v>1965</v>
      </c>
      <c r="O33" s="116">
        <f t="shared" si="60"/>
        <v>2142</v>
      </c>
      <c r="P33" s="116">
        <f t="shared" si="60"/>
        <v>2288</v>
      </c>
      <c r="Q33" s="116">
        <f t="shared" si="60"/>
        <v>2362</v>
      </c>
      <c r="R33" s="116">
        <f t="shared" si="60"/>
        <v>2495</v>
      </c>
      <c r="S33" s="116">
        <f t="shared" si="60"/>
        <v>2363</v>
      </c>
      <c r="T33" s="116">
        <f t="shared" si="60"/>
        <v>2395</v>
      </c>
      <c r="U33" s="116">
        <f t="shared" si="60"/>
        <v>2270</v>
      </c>
      <c r="V33" s="116">
        <f t="shared" si="60"/>
        <v>2320</v>
      </c>
      <c r="W33" s="116">
        <f t="shared" si="60"/>
        <v>2391</v>
      </c>
      <c r="X33" s="116">
        <f t="shared" si="60"/>
        <v>2546</v>
      </c>
      <c r="Y33" s="116">
        <f t="shared" si="60"/>
        <v>2505</v>
      </c>
      <c r="Z33" s="116">
        <f t="shared" si="60"/>
        <v>2303</v>
      </c>
      <c r="AA33" s="116">
        <f t="shared" si="60"/>
        <v>2025</v>
      </c>
      <c r="AB33" s="116">
        <f t="shared" si="60"/>
        <v>2139</v>
      </c>
      <c r="AC33" s="116">
        <f t="shared" si="60"/>
        <v>2255</v>
      </c>
      <c r="AD33" s="116">
        <f t="shared" si="60"/>
        <v>2240</v>
      </c>
      <c r="AE33" s="116">
        <f t="shared" si="60"/>
        <v>2201</v>
      </c>
      <c r="AF33" s="116">
        <f t="shared" si="60"/>
        <v>2061</v>
      </c>
      <c r="AG33" s="116">
        <f t="shared" si="60"/>
        <v>2061</v>
      </c>
      <c r="AH33" s="116">
        <f t="shared" si="60"/>
        <v>2300</v>
      </c>
      <c r="AI33" s="116">
        <f t="shared" si="60"/>
        <v>1877</v>
      </c>
      <c r="AJ33" s="116">
        <f t="shared" si="60"/>
        <v>2000</v>
      </c>
      <c r="AK33" s="116">
        <f t="shared" si="60"/>
        <v>2196</v>
      </c>
      <c r="AL33" s="116">
        <f t="shared" si="60"/>
        <v>2320</v>
      </c>
      <c r="AM33" s="116">
        <f t="shared" si="60"/>
        <v>2192</v>
      </c>
      <c r="AN33" s="116">
        <f t="shared" si="60"/>
        <v>2064</v>
      </c>
      <c r="AO33" s="116">
        <f t="shared" si="60"/>
        <v>1980</v>
      </c>
      <c r="AP33" s="116">
        <f t="shared" ref="AP33:AT35" si="61">AP9</f>
        <v>1821</v>
      </c>
      <c r="AQ33" s="116">
        <f t="shared" si="61"/>
        <v>1848</v>
      </c>
      <c r="AR33" s="116">
        <f t="shared" si="61"/>
        <v>2073</v>
      </c>
      <c r="AS33" s="116">
        <f t="shared" si="61"/>
        <v>2281</v>
      </c>
      <c r="AT33" s="116">
        <f t="shared" si="61"/>
        <v>2119</v>
      </c>
      <c r="AU33" s="116">
        <f t="shared" si="60"/>
        <v>1986</v>
      </c>
      <c r="AV33" s="116">
        <f t="shared" si="60"/>
        <v>2000</v>
      </c>
      <c r="AW33" s="116">
        <f t="shared" si="60"/>
        <v>2176</v>
      </c>
      <c r="AX33" s="116">
        <f t="shared" si="60"/>
        <v>2351</v>
      </c>
      <c r="AY33" s="116">
        <f t="shared" ref="AY33:AZ33" si="62">AY9</f>
        <v>2279</v>
      </c>
      <c r="AZ33" s="116">
        <f t="shared" si="62"/>
        <v>2471</v>
      </c>
      <c r="BA33" s="116">
        <f t="shared" ref="BA33:BB33" si="63">BA9</f>
        <v>2608</v>
      </c>
      <c r="BB33" s="116">
        <f t="shared" si="63"/>
        <v>2608</v>
      </c>
      <c r="BC33" s="116">
        <f t="shared" ref="BC33:BD33" si="64">BC9</f>
        <v>3184</v>
      </c>
      <c r="BD33" s="116">
        <f t="shared" si="64"/>
        <v>3306</v>
      </c>
      <c r="BE33" s="116">
        <f t="shared" ref="BE33:BF33" si="65">BE9</f>
        <v>3405</v>
      </c>
      <c r="BF33" s="116">
        <f t="shared" si="65"/>
        <v>3165</v>
      </c>
      <c r="BG33" s="116">
        <f t="shared" ref="BG33" si="66">BG9</f>
        <v>3119</v>
      </c>
      <c r="BH33" s="116">
        <f t="shared" ref="BH33:BI33" si="67">BH9</f>
        <v>3369</v>
      </c>
      <c r="BI33" s="116">
        <f t="shared" si="67"/>
        <v>3418</v>
      </c>
      <c r="BJ33" s="116">
        <f t="shared" ref="BJ33" si="68">BJ9</f>
        <v>3381</v>
      </c>
      <c r="BK33" s="116">
        <f t="shared" si="60"/>
        <v>3174</v>
      </c>
      <c r="BL33" s="116">
        <f t="shared" ref="BL33:BM33" si="69">BL9</f>
        <v>3560</v>
      </c>
      <c r="BM33" s="116">
        <f t="shared" si="69"/>
        <v>3643</v>
      </c>
      <c r="BN33" s="116">
        <f t="shared" ref="BN33:BO33" si="70">BN9</f>
        <v>3858</v>
      </c>
      <c r="BO33" s="116">
        <f t="shared" si="70"/>
        <v>3583</v>
      </c>
      <c r="BP33" s="116">
        <f t="shared" ref="BP33:BQ33" si="71">BP9</f>
        <v>4069</v>
      </c>
      <c r="BQ33" s="116">
        <f t="shared" si="71"/>
        <v>4103</v>
      </c>
      <c r="BR33" s="116">
        <f t="shared" ref="BR33:BS33" si="72">BR9</f>
        <v>4130</v>
      </c>
      <c r="BS33" s="116">
        <f t="shared" si="72"/>
        <v>4454</v>
      </c>
      <c r="BT33" s="116">
        <f t="shared" ref="BT33:BU33" si="73">BT9</f>
        <v>4503</v>
      </c>
      <c r="BU33" s="116">
        <f t="shared" si="73"/>
        <v>4339</v>
      </c>
      <c r="BV33" s="116">
        <f t="shared" ref="BV33:BW33" si="74">BV9</f>
        <v>4583</v>
      </c>
      <c r="BW33" s="116">
        <f t="shared" si="74"/>
        <v>4321</v>
      </c>
      <c r="BX33" s="116">
        <f t="shared" ref="BX33" si="75">BX9</f>
        <v>4487</v>
      </c>
      <c r="BY33" s="1532">
        <f>BY9</f>
        <v>4858</v>
      </c>
      <c r="CC33" s="316"/>
      <c r="CJ33" t="s">
        <v>2</v>
      </c>
      <c r="CL33" s="270">
        <f t="shared" ref="CL33:CT33" si="76">CL9</f>
        <v>3509</v>
      </c>
      <c r="CM33" s="270">
        <f t="shared" si="76"/>
        <v>5132</v>
      </c>
      <c r="CN33" s="270">
        <f t="shared" si="76"/>
        <v>6205</v>
      </c>
      <c r="CO33" s="270">
        <f t="shared" si="76"/>
        <v>9287</v>
      </c>
      <c r="CP33" s="270">
        <f t="shared" si="76"/>
        <v>9348</v>
      </c>
      <c r="CQ33" s="270">
        <f t="shared" si="76"/>
        <v>9745</v>
      </c>
      <c r="CR33" s="270">
        <f t="shared" si="76"/>
        <v>8659</v>
      </c>
      <c r="CS33" s="270">
        <f t="shared" si="76"/>
        <v>8623</v>
      </c>
      <c r="CT33" s="270">
        <f t="shared" si="76"/>
        <v>8393</v>
      </c>
      <c r="CU33" s="270">
        <f t="shared" ref="CU33:DG33" si="77">CU9</f>
        <v>8057</v>
      </c>
      <c r="CV33" s="270">
        <f t="shared" si="77"/>
        <v>8321</v>
      </c>
      <c r="CW33" s="270">
        <f t="shared" si="77"/>
        <v>8513</v>
      </c>
      <c r="CX33" s="270">
        <f t="shared" si="77"/>
        <v>9966</v>
      </c>
      <c r="CY33" s="270">
        <f t="shared" si="77"/>
        <v>13060</v>
      </c>
      <c r="CZ33" s="270">
        <f t="shared" si="77"/>
        <v>13287</v>
      </c>
      <c r="DA33" s="270">
        <f t="shared" si="77"/>
        <v>14235</v>
      </c>
      <c r="DB33" s="270">
        <f t="shared" si="77"/>
        <v>15885</v>
      </c>
      <c r="DC33" s="270">
        <f t="shared" si="77"/>
        <v>17879</v>
      </c>
      <c r="DD33" s="270">
        <f t="shared" si="77"/>
        <v>18547.777952688124</v>
      </c>
      <c r="DE33" s="270">
        <f t="shared" si="77"/>
        <v>22026.102884302556</v>
      </c>
      <c r="DF33" s="270">
        <f t="shared" si="77"/>
        <v>24266.810115801967</v>
      </c>
      <c r="DG33" s="270">
        <f t="shared" si="77"/>
        <v>26620.859772424206</v>
      </c>
      <c r="DH33" s="270">
        <f t="shared" ref="DH33:DI33" si="78">DH9</f>
        <v>27939.493298103363</v>
      </c>
      <c r="DI33" s="270">
        <f t="shared" si="78"/>
        <v>29320.919629442382</v>
      </c>
    </row>
    <row r="34" spans="1:113">
      <c r="A34" s="96" t="s">
        <v>99</v>
      </c>
      <c r="B34" s="96"/>
      <c r="C34" s="116"/>
      <c r="D34" s="116"/>
      <c r="E34" s="116"/>
      <c r="F34" s="116"/>
      <c r="G34" s="59">
        <f t="shared" ref="G34:BK34" si="79">G10</f>
        <v>321</v>
      </c>
      <c r="H34" s="59">
        <f t="shared" si="79"/>
        <v>329</v>
      </c>
      <c r="I34" s="59">
        <f t="shared" si="79"/>
        <v>78</v>
      </c>
      <c r="J34" s="59">
        <f t="shared" si="79"/>
        <v>-742</v>
      </c>
      <c r="K34" s="59">
        <f t="shared" si="79"/>
        <v>-305</v>
      </c>
      <c r="L34" s="59">
        <f t="shared" si="79"/>
        <v>1011</v>
      </c>
      <c r="M34" s="59">
        <f t="shared" si="79"/>
        <v>496</v>
      </c>
      <c r="N34" s="59">
        <f t="shared" si="79"/>
        <v>507.50000000000011</v>
      </c>
      <c r="O34" s="59">
        <f t="shared" si="79"/>
        <v>599</v>
      </c>
      <c r="P34" s="59">
        <f t="shared" si="79"/>
        <v>722</v>
      </c>
      <c r="Q34" s="59">
        <f t="shared" si="79"/>
        <v>761</v>
      </c>
      <c r="R34" s="59">
        <f t="shared" si="79"/>
        <v>810</v>
      </c>
      <c r="S34" s="59">
        <f t="shared" si="79"/>
        <v>756</v>
      </c>
      <c r="T34" s="59">
        <f t="shared" si="79"/>
        <v>767</v>
      </c>
      <c r="U34" s="59">
        <f t="shared" si="79"/>
        <v>661</v>
      </c>
      <c r="V34" s="59">
        <f t="shared" si="79"/>
        <v>761</v>
      </c>
      <c r="W34" s="59">
        <f t="shared" si="79"/>
        <v>667</v>
      </c>
      <c r="X34" s="59">
        <f t="shared" si="79"/>
        <v>794</v>
      </c>
      <c r="Y34" s="59">
        <f t="shared" si="79"/>
        <v>736</v>
      </c>
      <c r="Z34" s="59">
        <f t="shared" si="79"/>
        <v>520</v>
      </c>
      <c r="AA34" s="59">
        <f t="shared" si="79"/>
        <v>316</v>
      </c>
      <c r="AB34" s="59">
        <f t="shared" si="79"/>
        <v>354</v>
      </c>
      <c r="AC34" s="59">
        <f t="shared" si="79"/>
        <v>246</v>
      </c>
      <c r="AD34" s="59">
        <f t="shared" si="79"/>
        <v>116</v>
      </c>
      <c r="AE34" s="59">
        <f t="shared" si="79"/>
        <v>380</v>
      </c>
      <c r="AF34" s="59">
        <f t="shared" si="79"/>
        <v>-863</v>
      </c>
      <c r="AG34" s="59">
        <f t="shared" si="79"/>
        <v>-419</v>
      </c>
      <c r="AH34" s="59">
        <f t="shared" si="79"/>
        <v>11</v>
      </c>
      <c r="AI34" s="59">
        <f t="shared" si="79"/>
        <v>-718</v>
      </c>
      <c r="AJ34" s="59">
        <f t="shared" si="79"/>
        <v>-132</v>
      </c>
      <c r="AK34" s="59">
        <f t="shared" si="79"/>
        <v>343</v>
      </c>
      <c r="AL34" s="59">
        <f t="shared" si="79"/>
        <v>482</v>
      </c>
      <c r="AM34" s="59">
        <f t="shared" si="79"/>
        <v>171</v>
      </c>
      <c r="AN34" s="59">
        <f t="shared" si="79"/>
        <v>53</v>
      </c>
      <c r="AO34" s="59">
        <f t="shared" si="79"/>
        <v>-65</v>
      </c>
      <c r="AP34" s="59">
        <f t="shared" si="61"/>
        <v>215</v>
      </c>
      <c r="AQ34" s="59">
        <f t="shared" si="61"/>
        <v>46</v>
      </c>
      <c r="AR34" s="59">
        <f t="shared" si="61"/>
        <v>97</v>
      </c>
      <c r="AS34" s="59">
        <f t="shared" si="61"/>
        <v>95</v>
      </c>
      <c r="AT34" s="59">
        <f t="shared" si="61"/>
        <v>123</v>
      </c>
      <c r="AU34" s="59">
        <f t="shared" si="79"/>
        <v>16</v>
      </c>
      <c r="AV34" s="59">
        <f t="shared" si="79"/>
        <v>-96</v>
      </c>
      <c r="AW34" s="59">
        <f t="shared" si="79"/>
        <v>-62</v>
      </c>
      <c r="AX34" s="59">
        <f t="shared" si="79"/>
        <v>-3152</v>
      </c>
      <c r="AY34" s="59">
        <f t="shared" ref="AY34:AZ34" si="80">AY10</f>
        <v>78.575000000000003</v>
      </c>
      <c r="AZ34" s="59">
        <f t="shared" si="80"/>
        <v>203.42500000000001</v>
      </c>
      <c r="BA34" s="59">
        <f t="shared" ref="BA34:BB34" si="81">BA10</f>
        <v>215.99999999999989</v>
      </c>
      <c r="BB34" s="59">
        <f t="shared" si="81"/>
        <v>213</v>
      </c>
      <c r="BC34" s="59">
        <f t="shared" ref="BC34:BD34" si="82">BC10</f>
        <v>1520.0000000000002</v>
      </c>
      <c r="BD34" s="59">
        <f t="shared" si="82"/>
        <v>224.00000000000006</v>
      </c>
      <c r="BE34" s="59">
        <f t="shared" ref="BE34:BF34" si="83">BE10</f>
        <v>331</v>
      </c>
      <c r="BF34" s="59">
        <f t="shared" si="83"/>
        <v>-1703</v>
      </c>
      <c r="BG34" s="59">
        <f t="shared" ref="BG34" si="84">BG10</f>
        <v>321</v>
      </c>
      <c r="BH34" s="59">
        <f t="shared" ref="BH34:BI34" si="85">BH10</f>
        <v>395.00000000000011</v>
      </c>
      <c r="BI34" s="59">
        <f t="shared" si="85"/>
        <v>299.99999999999994</v>
      </c>
      <c r="BJ34" s="59">
        <f t="shared" ref="BJ34" si="86">BJ10</f>
        <v>271.80700000000013</v>
      </c>
      <c r="BK34" s="59">
        <f t="shared" si="79"/>
        <v>139.09200000000007</v>
      </c>
      <c r="BL34" s="59">
        <f t="shared" ref="BL34:BM34" si="87">BL10</f>
        <v>477.91999999999996</v>
      </c>
      <c r="BM34" s="59">
        <f t="shared" si="87"/>
        <v>371.76000000000016</v>
      </c>
      <c r="BN34" s="59">
        <f t="shared" ref="BN34:BO34" si="88">BN10</f>
        <v>132.41599999999994</v>
      </c>
      <c r="BO34" s="59">
        <f t="shared" si="88"/>
        <v>204.17500000000007</v>
      </c>
      <c r="BP34" s="59">
        <f t="shared" ref="BP34:BQ34" si="89">BP10</f>
        <v>453.34899999999999</v>
      </c>
      <c r="BQ34" s="59">
        <f t="shared" si="89"/>
        <v>361.05899999999986</v>
      </c>
      <c r="BR34" s="59">
        <f t="shared" ref="BR34:BS34" si="90">BR10</f>
        <v>265.86500000000007</v>
      </c>
      <c r="BS34" s="59">
        <f t="shared" si="90"/>
        <v>547.42999999999995</v>
      </c>
      <c r="BT34" s="59">
        <f t="shared" ref="BT34:BU34" si="91">BT10</f>
        <v>489.73500000000001</v>
      </c>
      <c r="BU34" s="59">
        <f t="shared" si="91"/>
        <v>297.76700000000005</v>
      </c>
      <c r="BV34" s="59">
        <f t="shared" ref="BV34:BW34" si="92">BV10</f>
        <v>512.69899999999996</v>
      </c>
      <c r="BW34" s="59">
        <f t="shared" si="92"/>
        <v>388.23200000000003</v>
      </c>
      <c r="BX34" s="59">
        <f t="shared" ref="BX34" si="93">BX10</f>
        <v>-1607</v>
      </c>
      <c r="BY34" s="1535">
        <f>BY10</f>
        <v>-1376.8369999999995</v>
      </c>
      <c r="CC34" s="316"/>
      <c r="CJ34" t="s">
        <v>99</v>
      </c>
      <c r="CL34" s="270">
        <f t="shared" ref="CL34:CT34" si="94">CL10</f>
        <v>252</v>
      </c>
      <c r="CM34" s="270">
        <f t="shared" si="94"/>
        <v>-14</v>
      </c>
      <c r="CN34" s="270">
        <f t="shared" si="94"/>
        <v>1709.5000000000002</v>
      </c>
      <c r="CO34" s="270">
        <f t="shared" si="94"/>
        <v>2892</v>
      </c>
      <c r="CP34" s="270">
        <f t="shared" si="94"/>
        <v>2830</v>
      </c>
      <c r="CQ34" s="270">
        <f t="shared" si="94"/>
        <v>2717</v>
      </c>
      <c r="CR34" s="270">
        <f t="shared" si="94"/>
        <v>1032</v>
      </c>
      <c r="CS34" s="270">
        <f t="shared" si="94"/>
        <v>-891</v>
      </c>
      <c r="CT34" s="270">
        <f t="shared" si="94"/>
        <v>-25</v>
      </c>
      <c r="CU34" s="270">
        <f t="shared" ref="CU34:DG34" si="95">CU10</f>
        <v>374</v>
      </c>
      <c r="CV34" s="270">
        <f t="shared" si="95"/>
        <v>361</v>
      </c>
      <c r="CW34" s="270">
        <f t="shared" si="95"/>
        <v>-3294</v>
      </c>
      <c r="CX34" s="270">
        <f t="shared" si="95"/>
        <v>711</v>
      </c>
      <c r="CY34" s="270">
        <f t="shared" si="95"/>
        <v>-1654.7730000000001</v>
      </c>
      <c r="CZ34" s="270">
        <f t="shared" si="95"/>
        <v>1287.8070000000002</v>
      </c>
      <c r="DA34" s="270">
        <f t="shared" si="95"/>
        <v>1121.1880000000001</v>
      </c>
      <c r="DB34" s="270">
        <f t="shared" si="95"/>
        <v>1284.4479999999999</v>
      </c>
      <c r="DC34" s="270">
        <f t="shared" si="95"/>
        <v>1847.6309999999999</v>
      </c>
      <c r="DD34" s="270">
        <f t="shared" si="95"/>
        <v>-2284.2333262787533</v>
      </c>
      <c r="DE34" s="270">
        <f t="shared" si="95"/>
        <v>736.32068869677698</v>
      </c>
      <c r="DF34" s="270">
        <f t="shared" si="95"/>
        <v>2202.5305303360401</v>
      </c>
      <c r="DG34" s="270">
        <f t="shared" si="95"/>
        <v>4360.0040675784803</v>
      </c>
      <c r="DH34" s="270">
        <f t="shared" ref="DH34:DI34" si="96">DH10</f>
        <v>5570.065627360118</v>
      </c>
      <c r="DI34" s="270">
        <f t="shared" si="96"/>
        <v>6701.2555973886965</v>
      </c>
    </row>
    <row r="35" spans="1:113">
      <c r="A35" s="96" t="s">
        <v>248</v>
      </c>
      <c r="B35" s="96"/>
      <c r="C35" s="116"/>
      <c r="D35" s="116"/>
      <c r="E35" s="116"/>
      <c r="F35" s="116"/>
      <c r="G35" s="116">
        <f t="shared" ref="G35:BK35" si="97">G11</f>
        <v>1827</v>
      </c>
      <c r="H35" s="116">
        <f t="shared" si="97"/>
        <v>3457</v>
      </c>
      <c r="I35" s="116">
        <f t="shared" si="97"/>
        <v>3393</v>
      </c>
      <c r="J35" s="116">
        <f t="shared" si="97"/>
        <v>2705</v>
      </c>
      <c r="K35" s="116">
        <f t="shared" si="97"/>
        <v>1767</v>
      </c>
      <c r="L35" s="116">
        <f t="shared" si="97"/>
        <v>1104</v>
      </c>
      <c r="M35" s="116">
        <f t="shared" si="97"/>
        <v>594</v>
      </c>
      <c r="N35" s="116">
        <f t="shared" si="97"/>
        <v>1817.6999999999998</v>
      </c>
      <c r="O35" s="116">
        <f t="shared" si="97"/>
        <v>734</v>
      </c>
      <c r="P35" s="116">
        <f t="shared" si="97"/>
        <v>1055</v>
      </c>
      <c r="Q35" s="116">
        <f t="shared" si="97"/>
        <v>1676</v>
      </c>
      <c r="R35" s="116">
        <f t="shared" si="97"/>
        <v>1383</v>
      </c>
      <c r="S35" s="116">
        <f t="shared" si="97"/>
        <v>1302</v>
      </c>
      <c r="T35" s="116">
        <f t="shared" si="97"/>
        <v>1284</v>
      </c>
      <c r="U35" s="116">
        <f t="shared" si="97"/>
        <v>1551</v>
      </c>
      <c r="V35" s="116">
        <f t="shared" si="97"/>
        <v>2385</v>
      </c>
      <c r="W35" s="116">
        <f t="shared" si="97"/>
        <v>2528</v>
      </c>
      <c r="X35" s="116">
        <f t="shared" si="97"/>
        <v>2744</v>
      </c>
      <c r="Y35" s="116">
        <f t="shared" si="97"/>
        <v>1909</v>
      </c>
      <c r="Z35" s="116">
        <f t="shared" si="97"/>
        <v>2995</v>
      </c>
      <c r="AA35" s="116">
        <f t="shared" si="97"/>
        <v>1791</v>
      </c>
      <c r="AB35" s="116">
        <f t="shared" si="97"/>
        <v>2257</v>
      </c>
      <c r="AC35" s="116">
        <f t="shared" si="97"/>
        <v>1793</v>
      </c>
      <c r="AD35" s="116">
        <f t="shared" si="97"/>
        <v>1553</v>
      </c>
      <c r="AE35" s="116">
        <f t="shared" si="97"/>
        <v>1747</v>
      </c>
      <c r="AF35" s="116">
        <f t="shared" si="97"/>
        <v>1855</v>
      </c>
      <c r="AG35" s="116">
        <f t="shared" si="97"/>
        <v>1692</v>
      </c>
      <c r="AH35" s="116">
        <f t="shared" si="97"/>
        <v>1801</v>
      </c>
      <c r="AI35" s="116">
        <f t="shared" si="97"/>
        <v>1211</v>
      </c>
      <c r="AJ35" s="116">
        <f t="shared" si="97"/>
        <v>1071</v>
      </c>
      <c r="AK35" s="116">
        <f t="shared" si="97"/>
        <v>682</v>
      </c>
      <c r="AL35" s="116">
        <f t="shared" si="97"/>
        <v>1182</v>
      </c>
      <c r="AM35" s="116">
        <f t="shared" si="97"/>
        <v>1048</v>
      </c>
      <c r="AN35" s="116">
        <f t="shared" si="97"/>
        <v>822</v>
      </c>
      <c r="AO35" s="116">
        <f t="shared" si="97"/>
        <v>2521</v>
      </c>
      <c r="AP35" s="116">
        <f t="shared" si="61"/>
        <v>1193</v>
      </c>
      <c r="AQ35" s="116">
        <f t="shared" si="61"/>
        <v>1306</v>
      </c>
      <c r="AR35" s="116">
        <f t="shared" si="61"/>
        <v>2397</v>
      </c>
      <c r="AS35" s="116">
        <f t="shared" si="61"/>
        <v>1556</v>
      </c>
      <c r="AT35" s="116">
        <f t="shared" si="61"/>
        <v>1438</v>
      </c>
      <c r="AU35" s="116">
        <f t="shared" si="97"/>
        <v>1559</v>
      </c>
      <c r="AV35" s="116">
        <f t="shared" si="97"/>
        <v>1712</v>
      </c>
      <c r="AW35" s="116">
        <f t="shared" si="97"/>
        <v>1669</v>
      </c>
      <c r="AX35" s="116">
        <f t="shared" si="97"/>
        <v>1852</v>
      </c>
      <c r="AY35" s="116">
        <f t="shared" ref="AY35:AZ35" si="98">AY11</f>
        <v>1511</v>
      </c>
      <c r="AZ35" s="116">
        <f t="shared" si="98"/>
        <v>2095</v>
      </c>
      <c r="BA35" s="116">
        <f t="shared" ref="BA35:BB35" si="99">BA11</f>
        <v>1909</v>
      </c>
      <c r="BB35" s="116">
        <f t="shared" si="99"/>
        <v>2481</v>
      </c>
      <c r="BC35" s="116">
        <f t="shared" ref="BC35:BD35" si="100">BC11</f>
        <v>1784</v>
      </c>
      <c r="BD35" s="116">
        <f t="shared" si="100"/>
        <v>1951</v>
      </c>
      <c r="BE35" s="116">
        <f t="shared" ref="BE35:BF35" si="101">BE11</f>
        <v>1334</v>
      </c>
      <c r="BF35" s="116">
        <f t="shared" si="101"/>
        <v>1086</v>
      </c>
      <c r="BG35" s="116">
        <f t="shared" ref="BG35" si="102">BG11</f>
        <v>1716</v>
      </c>
      <c r="BH35" s="116">
        <f t="shared" ref="BH35:BI35" si="103">BH11</f>
        <v>2857</v>
      </c>
      <c r="BI35" s="116">
        <f t="shared" si="103"/>
        <v>1783</v>
      </c>
      <c r="BJ35" s="116">
        <f t="shared" ref="BJ35" si="104">BJ11</f>
        <v>3565</v>
      </c>
      <c r="BK35" s="116">
        <f t="shared" si="97"/>
        <v>1234</v>
      </c>
      <c r="BL35" s="116">
        <f t="shared" ref="BL35:BM35" si="105">BL11</f>
        <v>1983.5380000000005</v>
      </c>
      <c r="BM35" s="116">
        <f t="shared" si="105"/>
        <v>3102.4619999999995</v>
      </c>
      <c r="BN35" s="116">
        <f t="shared" ref="BN35:BO35" si="106">BN11</f>
        <v>2743</v>
      </c>
      <c r="BO35" s="116">
        <f t="shared" si="106"/>
        <v>1413</v>
      </c>
      <c r="BP35" s="116">
        <f t="shared" ref="BP35:BQ35" si="107">BP11</f>
        <v>1743</v>
      </c>
      <c r="BQ35" s="116">
        <f t="shared" si="107"/>
        <v>2389</v>
      </c>
      <c r="BR35" s="116">
        <f t="shared" ref="BR35:BS35" si="108">BR11</f>
        <v>1613</v>
      </c>
      <c r="BS35" s="116">
        <f t="shared" si="108"/>
        <v>2057</v>
      </c>
      <c r="BT35" s="116">
        <f t="shared" ref="BT35:BU35" si="109">BT11</f>
        <v>2088</v>
      </c>
      <c r="BU35" s="116">
        <f t="shared" si="109"/>
        <v>1504</v>
      </c>
      <c r="BV35" s="116">
        <f t="shared" ref="BV35:BW35" si="110">BV11</f>
        <v>1733</v>
      </c>
      <c r="BW35" s="116">
        <f t="shared" si="110"/>
        <v>1241</v>
      </c>
      <c r="BX35" s="116">
        <f t="shared" ref="BX35" si="111">BX11</f>
        <v>1090</v>
      </c>
      <c r="BY35" s="1532">
        <f>BY11</f>
        <v>1929</v>
      </c>
      <c r="CC35" s="316"/>
      <c r="CJ35" t="s">
        <v>248</v>
      </c>
      <c r="CL35" s="270">
        <f t="shared" ref="CL35:CT35" si="112">CL11</f>
        <v>6868</v>
      </c>
      <c r="CM35" s="270">
        <f t="shared" si="112"/>
        <v>11382</v>
      </c>
      <c r="CN35" s="270">
        <f t="shared" si="112"/>
        <v>5282.7</v>
      </c>
      <c r="CO35" s="270">
        <f t="shared" si="112"/>
        <v>4848</v>
      </c>
      <c r="CP35" s="270">
        <f t="shared" si="112"/>
        <v>6522</v>
      </c>
      <c r="CQ35" s="270">
        <f t="shared" si="112"/>
        <v>10176</v>
      </c>
      <c r="CR35" s="270">
        <f t="shared" si="112"/>
        <v>7394</v>
      </c>
      <c r="CS35" s="270">
        <f t="shared" si="112"/>
        <v>7095</v>
      </c>
      <c r="CT35" s="270">
        <f t="shared" si="112"/>
        <v>4146</v>
      </c>
      <c r="CU35" s="270">
        <f t="shared" ref="CU35:DG35" si="113">CU11</f>
        <v>5584</v>
      </c>
      <c r="CV35" s="270">
        <f t="shared" si="113"/>
        <v>6697</v>
      </c>
      <c r="CW35" s="270">
        <f t="shared" si="113"/>
        <v>6792</v>
      </c>
      <c r="CX35" s="270">
        <f t="shared" si="113"/>
        <v>7996</v>
      </c>
      <c r="CY35" s="270">
        <f t="shared" si="113"/>
        <v>6155</v>
      </c>
      <c r="CZ35" s="270">
        <f t="shared" si="113"/>
        <v>9921</v>
      </c>
      <c r="DA35" s="270">
        <f t="shared" si="113"/>
        <v>9063</v>
      </c>
      <c r="DB35" s="270">
        <f t="shared" si="113"/>
        <v>7158</v>
      </c>
      <c r="DC35" s="270">
        <f t="shared" si="113"/>
        <v>7382</v>
      </c>
      <c r="DD35" s="270">
        <f t="shared" si="113"/>
        <v>20387.570799343855</v>
      </c>
      <c r="DE35" s="270">
        <f t="shared" si="113"/>
        <v>10401.935594551464</v>
      </c>
      <c r="DF35" s="270">
        <f t="shared" si="113"/>
        <v>10361.99235565762</v>
      </c>
      <c r="DG35" s="270">
        <f t="shared" si="113"/>
        <v>10813.115188025306</v>
      </c>
      <c r="DH35" s="270">
        <f t="shared" ref="DH35:DI35" si="114">DH11</f>
        <v>11283.256908849437</v>
      </c>
      <c r="DI35" s="270">
        <f t="shared" si="114"/>
        <v>12053.5329260614</v>
      </c>
    </row>
    <row r="36" spans="1:113">
      <c r="A36" s="96"/>
      <c r="B36" s="96"/>
      <c r="C36" s="116"/>
      <c r="D36" s="116"/>
      <c r="E36" s="116"/>
      <c r="F36" s="116"/>
      <c r="G36" s="59"/>
      <c r="H36" s="59"/>
      <c r="I36" s="59"/>
      <c r="J36" s="59"/>
      <c r="K36" s="59"/>
      <c r="L36" s="59"/>
      <c r="M36" s="59"/>
      <c r="N36" s="59"/>
      <c r="O36" s="59"/>
      <c r="P36" s="59"/>
      <c r="Q36" s="59"/>
      <c r="R36" s="59"/>
      <c r="S36" s="59"/>
      <c r="T36" s="59"/>
      <c r="U36" s="59"/>
      <c r="V36" s="59"/>
      <c r="W36" s="59"/>
      <c r="X36" s="59"/>
      <c r="Y36" s="59"/>
      <c r="Z36" s="59"/>
      <c r="AA36" s="59"/>
      <c r="AB36" s="59">
        <v>1000</v>
      </c>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1535"/>
      <c r="CC36" s="316"/>
      <c r="CL36" s="270"/>
      <c r="CM36" s="270"/>
      <c r="CN36" s="270"/>
      <c r="CO36" s="270"/>
      <c r="CP36" s="270"/>
      <c r="CQ36" s="270"/>
      <c r="CR36" s="270"/>
      <c r="CS36" s="270"/>
      <c r="CT36" s="270"/>
      <c r="CU36" s="270"/>
      <c r="CV36" s="270"/>
      <c r="CW36" s="270"/>
      <c r="CX36" s="270"/>
      <c r="CY36" s="270"/>
      <c r="CZ36" s="270"/>
      <c r="DA36" s="270"/>
      <c r="DB36" s="270"/>
      <c r="DC36" s="270"/>
      <c r="DD36" s="270"/>
      <c r="DE36" s="270"/>
      <c r="DF36" s="270"/>
      <c r="DG36" s="270"/>
      <c r="DH36" s="270"/>
      <c r="DI36" s="270"/>
    </row>
    <row r="37" spans="1:113">
      <c r="A37" s="93" t="s">
        <v>468</v>
      </c>
      <c r="B37" s="96"/>
      <c r="C37" s="116"/>
      <c r="D37" s="116"/>
      <c r="E37" s="116"/>
      <c r="F37" s="116"/>
      <c r="G37" s="116">
        <f>'Income Statement'!D102</f>
        <v>212.59420674993356</v>
      </c>
      <c r="H37" s="116">
        <f>'Income Statement'!E102</f>
        <v>442.3198779572366</v>
      </c>
      <c r="I37" s="116">
        <f>'Income Statement'!F102</f>
        <v>516.81223690242985</v>
      </c>
      <c r="J37" s="116">
        <f>'Income Statement'!G102</f>
        <v>444.84875643308612</v>
      </c>
      <c r="K37" s="116">
        <f>'Income Statement'!I102</f>
        <v>522.50597155653338</v>
      </c>
      <c r="L37" s="116">
        <f>'Income Statement'!J102</f>
        <v>567.61060447098703</v>
      </c>
      <c r="M37" s="116">
        <f>'Income Statement'!K102</f>
        <v>583.80858948353875</v>
      </c>
      <c r="N37" s="116">
        <f>'Income Statement'!L102</f>
        <v>559.20873483535524</v>
      </c>
      <c r="O37" s="116">
        <f>'Income Statement'!N102</f>
        <v>488.74445839874409</v>
      </c>
      <c r="P37" s="116">
        <f>'Income Statement'!O102</f>
        <v>354.79458072885956</v>
      </c>
      <c r="Q37" s="116">
        <f>'Income Statement'!P102</f>
        <v>322.78741930233821</v>
      </c>
      <c r="R37" s="116">
        <f>'Income Statement'!Q102</f>
        <v>386.13893536121674</v>
      </c>
      <c r="S37" s="116">
        <f>'Income Statement'!S102</f>
        <v>318.69191969887078</v>
      </c>
      <c r="T37" s="116">
        <f>'Income Statement'!T102</f>
        <v>322.24741687979542</v>
      </c>
      <c r="U37" s="116">
        <f>'Income Statement'!U102</f>
        <v>355.60600243013369</v>
      </c>
      <c r="V37" s="116">
        <f>'Income Statement'!V102</f>
        <v>488.48806236080179</v>
      </c>
      <c r="W37" s="116">
        <f>'Income Statement'!X102</f>
        <v>440.36915948275862</v>
      </c>
      <c r="X37" s="116">
        <f>'Income Statement'!Y102</f>
        <v>392.19542795232934</v>
      </c>
      <c r="Y37" s="116">
        <f>'Income Statement'!Z102</f>
        <v>365.0757142857143</v>
      </c>
      <c r="Z37" s="116">
        <f>'Income Statement'!AA102</f>
        <v>365.49010215664021</v>
      </c>
      <c r="AA37" s="116">
        <f>'Income Statement'!AC102</f>
        <v>371.61553213909377</v>
      </c>
      <c r="AB37" s="116">
        <f>'Income Statement'!AD102</f>
        <v>363.9847434656341</v>
      </c>
      <c r="AC37" s="116">
        <f>'Income Statement'!AE102</f>
        <v>322.3792000997426</v>
      </c>
      <c r="AD37" s="116">
        <f>'Income Statement'!AF102</f>
        <v>292.20249835634451</v>
      </c>
      <c r="AE37" s="116">
        <f>'Income Statement'!AH102</f>
        <v>251.67706976744185</v>
      </c>
      <c r="AF37" s="116">
        <f>'Income Statement'!AI102</f>
        <v>252.72264173923634</v>
      </c>
      <c r="AG37" s="116">
        <f>'Income Statement'!AJ102</f>
        <v>249.87916515306628</v>
      </c>
      <c r="AH37" s="116">
        <f>'Income Statement'!AK102</f>
        <v>247.19184428455063</v>
      </c>
      <c r="AI37" s="116">
        <f>'Income Statement'!AM102</f>
        <v>238.7323187108326</v>
      </c>
      <c r="AJ37" s="116">
        <f>'Income Statement'!AN102</f>
        <v>261.63516819571868</v>
      </c>
      <c r="AK37" s="116">
        <f>'Income Statement'!AO102</f>
        <v>211.04550857142857</v>
      </c>
      <c r="AL37" s="116">
        <f>'Income Statement'!AP102</f>
        <v>190.01805988023952</v>
      </c>
      <c r="AM37" s="116">
        <f>'Income Statement'!AR102</f>
        <v>149.89988165680472</v>
      </c>
      <c r="AN37" s="116"/>
      <c r="AO37" s="116"/>
      <c r="AP37" s="116"/>
      <c r="AQ37" s="116"/>
      <c r="AR37" s="116"/>
      <c r="AS37" s="116"/>
      <c r="AT37" s="116"/>
      <c r="AU37" s="116"/>
      <c r="AV37" s="116"/>
      <c r="AW37" s="116"/>
      <c r="AX37" s="116"/>
      <c r="AY37" s="116"/>
      <c r="AZ37" s="116"/>
      <c r="BA37" s="116"/>
      <c r="BB37" s="116"/>
      <c r="BC37" s="116">
        <f>'Income Statement'!BL102</f>
        <v>0</v>
      </c>
      <c r="BD37" s="116">
        <f>'Income Statement'!BM102</f>
        <v>0</v>
      </c>
      <c r="BE37" s="116">
        <f>'Income Statement'!BN102</f>
        <v>0</v>
      </c>
      <c r="BF37" s="116">
        <f>'Income Statement'!BO102</f>
        <v>0</v>
      </c>
      <c r="BG37" s="116">
        <f>'Income Statement'!BQ102</f>
        <v>0</v>
      </c>
      <c r="BH37" s="116">
        <f>'Income Statement'!BR102</f>
        <v>0</v>
      </c>
      <c r="BI37" s="116">
        <f>'Income Statement'!BS102</f>
        <v>0</v>
      </c>
      <c r="BJ37" s="116">
        <f>'Income Statement'!BT102</f>
        <v>0</v>
      </c>
      <c r="BK37" s="116">
        <f>'Income Statement'!BV102</f>
        <v>0</v>
      </c>
      <c r="BL37" s="116">
        <f>'Income Statement'!BW102</f>
        <v>0</v>
      </c>
      <c r="BM37" s="116">
        <f>'Income Statement'!BX102</f>
        <v>0</v>
      </c>
      <c r="BN37" s="116">
        <f>'Income Statement'!BY102</f>
        <v>0</v>
      </c>
      <c r="BO37" s="116">
        <f>'Income Statement'!CA102</f>
        <v>0</v>
      </c>
      <c r="BP37" s="116">
        <f>'Income Statement'!CB102</f>
        <v>0</v>
      </c>
      <c r="BQ37" s="116">
        <f>'Income Statement'!CC102</f>
        <v>0</v>
      </c>
      <c r="BR37" s="116">
        <f>'Income Statement'!CD102</f>
        <v>0</v>
      </c>
      <c r="BS37" s="116">
        <f>'Income Statement'!CF102</f>
        <v>0</v>
      </c>
      <c r="BT37" s="116">
        <f>'Income Statement'!CG102</f>
        <v>0</v>
      </c>
      <c r="BU37" s="116">
        <f>'Income Statement'!CH102</f>
        <v>0</v>
      </c>
      <c r="BV37" s="116">
        <f>'Income Statement'!CI102</f>
        <v>0</v>
      </c>
      <c r="BW37" s="116">
        <f>'Income Statement'!CK102</f>
        <v>0</v>
      </c>
      <c r="BX37" s="116">
        <f>'Income Statement'!CL102</f>
        <v>0</v>
      </c>
      <c r="BY37" s="1532">
        <f>'Income Statement'!CM102</f>
        <v>0</v>
      </c>
      <c r="CC37" s="316"/>
      <c r="CJ37" t="s">
        <v>468</v>
      </c>
      <c r="CL37" s="270"/>
      <c r="CM37" s="270"/>
      <c r="CN37" s="270"/>
      <c r="CO37" s="270"/>
      <c r="CP37" s="270"/>
      <c r="CQ37" s="270"/>
      <c r="CR37" s="270"/>
      <c r="CS37" s="270"/>
      <c r="CT37" s="270"/>
      <c r="CU37" s="270"/>
      <c r="CV37" s="270"/>
      <c r="CW37" s="270"/>
      <c r="CX37" s="270"/>
      <c r="CY37" s="270"/>
      <c r="CZ37" s="270"/>
      <c r="DA37" s="270"/>
      <c r="DB37" s="270"/>
      <c r="DC37" s="270"/>
      <c r="DD37" s="270"/>
      <c r="DE37" s="270"/>
      <c r="DF37" s="270"/>
      <c r="DG37" s="270"/>
      <c r="DH37" s="270"/>
      <c r="DI37" s="270"/>
    </row>
    <row r="38" spans="1:113">
      <c r="A38" s="125" t="s">
        <v>40</v>
      </c>
      <c r="B38" s="125"/>
      <c r="C38" s="126"/>
      <c r="D38" s="126"/>
      <c r="E38" s="126"/>
      <c r="F38" s="126"/>
      <c r="G38" s="126">
        <f>'Income Statement'!D136</f>
        <v>51633.298432102049</v>
      </c>
      <c r="H38" s="126">
        <f>'Income Statement'!E136</f>
        <v>51077.105455602104</v>
      </c>
      <c r="I38" s="126">
        <f>'Income Statement'!F136</f>
        <v>46096.73213020464</v>
      </c>
      <c r="J38" s="126">
        <f>'Income Statement'!G136</f>
        <v>38562.602900025442</v>
      </c>
      <c r="K38" s="126">
        <f>'Income Statement'!I136</f>
        <v>38003.15730337079</v>
      </c>
      <c r="L38" s="126">
        <f>'Income Statement'!J136</f>
        <v>44508.066217415864</v>
      </c>
      <c r="M38" s="126">
        <f>'Income Statement'!K136</f>
        <v>47277.219066937119</v>
      </c>
      <c r="N38" s="126">
        <f>'Income Statement'!L136</f>
        <v>46597.295979202776</v>
      </c>
      <c r="O38" s="126">
        <f>'Income Statement'!N136</f>
        <v>35000</v>
      </c>
      <c r="P38" s="126">
        <f>'Income Statement'!O136</f>
        <v>33000</v>
      </c>
      <c r="Q38" s="126">
        <f>'Income Statement'!P136</f>
        <v>34000</v>
      </c>
      <c r="R38" s="126">
        <f>'Income Statement'!Q136</f>
        <v>34000</v>
      </c>
      <c r="S38" s="126">
        <f>'Income Statement'!S136</f>
        <v>32000</v>
      </c>
      <c r="T38" s="126">
        <f>'Income Statement'!T136</f>
        <v>32000</v>
      </c>
      <c r="U38" s="126">
        <f>'Income Statement'!U136</f>
        <v>32000</v>
      </c>
      <c r="V38" s="126">
        <f>'Income Statement'!V136</f>
        <v>32000</v>
      </c>
      <c r="W38" s="126">
        <f>'Income Statement'!X136</f>
        <v>29000</v>
      </c>
      <c r="X38" s="126">
        <f>'Income Statement'!Y136</f>
        <v>31000</v>
      </c>
      <c r="Y38" s="126">
        <f>'Income Statement'!Z136</f>
        <v>32000</v>
      </c>
      <c r="Z38" s="126">
        <f>'Income Statement'!AA136</f>
        <v>32000</v>
      </c>
      <c r="AA38" s="126">
        <f>'Income Statement'!AC136</f>
        <v>27000</v>
      </c>
      <c r="AB38" s="126">
        <f>'Income Statement'!AD136</f>
        <v>27000</v>
      </c>
      <c r="AC38" s="126">
        <f>'Income Statement'!AE136</f>
        <v>27000</v>
      </c>
      <c r="AD38" s="126">
        <f>'Income Statement'!AF136</f>
        <v>27000</v>
      </c>
      <c r="AE38" s="126">
        <f>'Income Statement'!AH136</f>
        <v>23000</v>
      </c>
      <c r="AF38" s="126">
        <f>'Income Statement'!AI136</f>
        <v>25000</v>
      </c>
      <c r="AG38" s="126">
        <f>'Income Statement'!AJ136</f>
        <v>27000</v>
      </c>
      <c r="AH38" s="126">
        <f>'Income Statement'!AK136</f>
        <v>21000</v>
      </c>
      <c r="AI38" s="126">
        <f>'Income Statement'!AM136</f>
        <v>28000</v>
      </c>
      <c r="AJ38" s="126">
        <f>'Income Statement'!AN136</f>
        <v>32000</v>
      </c>
      <c r="AK38" s="126">
        <f>'Income Statement'!AO136</f>
        <v>36000</v>
      </c>
      <c r="AL38" s="126">
        <f>'Income Statement'!AP136</f>
        <v>40000</v>
      </c>
      <c r="AM38" s="126">
        <f>'Income Statement'!AR136</f>
        <v>39000</v>
      </c>
      <c r="AN38" s="126">
        <f>'Income Statement'!AS136</f>
        <v>35000</v>
      </c>
      <c r="AO38" s="126">
        <f>'Income Statement'!AT136</f>
        <v>34000</v>
      </c>
      <c r="AP38" s="126">
        <f>'Income Statement'!AU136</f>
        <v>32000</v>
      </c>
      <c r="AQ38" s="126">
        <f>'Income Statement'!AW136</f>
        <v>33000</v>
      </c>
      <c r="AR38" s="126">
        <f>'Income Statement'!AX136</f>
        <v>35000</v>
      </c>
      <c r="AS38" s="126">
        <f>'Income Statement'!AY136</f>
        <v>34000</v>
      </c>
      <c r="AT38" s="126">
        <f>'Income Statement'!AZ136</f>
        <v>34000</v>
      </c>
      <c r="AU38" s="126">
        <f>'Income Statement'!BB136</f>
        <v>30000</v>
      </c>
      <c r="AV38" s="126">
        <f>'Income Statement'!BC136</f>
        <v>31000</v>
      </c>
      <c r="AW38" s="126">
        <f>'Income Statement'!BD136</f>
        <v>32000</v>
      </c>
      <c r="AX38" s="126">
        <f>'Income Statement'!BE136</f>
        <v>33000</v>
      </c>
      <c r="AY38" s="126">
        <f>'Income Statement'!BG136</f>
        <v>33000</v>
      </c>
      <c r="AZ38" s="126">
        <f>'Income Statement'!BH136</f>
        <v>34000</v>
      </c>
      <c r="BA38" s="126">
        <f>'Income Statement'!BI136</f>
        <v>35000</v>
      </c>
      <c r="BB38" s="126">
        <f>'Income Statement'!BJ136</f>
        <v>36000</v>
      </c>
      <c r="BC38" s="126">
        <f>'Income Statement'!BL136</f>
        <v>36000</v>
      </c>
      <c r="BD38" s="126">
        <f>'Income Statement'!BM136</f>
        <v>37000</v>
      </c>
      <c r="BE38" s="126">
        <f>'Income Statement'!BN136</f>
        <v>36000</v>
      </c>
      <c r="BF38" s="126">
        <f>'Income Statement'!BO136</f>
        <v>34000</v>
      </c>
      <c r="BG38" s="126">
        <f>'Income Statement'!BQ136</f>
        <v>35000</v>
      </c>
      <c r="BH38" s="126">
        <f>'Income Statement'!BR136</f>
        <v>37000</v>
      </c>
      <c r="BI38" s="126">
        <f>'Income Statement'!BS136</f>
        <v>37000</v>
      </c>
      <c r="BJ38" s="126">
        <f>'Income Statement'!BT136</f>
        <v>37000</v>
      </c>
      <c r="BK38" s="126">
        <f>'Income Statement'!BV136</f>
        <v>36000</v>
      </c>
      <c r="BL38" s="126">
        <f>'Income Statement'!BW136</f>
        <v>39000</v>
      </c>
      <c r="BM38" s="126">
        <f>'Income Statement'!BX136</f>
        <v>40000</v>
      </c>
      <c r="BN38" s="126">
        <f>'Income Statement'!BY136</f>
        <v>40000</v>
      </c>
      <c r="BO38" s="126">
        <f>'Income Statement'!CA136</f>
        <v>40000</v>
      </c>
      <c r="BP38" s="126">
        <f>'Income Statement'!CB136</f>
        <v>42000</v>
      </c>
      <c r="BQ38" s="126">
        <f>'Income Statement'!CC136</f>
        <v>42000</v>
      </c>
      <c r="BR38" s="126">
        <f>'Income Statement'!CD136</f>
        <v>43000</v>
      </c>
      <c r="BS38" s="126">
        <f>'Income Statement'!CF136</f>
        <v>44000</v>
      </c>
      <c r="BT38" s="126">
        <f>'Income Statement'!CG136</f>
        <v>44000</v>
      </c>
      <c r="BU38" s="126">
        <f>'Income Statement'!CH136</f>
        <v>41000</v>
      </c>
      <c r="BV38" s="126">
        <f>'Income Statement'!CI136</f>
        <v>41000</v>
      </c>
      <c r="BW38" s="126">
        <f>'Income Statement'!CK136</f>
        <v>40000</v>
      </c>
      <c r="BX38" s="126">
        <f>'Income Statement'!CL136</f>
        <v>36000</v>
      </c>
      <c r="BY38" s="1536">
        <f>'Income Statement'!CM136</f>
        <v>38900</v>
      </c>
      <c r="CC38" s="316"/>
      <c r="CJ38" t="s">
        <v>40</v>
      </c>
      <c r="CL38" s="270">
        <f>'Income Statement'!C136</f>
        <v>53273.05943379872</v>
      </c>
      <c r="CM38" s="270">
        <f>'Income Statement'!H136</f>
        <v>48455.264955204686</v>
      </c>
      <c r="CN38" s="270">
        <f>'Income Statement'!M136</f>
        <v>36000</v>
      </c>
      <c r="CO38" s="270">
        <f>'Income Statement'!R136</f>
        <v>34000</v>
      </c>
      <c r="CP38" s="270">
        <f>'Income Statement'!W136</f>
        <v>32000</v>
      </c>
      <c r="CQ38" s="270">
        <f>'Income Statement'!AB136</f>
        <v>31000</v>
      </c>
      <c r="CR38" s="270">
        <f>'Income Statement'!AG136</f>
        <v>27000</v>
      </c>
      <c r="CS38" s="270">
        <f>'Income Statement'!AL136</f>
        <v>24000</v>
      </c>
      <c r="CT38" s="270">
        <f>'Income Statement'!AQ136</f>
        <v>34000</v>
      </c>
      <c r="CU38" s="270">
        <f>'Income Statement'!AV136</f>
        <v>35000</v>
      </c>
      <c r="CV38" s="270">
        <f>'Income Statement'!BA136</f>
        <v>34000</v>
      </c>
      <c r="CW38" s="270">
        <f>'Income Statement'!BF136</f>
        <v>31500</v>
      </c>
      <c r="CX38" s="270">
        <f>'Income Statement'!BK136</f>
        <v>34500</v>
      </c>
      <c r="CY38" s="270">
        <f>'Income Statement'!BP136</f>
        <v>35750</v>
      </c>
      <c r="CZ38" s="270">
        <f>'Income Statement'!BU136</f>
        <v>36500</v>
      </c>
      <c r="DA38" s="270">
        <f>'Income Statement'!BZ136</f>
        <v>38750</v>
      </c>
      <c r="DB38" s="270">
        <f>'Income Statement'!CE136</f>
        <v>41750</v>
      </c>
      <c r="DC38" s="270">
        <f>'Income Statement'!CJ136</f>
        <v>42500</v>
      </c>
      <c r="DD38" s="270">
        <f>'Income Statement'!CO136</f>
        <v>35590.859765589783</v>
      </c>
      <c r="DE38" s="270">
        <f>'Income Statement'!CP136</f>
        <v>39374.791688700709</v>
      </c>
      <c r="DF38" s="270">
        <f>'Income Statement'!CQ136</f>
        <v>40551.975897513599</v>
      </c>
      <c r="DG38" s="270">
        <f>'Income Statement'!CR136</f>
        <v>41761.340435812359</v>
      </c>
      <c r="DH38" s="270">
        <f>'Income Statement'!CS136</f>
        <v>43003.794818341128</v>
      </c>
      <c r="DI38" s="270">
        <f>'Income Statement'!CT136</f>
        <v>44280.274625380138</v>
      </c>
    </row>
    <row r="39" spans="1:113">
      <c r="A39" s="96" t="s">
        <v>469</v>
      </c>
      <c r="B39" s="96"/>
      <c r="C39" s="116"/>
      <c r="D39" s="116"/>
      <c r="E39" s="116"/>
      <c r="F39" s="116"/>
      <c r="G39" s="116">
        <f>'Income Statement'!D104</f>
        <v>3946.9290000000001</v>
      </c>
      <c r="H39" s="116">
        <f>'Income Statement'!E104</f>
        <v>4174.6350000000002</v>
      </c>
      <c r="I39" s="116">
        <f>'Income Statement'!F104</f>
        <v>4455.3599999999997</v>
      </c>
      <c r="J39" s="116">
        <f>'Income Statement'!G104</f>
        <v>4575.45</v>
      </c>
      <c r="K39" s="116">
        <f>'Income Statement'!I104</f>
        <v>4521.0060000000003</v>
      </c>
      <c r="L39" s="116">
        <f>'Income Statement'!J104</f>
        <v>4531.2749999999996</v>
      </c>
      <c r="M39" s="116">
        <f>'Income Statement'!K104</f>
        <v>5001.0659999999998</v>
      </c>
      <c r="N39" s="116">
        <f>'Income Statement'!L104</f>
        <v>5168.6459999999997</v>
      </c>
      <c r="O39" s="116">
        <f>'Income Statement'!N104</f>
        <v>5318.61</v>
      </c>
      <c r="P39" s="116">
        <f>'Income Statement'!O104</f>
        <v>5761.44</v>
      </c>
      <c r="Q39" s="116">
        <f>'Income Statement'!P104</f>
        <v>6033.5190000000002</v>
      </c>
      <c r="R39" s="116">
        <f>'Income Statement'!Q104</f>
        <v>6507.09</v>
      </c>
      <c r="S39" s="116">
        <f>'Income Statement'!S104</f>
        <v>7219.2150000000001</v>
      </c>
      <c r="T39" s="116">
        <f>'Income Statement'!T104</f>
        <v>7516.3950000000004</v>
      </c>
      <c r="U39" s="116">
        <f>'Income Statement'!U104</f>
        <v>7742.4165000000003</v>
      </c>
      <c r="V39" s="116">
        <f>'Income Statement'!V104</f>
        <v>8029.7070000000003</v>
      </c>
      <c r="W39" s="116">
        <f>'Income Statement'!X104</f>
        <v>7957.8988334081068</v>
      </c>
      <c r="X39" s="116">
        <f>'Income Statement'!Y104</f>
        <v>8166.8249999999998</v>
      </c>
      <c r="Y39" s="116">
        <f>'Income Statement'!Z104</f>
        <v>8161.8675000000003</v>
      </c>
      <c r="Z39" s="116">
        <f>'Income Statement'!AA104</f>
        <v>8329.5990000000002</v>
      </c>
      <c r="AA39" s="116">
        <f>'Income Statement'!AC104</f>
        <v>8356.8330000000005</v>
      </c>
      <c r="AB39" s="116">
        <f>'Income Statement'!AD104</f>
        <v>8378.4599999999991</v>
      </c>
      <c r="AC39" s="116">
        <f>'Income Statement'!AE104</f>
        <v>8336.25</v>
      </c>
      <c r="AD39" s="116">
        <f>'Income Statement'!AF104</f>
        <v>8379.6479999999992</v>
      </c>
      <c r="AE39" s="116">
        <f>'Income Statement'!AH104</f>
        <v>8172.18</v>
      </c>
      <c r="AF39" s="116">
        <f>'Income Statement'!AI104</f>
        <v>8203.1820000000007</v>
      </c>
      <c r="AG39" s="116">
        <f>'Income Statement'!AJ104</f>
        <v>8409.7440000000006</v>
      </c>
      <c r="AH39" s="116">
        <f>'Income Statement'!AK104</f>
        <v>8468.9519999999993</v>
      </c>
      <c r="AI39" s="116">
        <f>'Income Statement'!AM104</f>
        <v>8146.98</v>
      </c>
      <c r="AJ39" s="116">
        <f>'Income Statement'!AN104</f>
        <v>8462.16</v>
      </c>
      <c r="AK39" s="116">
        <f>'Income Statement'!AO104</f>
        <v>7963.11</v>
      </c>
      <c r="AL39" s="116">
        <f>'Income Statement'!AP104</f>
        <v>7889.7</v>
      </c>
      <c r="AM39" s="116">
        <f>'Income Statement'!AR104</f>
        <v>7962.0555000000004</v>
      </c>
      <c r="AN39" s="116"/>
      <c r="AO39" s="116"/>
      <c r="AP39" s="116"/>
      <c r="AQ39" s="116"/>
      <c r="AR39" s="116"/>
      <c r="AS39" s="116"/>
      <c r="AT39" s="116"/>
      <c r="AU39" s="116"/>
      <c r="AV39" s="116"/>
      <c r="AW39" s="116"/>
      <c r="AX39" s="116"/>
      <c r="AY39" s="116"/>
      <c r="AZ39" s="116"/>
      <c r="BA39" s="116"/>
      <c r="BB39" s="116"/>
      <c r="BC39" s="116">
        <f>'Income Statement'!BL104</f>
        <v>0</v>
      </c>
      <c r="BD39" s="116">
        <f>'Income Statement'!BM104</f>
        <v>0</v>
      </c>
      <c r="BE39" s="116">
        <f>'Income Statement'!BN104</f>
        <v>0</v>
      </c>
      <c r="BF39" s="116">
        <f>'Income Statement'!BO104</f>
        <v>0</v>
      </c>
      <c r="BG39" s="116">
        <f>'Income Statement'!BQ104</f>
        <v>0</v>
      </c>
      <c r="BH39" s="116">
        <f>'Income Statement'!BR104</f>
        <v>0</v>
      </c>
      <c r="BI39" s="116">
        <f>'Income Statement'!BS104</f>
        <v>0</v>
      </c>
      <c r="BJ39" s="116">
        <f>'Income Statement'!BT104</f>
        <v>0</v>
      </c>
      <c r="BK39" s="116">
        <f>'Income Statement'!BV104</f>
        <v>0</v>
      </c>
      <c r="BL39" s="116">
        <f>'Income Statement'!BW104</f>
        <v>0</v>
      </c>
      <c r="BM39" s="116">
        <f>'Income Statement'!BX104</f>
        <v>0</v>
      </c>
      <c r="BN39" s="116">
        <f>'Income Statement'!BY104</f>
        <v>0</v>
      </c>
      <c r="BO39" s="116">
        <f>'Income Statement'!CA104</f>
        <v>0</v>
      </c>
      <c r="BP39" s="116">
        <f>'Income Statement'!CB104</f>
        <v>0</v>
      </c>
      <c r="BQ39" s="116">
        <f>'Income Statement'!CC104</f>
        <v>0</v>
      </c>
      <c r="BR39" s="116">
        <f>'Income Statement'!CD104</f>
        <v>0</v>
      </c>
      <c r="BS39" s="116">
        <f>'Income Statement'!CF104</f>
        <v>0</v>
      </c>
      <c r="BT39" s="116">
        <f>'Income Statement'!CG104</f>
        <v>0</v>
      </c>
      <c r="BU39" s="116">
        <f>'Income Statement'!CH104</f>
        <v>0</v>
      </c>
      <c r="BV39" s="116">
        <f>'Income Statement'!CI104</f>
        <v>0</v>
      </c>
      <c r="BW39" s="116">
        <f>'Income Statement'!CK104</f>
        <v>0</v>
      </c>
      <c r="BX39" s="116">
        <f>'Income Statement'!CL104</f>
        <v>0</v>
      </c>
      <c r="BY39" s="1532">
        <f>'Income Statement'!CM104</f>
        <v>0</v>
      </c>
      <c r="CC39" s="316"/>
      <c r="CJ39" t="s">
        <v>469</v>
      </c>
      <c r="CL39" s="270">
        <f>'Income Statement'!C104</f>
        <v>13590.4995</v>
      </c>
      <c r="CM39" s="270">
        <f>'Income Statement'!H104</f>
        <v>17276.557499999999</v>
      </c>
      <c r="CN39" s="270">
        <f>'Income Statement'!M104</f>
        <v>19467.894</v>
      </c>
      <c r="CO39" s="270">
        <f>'Income Statement'!R104</f>
        <v>23936.22</v>
      </c>
      <c r="CP39" s="270">
        <f>'Income Statement'!W104</f>
        <v>30433.484922526299</v>
      </c>
      <c r="CQ39" s="270">
        <f>'Income Statement'!AB104</f>
        <v>32493.069738568483</v>
      </c>
      <c r="CR39" s="270">
        <f>'Income Statement'!AG104</f>
        <v>33845.175000000003</v>
      </c>
      <c r="CS39" s="270">
        <f>'Income Statement'!AL104</f>
        <v>33539.94</v>
      </c>
      <c r="CT39" s="270">
        <f>'Income Statement'!AQ104</f>
        <v>32940.706837500002</v>
      </c>
      <c r="CU39" s="270">
        <f>'Income Statement'!AV104</f>
        <v>75388.932737246287</v>
      </c>
      <c r="CV39" s="270">
        <f>'Income Statement'!BA104</f>
        <v>68148.187785081391</v>
      </c>
      <c r="CW39" s="270">
        <f>'Income Statement'!BF104</f>
        <v>63530.466580764281</v>
      </c>
      <c r="CX39" s="270">
        <f>'Income Statement'!BK104</f>
        <v>61481.550426093127</v>
      </c>
      <c r="CY39" s="270">
        <f>'Income Statement'!BP104</f>
        <v>59341.044906150986</v>
      </c>
      <c r="CZ39" s="270">
        <f>'Income Statement'!BU104</f>
        <v>56369.590890342501</v>
      </c>
      <c r="DA39" s="270">
        <f>'Income Statement'!BZ104</f>
        <v>52808.960410839041</v>
      </c>
      <c r="DB39" s="270">
        <f>'Income Statement'!CE104</f>
        <v>49464.07261425961</v>
      </c>
      <c r="DC39" s="270">
        <f>'Income Statement'!CJ104</f>
        <v>47321.977184402778</v>
      </c>
      <c r="DD39" s="270">
        <f>'Income Statement'!CO104</f>
        <v>64018.63064232398</v>
      </c>
      <c r="DE39" s="270">
        <f>'Income Statement'!CP104</f>
        <v>61725.338270839813</v>
      </c>
      <c r="DF39" s="270">
        <f>'Income Statement'!CQ104</f>
        <v>60153.085423802935</v>
      </c>
      <c r="DG39" s="270">
        <f>'Income Statement'!CR104</f>
        <v>58859.976902713162</v>
      </c>
      <c r="DH39" s="270">
        <f>'Income Statement'!CS104</f>
        <v>57805.118316507454</v>
      </c>
      <c r="DI39" s="270">
        <f>'Income Statement'!CT104</f>
        <v>56955.071246095307</v>
      </c>
    </row>
    <row r="40" spans="1:113">
      <c r="A40" s="96" t="s">
        <v>685</v>
      </c>
      <c r="B40" s="96"/>
      <c r="C40" s="116"/>
      <c r="D40" s="116"/>
      <c r="E40" s="116"/>
      <c r="F40" s="116"/>
      <c r="G40" s="59"/>
      <c r="H40" s="59"/>
      <c r="I40" s="59"/>
      <c r="J40" s="59"/>
      <c r="K40" s="59"/>
      <c r="L40" s="59"/>
      <c r="M40" s="59"/>
      <c r="N40" s="59"/>
      <c r="O40" s="59"/>
      <c r="P40" s="59"/>
      <c r="Q40" s="59"/>
      <c r="R40" s="59"/>
      <c r="S40" s="59"/>
      <c r="T40" s="59"/>
      <c r="U40" s="59"/>
      <c r="V40" s="59"/>
      <c r="W40" s="59"/>
      <c r="X40" s="59"/>
      <c r="Y40" s="59"/>
      <c r="Z40" s="59"/>
      <c r="AA40" s="59"/>
      <c r="AB40" s="59">
        <f>('Income Statement'!AD158*1000)</f>
        <v>11919.000000000002</v>
      </c>
      <c r="AC40" s="59">
        <f>('Income Statement'!AE158*1000)</f>
        <v>15799.999999999995</v>
      </c>
      <c r="AD40" s="59">
        <f>('Income Statement'!AF158*1000)</f>
        <v>17400</v>
      </c>
      <c r="AE40" s="59">
        <f>('Income Statement'!AH158*1000)</f>
        <v>22570</v>
      </c>
      <c r="AF40" s="59">
        <f>('Income Statement'!AI158*1000)</f>
        <v>29229.999999999996</v>
      </c>
      <c r="AG40" s="59">
        <f>('Income Statement'!AJ158*1000)</f>
        <v>32700.000000000004</v>
      </c>
      <c r="AH40" s="59">
        <f>('Income Statement'!AK158*1000)</f>
        <v>36400.000000000007</v>
      </c>
      <c r="AI40" s="59">
        <f>('Income Statement'!AM158*1000)</f>
        <v>42400</v>
      </c>
      <c r="AJ40" s="59">
        <f>('Income Statement'!AN158*1000)</f>
        <v>45362</v>
      </c>
      <c r="AK40" s="59">
        <f>('Income Statement'!AO158*1000)</f>
        <v>43882.000000000015</v>
      </c>
      <c r="AL40" s="59">
        <f>('Income Statement'!AP158*1000)</f>
        <v>54656.000000000015</v>
      </c>
      <c r="AM40" s="59">
        <f>('Income Statement'!AR158*1000)</f>
        <v>84367</v>
      </c>
      <c r="AN40" s="59">
        <f>('Income Statement'!AS158*1000)</f>
        <v>112893.99999999999</v>
      </c>
      <c r="AO40" s="59">
        <f>('Income Statement'!AT158*1000)</f>
        <v>129839</v>
      </c>
      <c r="AP40" s="59">
        <f>('Income Statement'!AU158*1000)</f>
        <v>176099.99999999997</v>
      </c>
      <c r="AQ40" s="59">
        <f>('Income Statement'!AW158*1000)</f>
        <v>231200</v>
      </c>
      <c r="AR40" s="59">
        <f>('Income Statement'!AX158*1000)</f>
        <v>299700</v>
      </c>
      <c r="AS40" s="59">
        <f>('Income Statement'!AY158*1000)</f>
        <v>330899.99999999994</v>
      </c>
      <c r="AT40" s="59">
        <f>('Income Statement'!AZ158*1000)</f>
        <v>387700.00000000012</v>
      </c>
      <c r="AU40" s="59">
        <f>('Income Statement'!BB158*1000)</f>
        <v>417500</v>
      </c>
      <c r="AV40" s="59">
        <f>('Income Statement'!BC158*1000)</f>
        <v>518000</v>
      </c>
      <c r="AW40" s="59">
        <f>('Income Statement'!BD158*1000)</f>
        <v>596500</v>
      </c>
      <c r="AX40" s="59">
        <f>('Income Statement'!BE158*1000)</f>
        <v>668700</v>
      </c>
      <c r="AY40" s="59">
        <f>('Income Statement'!BG158*1000)</f>
        <v>710400</v>
      </c>
      <c r="AZ40" s="59">
        <f>('Income Statement'!BH158*1000)</f>
        <v>820800.00000000012</v>
      </c>
      <c r="BA40" s="59">
        <f>('Income Statement'!BI158*1000)</f>
        <v>854899.99999999977</v>
      </c>
      <c r="BB40" s="59">
        <f>('Income Statement'!BJ158*1000)</f>
        <v>934300</v>
      </c>
      <c r="BC40" s="59">
        <f>('Income Statement'!BL158*1000)</f>
        <v>1000000</v>
      </c>
      <c r="BD40" s="59">
        <f>('Income Statement'!BM158*1000)</f>
        <v>1221000</v>
      </c>
      <c r="BE40" s="59">
        <f>('Income Statement'!BN158*1000)</f>
        <v>1275000</v>
      </c>
      <c r="BF40" s="59">
        <f>('Income Statement'!BO158*1000)</f>
        <v>1376000</v>
      </c>
      <c r="BG40" s="59">
        <f>('Income Statement'!BQ158*1000)</f>
        <v>1391000</v>
      </c>
      <c r="BH40" s="59">
        <f>('Income Statement'!BR158*1000)</f>
        <v>1572000</v>
      </c>
      <c r="BI40" s="59">
        <f>('Income Statement'!BS158*1000)</f>
        <v>1722000</v>
      </c>
      <c r="BJ40" s="59">
        <f>('Income Statement'!BT158*1000)</f>
        <v>1865000</v>
      </c>
      <c r="BK40" s="59">
        <f>('Income Statement'!BV158*1000)</f>
        <v>1857000</v>
      </c>
      <c r="BL40" s="59">
        <f>('Income Statement'!BW158*1000)</f>
        <v>1983000</v>
      </c>
      <c r="BM40" s="59">
        <f>('Income Statement'!BX158*1000)</f>
        <v>2046000</v>
      </c>
      <c r="BN40" s="59">
        <f>('Income Statement'!BY158*1000)</f>
        <v>2106000</v>
      </c>
      <c r="BO40" s="59">
        <f>('Income Statement'!CA158*1000)</f>
        <v>2204000</v>
      </c>
      <c r="BP40" s="59">
        <f>('Income Statement'!CB158*1000)</f>
        <v>2452000</v>
      </c>
      <c r="BQ40" s="59">
        <f>('Income Statement'!CC158*1000)</f>
        <v>2453000</v>
      </c>
      <c r="BR40" s="59">
        <f>('Income Statement'!CD158*1000)</f>
        <v>2529000</v>
      </c>
      <c r="BS40" s="59">
        <f>('Income Statement'!CF158*1000)</f>
        <v>2609000</v>
      </c>
      <c r="BT40" s="59">
        <f>('Income Statement'!CG158*1000)</f>
        <v>2660000</v>
      </c>
      <c r="BU40" s="59">
        <f>('Income Statement'!CH158*1000)</f>
        <v>2554000</v>
      </c>
      <c r="BV40" s="59">
        <f>('Income Statement'!CI158*1000)</f>
        <v>2724000</v>
      </c>
      <c r="BW40" s="59">
        <f>('Income Statement'!CK158*1000)</f>
        <v>2848000</v>
      </c>
      <c r="BX40" s="59">
        <f>('Income Statement'!CL158*1000)</f>
        <v>3817000</v>
      </c>
      <c r="BY40" s="1535">
        <f>('Income Statement'!CM158*1000)</f>
        <v>3903000</v>
      </c>
      <c r="CC40" s="316"/>
      <c r="CJ40" s="302" t="s">
        <v>685</v>
      </c>
      <c r="CL40" s="270">
        <f>('Income Statement'!C158)*1000</f>
        <v>0</v>
      </c>
      <c r="CM40" s="270">
        <f>('Income Statement'!H158)*1000</f>
        <v>0</v>
      </c>
      <c r="CN40" s="270">
        <f>('Income Statement'!M158)*1000</f>
        <v>413</v>
      </c>
      <c r="CO40" s="270">
        <f>('Income Statement'!R158)*1000</f>
        <v>2749</v>
      </c>
      <c r="CP40" s="270">
        <f>('Income Statement'!W158)*1000</f>
        <v>10858</v>
      </c>
      <c r="CQ40" s="270">
        <f>('Income Statement'!AB158)*1000</f>
        <v>22612</v>
      </c>
      <c r="CR40" s="270">
        <f>('Income Statement'!AG158)*1000</f>
        <v>53300</v>
      </c>
      <c r="CS40" s="270">
        <f>('Income Statement'!AL158)*1000</f>
        <v>120900</v>
      </c>
      <c r="CT40" s="270">
        <f>('Income Statement'!AQ158)*1000</f>
        <v>186300</v>
      </c>
      <c r="CU40" s="270">
        <f>('Income Statement'!AV158)*1000</f>
        <v>503200</v>
      </c>
      <c r="CV40" s="270">
        <f>('Income Statement'!BA158)*1000</f>
        <v>1249500</v>
      </c>
      <c r="CW40" s="270">
        <f>('Income Statement'!BF158)*1000</f>
        <v>2200700</v>
      </c>
      <c r="CX40" s="270">
        <f>('Income Statement'!BK158)*1000</f>
        <v>3320399.9999999995</v>
      </c>
      <c r="CY40" s="270">
        <f>('Income Statement'!BP158)*1000</f>
        <v>4872000</v>
      </c>
      <c r="CZ40" s="270">
        <f>('Income Statement'!BU158)*1000</f>
        <v>6550000</v>
      </c>
      <c r="DA40" s="270">
        <f>('Income Statement'!BZ158)*1000</f>
        <v>7992000</v>
      </c>
      <c r="DB40" s="270">
        <f>('Income Statement'!CE158)*1000</f>
        <v>9638000</v>
      </c>
      <c r="DC40" s="270">
        <f>('Income Statement'!CJ158)*1000</f>
        <v>10547000</v>
      </c>
      <c r="DD40" s="270">
        <f>('Income Statement'!CO158)*1000</f>
        <v>13840460.584540632</v>
      </c>
      <c r="DE40" s="270">
        <f>('Income Statement'!CP158)*1000</f>
        <v>17462489.36109367</v>
      </c>
      <c r="DF40" s="270">
        <f>('Income Statement'!CQ158)*1000</f>
        <v>18850988.618846014</v>
      </c>
      <c r="DG40" s="270">
        <f>('Income Statement'!CR158)*1000</f>
        <v>20226879.581114672</v>
      </c>
      <c r="DH40" s="270">
        <f>('Income Statement'!CS158)*1000</f>
        <v>21584368.580170829</v>
      </c>
      <c r="DI40" s="270">
        <f>('Income Statement'!CT158)*1000</f>
        <v>22918807.397096246</v>
      </c>
    </row>
    <row r="41" spans="1:113">
      <c r="A41" s="125" t="s">
        <v>437</v>
      </c>
      <c r="B41" s="125"/>
      <c r="C41" s="126"/>
      <c r="D41" s="126"/>
      <c r="E41" s="126"/>
      <c r="F41" s="126"/>
      <c r="G41" s="126">
        <f>'Income Statement'!D96</f>
        <v>18398</v>
      </c>
      <c r="H41" s="126">
        <f>'Income Statement'!E96</f>
        <v>22899</v>
      </c>
      <c r="I41" s="126">
        <f>'Income Statement'!F96</f>
        <v>25087</v>
      </c>
      <c r="J41" s="126">
        <f>'Income Statement'!G96</f>
        <v>26016</v>
      </c>
      <c r="K41" s="126">
        <f>'Income Statement'!I96</f>
        <v>24892</v>
      </c>
      <c r="L41" s="126">
        <f>'Income Statement'!J96</f>
        <v>24672</v>
      </c>
      <c r="M41" s="126">
        <f>'Income Statement'!K96</f>
        <v>26600</v>
      </c>
      <c r="N41" s="126">
        <f>'Income Statement'!L96</f>
        <v>31100</v>
      </c>
      <c r="O41" s="126">
        <f>'Income Statement'!N96</f>
        <v>32600</v>
      </c>
      <c r="P41" s="126">
        <f>'Income Statement'!O96</f>
        <v>35232</v>
      </c>
      <c r="Q41" s="126">
        <f>'Income Statement'!P96</f>
        <v>38500</v>
      </c>
      <c r="R41" s="126">
        <f>'Income Statement'!Q96</f>
        <v>40400</v>
      </c>
      <c r="S41" s="126">
        <f>'Income Statement'!S96</f>
        <v>39300</v>
      </c>
      <c r="T41" s="126">
        <f>'Income Statement'!T96</f>
        <v>38900</v>
      </c>
      <c r="U41" s="126">
        <f>'Income Statement'!U96</f>
        <v>43400</v>
      </c>
      <c r="V41" s="126">
        <f>'Income Statement'!V96</f>
        <v>46400</v>
      </c>
      <c r="W41" s="126">
        <f>'Income Statement'!X96</f>
        <v>46400</v>
      </c>
      <c r="X41" s="126">
        <f>'Income Statement'!Y96</f>
        <v>45900</v>
      </c>
      <c r="Y41" s="126">
        <f>'Income Statement'!Z96</f>
        <v>42300</v>
      </c>
      <c r="Z41" s="126">
        <f>'Income Statement'!AA96</f>
        <v>45800</v>
      </c>
      <c r="AA41" s="126">
        <f>'Income Statement'!AC96</f>
        <v>49100</v>
      </c>
      <c r="AB41" s="126">
        <f>'Income Statement'!AD96</f>
        <v>54200</v>
      </c>
      <c r="AC41" s="126">
        <f>'Income Statement'!AE96</f>
        <v>58100</v>
      </c>
      <c r="AD41" s="126">
        <f>'Income Statement'!AF96</f>
        <v>60500</v>
      </c>
      <c r="AE41" s="126">
        <f>'Income Statement'!AH96</f>
        <v>68500</v>
      </c>
      <c r="AF41" s="126">
        <f>'Income Statement'!AI96</f>
        <v>62868</v>
      </c>
      <c r="AG41" s="126">
        <f>'Income Statement'!AJ96</f>
        <v>58256</v>
      </c>
      <c r="AH41" s="126">
        <f>'Income Statement'!AK96</f>
        <v>59600</v>
      </c>
      <c r="AI41" s="126">
        <f>'Income Statement'!AM96</f>
        <v>52100</v>
      </c>
      <c r="AJ41" s="126">
        <f>'Income Statement'!AN96</f>
        <v>46000</v>
      </c>
      <c r="AK41" s="126">
        <f>'Income Statement'!AO96</f>
        <v>41500</v>
      </c>
      <c r="AL41" s="126">
        <f>'Income Statement'!AP96</f>
        <v>42000</v>
      </c>
      <c r="AM41" s="126">
        <f>'Income Statement'!AR96</f>
        <v>42500</v>
      </c>
      <c r="AN41" s="126">
        <f>'Income Statement'!AS96</f>
        <v>44000</v>
      </c>
      <c r="AO41" s="126">
        <f>'Income Statement'!AT96</f>
        <v>45000</v>
      </c>
      <c r="AP41" s="126">
        <f>'Income Statement'!AU96</f>
        <v>46500</v>
      </c>
      <c r="AQ41" s="126">
        <f>'Income Statement'!AW96</f>
        <v>48000</v>
      </c>
      <c r="AR41" s="126">
        <f>'Income Statement'!AX96</f>
        <v>50500</v>
      </c>
      <c r="AS41" s="126">
        <f>'Income Statement'!AY96</f>
        <v>52500</v>
      </c>
      <c r="AT41" s="126">
        <f>'Income Statement'!AZ96</f>
        <v>53500</v>
      </c>
      <c r="AU41" s="126">
        <f>'Income Statement'!BB96</f>
        <v>54500</v>
      </c>
      <c r="AV41" s="126">
        <f>'Income Statement'!BC96</f>
        <v>52900</v>
      </c>
      <c r="AW41" s="126">
        <f>'Income Statement'!BD96</f>
        <v>53900</v>
      </c>
      <c r="AX41" s="126">
        <f>'Income Statement'!BE96</f>
        <v>54900</v>
      </c>
      <c r="AY41" s="126">
        <f>'Income Statement'!BG96</f>
        <v>55100</v>
      </c>
      <c r="AZ41" s="126">
        <f>'Income Statement'!BH96</f>
        <v>56600</v>
      </c>
      <c r="BA41" s="126">
        <f>'Income Statement'!BI96</f>
        <v>55500</v>
      </c>
      <c r="BB41" s="126">
        <f>'Income Statement'!BJ96</f>
        <v>56700</v>
      </c>
      <c r="BC41" s="126">
        <f>'Income Statement'!BL96</f>
        <v>55490</v>
      </c>
      <c r="BD41" s="126">
        <f>'Income Statement'!BM96</f>
        <v>55670</v>
      </c>
      <c r="BE41" s="126">
        <f>'Income Statement'!BN96</f>
        <v>56880</v>
      </c>
      <c r="BF41" s="126">
        <f>'Income Statement'!BO96</f>
        <v>57890</v>
      </c>
      <c r="BG41" s="126">
        <f>'Income Statement'!BQ96</f>
        <v>56010</v>
      </c>
      <c r="BH41" s="126">
        <f>'Income Statement'!BR96</f>
        <v>56770</v>
      </c>
      <c r="BI41" s="126">
        <f>'Income Statement'!BS96</f>
        <v>57980</v>
      </c>
      <c r="BJ41" s="126">
        <f>'Income Statement'!BT96</f>
        <v>57910</v>
      </c>
      <c r="BK41" s="126">
        <f>'Income Statement'!BV96</f>
        <v>57000</v>
      </c>
      <c r="BL41" s="126">
        <f>'Income Statement'!BW96</f>
        <v>57230</v>
      </c>
      <c r="BM41" s="126">
        <f>'Income Statement'!BX96</f>
        <v>57400</v>
      </c>
      <c r="BN41" s="126">
        <f>'Income Statement'!BY96</f>
        <v>57500</v>
      </c>
      <c r="BO41" s="126">
        <f>'Income Statement'!CA96</f>
        <v>57900</v>
      </c>
      <c r="BP41" s="126">
        <f>'Income Statement'!CB96</f>
        <v>58000</v>
      </c>
      <c r="BQ41" s="126">
        <f>'Income Statement'!CC96</f>
        <v>57500</v>
      </c>
      <c r="BR41" s="126">
        <f>'Income Statement'!CD96</f>
        <v>57500</v>
      </c>
      <c r="BS41" s="126">
        <f>'Income Statement'!CF96</f>
        <v>57600</v>
      </c>
      <c r="BT41" s="126">
        <f>'Income Statement'!CG96</f>
        <v>58500</v>
      </c>
      <c r="BU41" s="126">
        <f>'Income Statement'!CH96</f>
        <v>58600</v>
      </c>
      <c r="BV41" s="126">
        <f>'Income Statement'!CI96</f>
        <v>58800</v>
      </c>
      <c r="BW41" s="126">
        <f>'Income Statement'!CK96</f>
        <v>58900</v>
      </c>
      <c r="BX41" s="126">
        <f>'Income Statement'!CL96</f>
        <v>82600</v>
      </c>
      <c r="BY41" s="1536">
        <f>'Income Statement'!CM96</f>
        <v>79600</v>
      </c>
      <c r="CC41" s="316"/>
      <c r="CJ41" t="s">
        <v>437</v>
      </c>
      <c r="CL41" s="270">
        <f>'Income Statement'!C96</f>
        <v>15469</v>
      </c>
      <c r="CM41" s="270">
        <f>'Income Statement'!H96</f>
        <v>26016</v>
      </c>
      <c r="CN41" s="270">
        <f>'Income Statement'!M96</f>
        <v>31100</v>
      </c>
      <c r="CO41" s="270">
        <f>'Income Statement'!R96</f>
        <v>40400</v>
      </c>
      <c r="CP41" s="270">
        <f>'Income Statement'!W96</f>
        <v>46400</v>
      </c>
      <c r="CQ41" s="270">
        <f>'Income Statement'!AB96</f>
        <v>45800</v>
      </c>
      <c r="CR41" s="270">
        <f>'Income Statement'!AG96</f>
        <v>60500</v>
      </c>
      <c r="CS41" s="270">
        <f>'Income Statement'!AL96</f>
        <v>59600</v>
      </c>
      <c r="CT41" s="270">
        <f>'Income Statement'!AQ96</f>
        <v>42000</v>
      </c>
      <c r="CU41" s="270">
        <f>'Income Statement'!AV96</f>
        <v>46500</v>
      </c>
      <c r="CV41" s="270">
        <f>'Income Statement'!BA96</f>
        <v>53500</v>
      </c>
      <c r="CW41" s="270">
        <f>'Income Statement'!BF96</f>
        <v>54900</v>
      </c>
      <c r="CX41" s="270">
        <f>'Income Statement'!BK96</f>
        <v>56700</v>
      </c>
      <c r="CY41" s="270">
        <f>'Income Statement'!BP96</f>
        <v>57890</v>
      </c>
      <c r="CZ41" s="270">
        <f>'Income Statement'!BU96</f>
        <v>57910</v>
      </c>
      <c r="DA41" s="270">
        <f>'Income Statement'!BZ96</f>
        <v>57500</v>
      </c>
      <c r="DB41" s="270">
        <f>'Income Statement'!CE96</f>
        <v>57500</v>
      </c>
      <c r="DC41" s="270">
        <f>'Income Statement'!CJ96</f>
        <v>58800</v>
      </c>
      <c r="DD41" s="270">
        <f>'Income Statement'!CO96</f>
        <v>82771.271720245146</v>
      </c>
      <c r="DE41" s="270">
        <f>'Income Statement'!CP96</f>
        <v>83969.257163598711</v>
      </c>
      <c r="DF41" s="270">
        <f>'Income Statement'!CQ96</f>
        <v>85182.942914061918</v>
      </c>
      <c r="DG41" s="270">
        <f>'Income Statement'!CR96</f>
        <v>86412.523357124315</v>
      </c>
      <c r="DH41" s="270">
        <f>'Income Statement'!CS96</f>
        <v>87658.195197739857</v>
      </c>
      <c r="DI41" s="270">
        <f>'Income Statement'!CT96</f>
        <v>88920.15748729551</v>
      </c>
    </row>
    <row r="42" spans="1:113">
      <c r="A42" s="125" t="s">
        <v>760</v>
      </c>
      <c r="B42" s="125"/>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f>'Income Statement'!AC89</f>
        <v>48746</v>
      </c>
      <c r="AB42" s="126">
        <f>'Income Statement'!AD89</f>
        <v>53872</v>
      </c>
      <c r="AC42" s="126">
        <f>'Income Statement'!AE89</f>
        <v>57768</v>
      </c>
      <c r="AD42" s="126">
        <f>'Income Statement'!AF89</f>
        <v>60123</v>
      </c>
      <c r="AE42" s="126">
        <f>'Income Statement'!AH89</f>
        <v>68118</v>
      </c>
      <c r="AF42" s="126">
        <f>'Income Statement'!AI89</f>
        <v>62477</v>
      </c>
      <c r="AG42" s="126">
        <f>'Income Statement'!AJ89</f>
        <v>57844</v>
      </c>
      <c r="AH42" s="126">
        <f>'Income Statement'!AK89</f>
        <v>59177</v>
      </c>
      <c r="AI42" s="126">
        <f>'Income Statement'!AM89</f>
        <v>51675</v>
      </c>
      <c r="AJ42" s="126">
        <f>'Income Statement'!AN89</f>
        <v>45572</v>
      </c>
      <c r="AK42" s="126">
        <f>'Income Statement'!AO89</f>
        <v>41069</v>
      </c>
      <c r="AL42" s="126">
        <f>'Income Statement'!AP89</f>
        <v>41563</v>
      </c>
      <c r="AM42" s="126">
        <f>'Income Statement'!AR89</f>
        <v>42062</v>
      </c>
      <c r="AN42" s="126">
        <f>'Income Statement'!AS89</f>
        <v>43510</v>
      </c>
      <c r="AO42" s="126">
        <f>'Income Statement'!AT89</f>
        <v>44489</v>
      </c>
      <c r="AP42" s="126">
        <f>'Income Statement'!AU89</f>
        <v>45967</v>
      </c>
      <c r="AQ42" s="126">
        <f>'Income Statement'!AW89</f>
        <v>47460</v>
      </c>
      <c r="AR42" s="126">
        <f>'Income Statement'!AX89</f>
        <v>49918</v>
      </c>
      <c r="AS42" s="126">
        <f>'Income Statement'!AY89</f>
        <v>51869</v>
      </c>
      <c r="AT42" s="126">
        <f>'Income Statement'!AZ89</f>
        <v>52797</v>
      </c>
      <c r="AU42" s="126">
        <f>'Income Statement'!BB89</f>
        <v>53700</v>
      </c>
      <c r="AV42" s="126">
        <f>'Income Statement'!BC89</f>
        <v>52000</v>
      </c>
      <c r="AW42" s="126">
        <f>'Income Statement'!BD89</f>
        <v>52900</v>
      </c>
      <c r="AX42" s="126">
        <f>'Income Statement'!BE89</f>
        <v>53900</v>
      </c>
      <c r="AY42" s="126">
        <f>'Income Statement'!BG89</f>
        <v>54000</v>
      </c>
      <c r="AZ42" s="126">
        <f>'Income Statement'!BH89</f>
        <v>55500</v>
      </c>
      <c r="BA42" s="126">
        <f>'Income Statement'!BI89</f>
        <v>54400</v>
      </c>
      <c r="BB42" s="126">
        <f>'Income Statement'!BJ89</f>
        <v>55600</v>
      </c>
      <c r="BC42" s="126">
        <f>'Income Statement'!BL89</f>
        <v>54340</v>
      </c>
      <c r="BD42" s="126">
        <f>'Income Statement'!BM89</f>
        <v>54540</v>
      </c>
      <c r="BE42" s="126">
        <f>'Income Statement'!BN89</f>
        <v>55740</v>
      </c>
      <c r="BF42" s="126">
        <f>'Income Statement'!BO89</f>
        <v>56740</v>
      </c>
      <c r="BG42" s="126">
        <f>'Income Statement'!BQ89</f>
        <v>54830</v>
      </c>
      <c r="BH42" s="126">
        <f>'Income Statement'!BR89</f>
        <v>55540</v>
      </c>
      <c r="BI42" s="126">
        <f>'Income Statement'!BS89</f>
        <v>56710</v>
      </c>
      <c r="BJ42" s="126">
        <f>'Income Statement'!BT89</f>
        <v>56590</v>
      </c>
      <c r="BK42" s="126">
        <f>'Income Statement'!BV89</f>
        <v>55640</v>
      </c>
      <c r="BL42" s="126">
        <f>'Income Statement'!BW89</f>
        <v>55810</v>
      </c>
      <c r="BM42" s="126">
        <f>'Income Statement'!BX89</f>
        <v>55900</v>
      </c>
      <c r="BN42" s="126">
        <f>'Income Statement'!BY89</f>
        <v>56000</v>
      </c>
      <c r="BO42" s="126">
        <f>'Income Statement'!CA89</f>
        <v>56400</v>
      </c>
      <c r="BP42" s="126">
        <f>'Income Statement'!CB89</f>
        <v>56500</v>
      </c>
      <c r="BQ42" s="126">
        <f>'Income Statement'!CC89</f>
        <v>55900</v>
      </c>
      <c r="BR42" s="126">
        <f>'Income Statement'!CD89</f>
        <v>55900</v>
      </c>
      <c r="BS42" s="126">
        <f>'Income Statement'!CF89</f>
        <v>56000</v>
      </c>
      <c r="BT42" s="126">
        <f>'Income Statement'!CG89</f>
        <v>56900</v>
      </c>
      <c r="BU42" s="126">
        <f>'Income Statement'!CH89</f>
        <v>56900</v>
      </c>
      <c r="BV42" s="126">
        <f>'Income Statement'!CI89</f>
        <v>57100</v>
      </c>
      <c r="BW42" s="126">
        <f>'Income Statement'!CK89</f>
        <v>57100</v>
      </c>
      <c r="BX42" s="126">
        <f>'Income Statement'!CL89</f>
        <v>80700</v>
      </c>
      <c r="BY42" s="1536">
        <f>'Income Statement'!CM89</f>
        <v>77700</v>
      </c>
      <c r="CC42" s="316"/>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row>
    <row r="43" spans="1:113">
      <c r="A43" s="125" t="s">
        <v>761</v>
      </c>
      <c r="B43" s="125"/>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f>'Income Statement'!AC82</f>
        <v>354</v>
      </c>
      <c r="AB43" s="126">
        <f>'Income Statement'!AD82</f>
        <v>328</v>
      </c>
      <c r="AC43" s="126">
        <f>'Income Statement'!AE82</f>
        <v>332</v>
      </c>
      <c r="AD43" s="126">
        <f>'Income Statement'!AF82</f>
        <v>377</v>
      </c>
      <c r="AE43" s="126">
        <f>'Income Statement'!AH82</f>
        <v>382</v>
      </c>
      <c r="AF43" s="126">
        <f>'Income Statement'!AI82</f>
        <v>391</v>
      </c>
      <c r="AG43" s="126">
        <f>'Income Statement'!AJ82</f>
        <v>412</v>
      </c>
      <c r="AH43" s="126">
        <f>'Income Statement'!AK82</f>
        <v>423</v>
      </c>
      <c r="AI43" s="126">
        <f>'Income Statement'!AM82</f>
        <v>425</v>
      </c>
      <c r="AJ43" s="126">
        <f>'Income Statement'!AN82</f>
        <v>428</v>
      </c>
      <c r="AK43" s="126">
        <f>'Income Statement'!AO82</f>
        <v>431</v>
      </c>
      <c r="AL43" s="126">
        <f>'Income Statement'!AP82</f>
        <v>437</v>
      </c>
      <c r="AM43" s="126">
        <f>'Income Statement'!AR82</f>
        <v>438</v>
      </c>
      <c r="AN43" s="126">
        <f>'Income Statement'!AS82</f>
        <v>490</v>
      </c>
      <c r="AO43" s="126">
        <f>'Income Statement'!AT82</f>
        <v>511</v>
      </c>
      <c r="AP43" s="126">
        <f>'Income Statement'!AU82</f>
        <v>533</v>
      </c>
      <c r="AQ43" s="126">
        <f>'Income Statement'!AW82</f>
        <v>540</v>
      </c>
      <c r="AR43" s="126">
        <f>'Income Statement'!AX82</f>
        <v>582</v>
      </c>
      <c r="AS43" s="126">
        <f>'Income Statement'!AY82</f>
        <v>631</v>
      </c>
      <c r="AT43" s="126">
        <f>'Income Statement'!AZ82</f>
        <v>703</v>
      </c>
      <c r="AU43" s="126">
        <f>'Income Statement'!BB82</f>
        <v>804</v>
      </c>
      <c r="AV43" s="126">
        <f>'Income Statement'!BC82</f>
        <v>891</v>
      </c>
      <c r="AW43" s="126">
        <f>'Income Statement'!BD82</f>
        <v>954</v>
      </c>
      <c r="AX43" s="126">
        <f>'Income Statement'!BE82</f>
        <v>1024</v>
      </c>
      <c r="AY43" s="126">
        <f>'Income Statement'!BG82</f>
        <v>1048</v>
      </c>
      <c r="AZ43" s="126">
        <f>'Income Statement'!BH82</f>
        <v>1051</v>
      </c>
      <c r="BA43" s="126">
        <f>'Income Statement'!BI82</f>
        <v>1055</v>
      </c>
      <c r="BB43" s="126">
        <f>'Income Statement'!BJ82</f>
        <v>1066</v>
      </c>
      <c r="BC43" s="126">
        <f>'Income Statement'!BL82</f>
        <v>1150</v>
      </c>
      <c r="BD43" s="126">
        <f>'Income Statement'!BM82</f>
        <v>1140</v>
      </c>
      <c r="BE43" s="126">
        <f>'Income Statement'!BN82</f>
        <v>1140</v>
      </c>
      <c r="BF43" s="126">
        <f>'Income Statement'!BO82</f>
        <v>1150</v>
      </c>
      <c r="BG43" s="126">
        <f>'Income Statement'!BQ82</f>
        <v>1180</v>
      </c>
      <c r="BH43" s="126">
        <f>'Income Statement'!BR82</f>
        <v>1230</v>
      </c>
      <c r="BI43" s="126">
        <f>'Income Statement'!BS82</f>
        <v>1270</v>
      </c>
      <c r="BJ43" s="126">
        <f>'Income Statement'!BT82</f>
        <v>1320</v>
      </c>
      <c r="BK43" s="126">
        <f>'Income Statement'!BV82</f>
        <v>1360</v>
      </c>
      <c r="BL43" s="126">
        <f>'Income Statement'!BW82</f>
        <v>1420</v>
      </c>
      <c r="BM43" s="126">
        <f>'Income Statement'!BX82</f>
        <v>1500</v>
      </c>
      <c r="BN43" s="126">
        <f>'Income Statement'!BY82</f>
        <v>1500</v>
      </c>
      <c r="BO43" s="126">
        <f>'Income Statement'!CA82</f>
        <v>1500</v>
      </c>
      <c r="BP43" s="126">
        <f>'Income Statement'!CB82</f>
        <v>1500</v>
      </c>
      <c r="BQ43" s="126">
        <f>'Income Statement'!CC82</f>
        <v>1600</v>
      </c>
      <c r="BR43" s="126">
        <f>'Income Statement'!CD82</f>
        <v>1600</v>
      </c>
      <c r="BS43" s="126">
        <f>'Income Statement'!CF82</f>
        <v>1600</v>
      </c>
      <c r="BT43" s="126">
        <f>'Income Statement'!CG82</f>
        <v>1600</v>
      </c>
      <c r="BU43" s="126">
        <f>'Income Statement'!CH82</f>
        <v>1700</v>
      </c>
      <c r="BV43" s="126">
        <f>'Income Statement'!CI82</f>
        <v>1700</v>
      </c>
      <c r="BW43" s="126">
        <f>'Income Statement'!CK82</f>
        <v>1800</v>
      </c>
      <c r="BX43" s="126">
        <f>'Income Statement'!CL82</f>
        <v>1900</v>
      </c>
      <c r="BY43" s="1536">
        <f>'Income Statement'!CM82</f>
        <v>1900</v>
      </c>
      <c r="CC43" s="316"/>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row>
    <row r="44" spans="1:113">
      <c r="A44" s="96" t="s">
        <v>470</v>
      </c>
      <c r="B44" s="9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f>'Income Statement'!AC165</f>
        <v>3035</v>
      </c>
      <c r="AB44" s="116">
        <f>'Income Statement'!AD165</f>
        <v>3410</v>
      </c>
      <c r="AC44" s="116">
        <f>'Income Statement'!AE165</f>
        <v>3993</v>
      </c>
      <c r="AD44" s="116">
        <f>'Income Statement'!AF165</f>
        <v>4500</v>
      </c>
      <c r="AE44" s="116">
        <f>'Income Statement'!AH165</f>
        <v>0</v>
      </c>
      <c r="AF44" s="116">
        <f>'Income Statement'!AI165</f>
        <v>0</v>
      </c>
      <c r="AG44" s="116">
        <f>'Income Statement'!AJ165</f>
        <v>0</v>
      </c>
      <c r="AH44" s="116">
        <f>'Income Statement'!AK165</f>
        <v>0</v>
      </c>
      <c r="AI44" s="116">
        <f>'Income Statement'!AM165</f>
        <v>28000</v>
      </c>
      <c r="AJ44" s="116">
        <f>'Income Statement'!AN165</f>
        <v>25000</v>
      </c>
      <c r="AK44" s="116">
        <f>'Income Statement'!AO165</f>
        <v>22500</v>
      </c>
      <c r="AL44" s="116">
        <f>'Income Statement'!AP165</f>
        <v>22500</v>
      </c>
      <c r="AM44" s="116">
        <f>'Income Statement'!AR165</f>
        <v>23500</v>
      </c>
      <c r="AN44" s="116">
        <f>'Income Statement'!AS165</f>
        <v>24000</v>
      </c>
      <c r="AO44" s="116">
        <f>'Income Statement'!AT165</f>
        <v>29250</v>
      </c>
      <c r="AP44" s="116">
        <f>'Income Statement'!AU165</f>
        <v>30225</v>
      </c>
      <c r="AQ44" s="116">
        <f>'Income Statement'!AW165</f>
        <v>32640.000000000004</v>
      </c>
      <c r="AR44" s="116">
        <f>'Income Statement'!AX165</f>
        <v>33800</v>
      </c>
      <c r="AS44" s="116">
        <f>'Income Statement'!AY165</f>
        <v>36700</v>
      </c>
      <c r="AT44" s="116">
        <f>'Income Statement'!AZ165</f>
        <v>38300</v>
      </c>
      <c r="AU44" s="116">
        <f>'Income Statement'!BB165</f>
        <v>54500</v>
      </c>
      <c r="AV44" s="116">
        <f>'Income Statement'!BC165</f>
        <v>52900</v>
      </c>
      <c r="AW44" s="116">
        <f>'Income Statement'!BD165</f>
        <v>53900</v>
      </c>
      <c r="AX44" s="116">
        <f>'Income Statement'!BE165</f>
        <v>54900</v>
      </c>
      <c r="AY44" s="116">
        <f>'Income Statement'!BG165</f>
        <v>55100</v>
      </c>
      <c r="AZ44" s="116">
        <f>'Income Statement'!BH165</f>
        <v>56600</v>
      </c>
      <c r="BA44" s="116">
        <f>'Income Statement'!BI165</f>
        <v>55500</v>
      </c>
      <c r="BB44" s="116">
        <f>'Income Statement'!BJ165</f>
        <v>56700</v>
      </c>
      <c r="BC44" s="116">
        <f>'Income Statement'!BL165</f>
        <v>55490</v>
      </c>
      <c r="BD44" s="116">
        <f>'Income Statement'!BM165</f>
        <v>55670</v>
      </c>
      <c r="BE44" s="116">
        <f>'Income Statement'!BN165</f>
        <v>56880</v>
      </c>
      <c r="BF44" s="116">
        <f>'Income Statement'!BO165</f>
        <v>57890</v>
      </c>
      <c r="BG44" s="116">
        <f>'Income Statement'!BQ165</f>
        <v>56010</v>
      </c>
      <c r="BH44" s="116">
        <f>'Income Statement'!BR165</f>
        <v>56770</v>
      </c>
      <c r="BI44" s="116">
        <f>'Income Statement'!BS165</f>
        <v>57980</v>
      </c>
      <c r="BJ44" s="116">
        <f>'Income Statement'!BT165</f>
        <v>57910</v>
      </c>
      <c r="BK44" s="116">
        <f>'Income Statement'!BV165</f>
        <v>57000</v>
      </c>
      <c r="BL44" s="116">
        <f>'Income Statement'!BW165</f>
        <v>57230</v>
      </c>
      <c r="BM44" s="116">
        <f>'Income Statement'!BX165</f>
        <v>57400</v>
      </c>
      <c r="BN44" s="116">
        <f>'Income Statement'!BY165</f>
        <v>57500</v>
      </c>
      <c r="BO44" s="116">
        <f>'Income Statement'!CA165</f>
        <v>57900</v>
      </c>
      <c r="BP44" s="116">
        <f>'Income Statement'!CB165</f>
        <v>58000</v>
      </c>
      <c r="BQ44" s="116">
        <f>'Income Statement'!CC165</f>
        <v>57500</v>
      </c>
      <c r="BR44" s="116">
        <f>'Income Statement'!CD165</f>
        <v>57500</v>
      </c>
      <c r="BS44" s="116">
        <f>'Income Statement'!CF165</f>
        <v>57600</v>
      </c>
      <c r="BT44" s="116">
        <f>'Income Statement'!CG165</f>
        <v>58500</v>
      </c>
      <c r="BU44" s="116">
        <f>'Income Statement'!CH165</f>
        <v>58600</v>
      </c>
      <c r="BV44" s="116">
        <f>'Income Statement'!CI165</f>
        <v>58800</v>
      </c>
      <c r="BW44" s="116">
        <f>'Income Statement'!CK165</f>
        <v>58900</v>
      </c>
      <c r="BX44" s="116">
        <f>'Income Statement'!CL165</f>
        <v>82600</v>
      </c>
      <c r="BY44" s="1532">
        <f>'Income Statement'!CM165</f>
        <v>79600</v>
      </c>
      <c r="CC44" s="316"/>
      <c r="CJ44" t="s">
        <v>470</v>
      </c>
      <c r="CL44" s="270">
        <f>'Income Statement'!C165</f>
        <v>0</v>
      </c>
      <c r="CM44" s="270">
        <f>'Income Statement'!H165</f>
        <v>0</v>
      </c>
      <c r="CN44" s="270">
        <f>'Income Statement'!M165</f>
        <v>0</v>
      </c>
      <c r="CO44" s="270">
        <f>'Income Statement'!R165</f>
        <v>0</v>
      </c>
      <c r="CP44" s="270">
        <f>'Income Statement'!W165</f>
        <v>0</v>
      </c>
      <c r="CQ44" s="270">
        <f>'Income Statement'!AB165</f>
        <v>0</v>
      </c>
      <c r="CR44" s="270">
        <f>'Income Statement'!AG165</f>
        <v>0</v>
      </c>
      <c r="CS44" s="270">
        <f>'Income Statement'!AL165</f>
        <v>0</v>
      </c>
      <c r="CT44" s="270">
        <f>'Income Statement'!AQ165</f>
        <v>22500</v>
      </c>
      <c r="CU44" s="270">
        <f>'Income Statement'!AV165</f>
        <v>30225</v>
      </c>
      <c r="CV44" s="270">
        <f>'Income Statement'!BA165</f>
        <v>38300</v>
      </c>
      <c r="CW44" s="270">
        <f>'Income Statement'!BF165</f>
        <v>54900</v>
      </c>
      <c r="CX44" s="270">
        <f>'Income Statement'!BK165</f>
        <v>56700</v>
      </c>
      <c r="CY44" s="270">
        <f>'Income Statement'!BP165</f>
        <v>57890</v>
      </c>
      <c r="CZ44" s="270">
        <f>'Income Statement'!BU165</f>
        <v>57910</v>
      </c>
      <c r="DA44" s="270">
        <f>'Income Statement'!BZ165</f>
        <v>57500</v>
      </c>
      <c r="DB44" s="270">
        <f>'Income Statement'!CE165</f>
        <v>57500</v>
      </c>
      <c r="DC44" s="270">
        <f>'Income Statement'!CJ165</f>
        <v>58800</v>
      </c>
      <c r="DD44" s="270">
        <f>'Income Statement'!CO165</f>
        <v>82771.271720245146</v>
      </c>
      <c r="DE44" s="270">
        <f>'Income Statement'!CP165</f>
        <v>83969.257163598711</v>
      </c>
      <c r="DF44" s="270">
        <f>'Income Statement'!CQ165</f>
        <v>85182.942914061918</v>
      </c>
      <c r="DG44" s="270">
        <f>'Income Statement'!CR165</f>
        <v>86412.523357124315</v>
      </c>
      <c r="DH44" s="270">
        <f>'Income Statement'!CS165</f>
        <v>87658.195197739857</v>
      </c>
      <c r="DI44" s="270">
        <f>'Income Statement'!CT165</f>
        <v>88920.15748729551</v>
      </c>
    </row>
    <row r="45" spans="1:113">
      <c r="A45" s="96" t="s">
        <v>273</v>
      </c>
      <c r="B45" s="96"/>
      <c r="C45" s="116"/>
      <c r="D45" s="116"/>
      <c r="E45" s="116"/>
      <c r="F45" s="116"/>
      <c r="G45" s="91"/>
      <c r="H45" s="91"/>
      <c r="I45" s="91"/>
      <c r="J45" s="91"/>
      <c r="K45" s="91"/>
      <c r="L45" s="91"/>
      <c r="M45" s="91"/>
      <c r="N45" s="91"/>
      <c r="O45" s="91"/>
      <c r="P45" s="91"/>
      <c r="Q45" s="91"/>
      <c r="R45" s="91"/>
      <c r="S45" s="91"/>
      <c r="T45" s="91"/>
      <c r="U45" s="91"/>
      <c r="V45" s="91"/>
      <c r="W45" s="91"/>
      <c r="X45" s="91"/>
      <c r="Y45" s="91"/>
      <c r="Z45" s="91"/>
      <c r="AA45" s="91">
        <f>'Income Statement'!AC171</f>
        <v>0</v>
      </c>
      <c r="AB45" s="91">
        <f>'Income Statement'!AD171</f>
        <v>0</v>
      </c>
      <c r="AC45" s="91">
        <f>'Income Statement'!AE171</f>
        <v>0</v>
      </c>
      <c r="AD45" s="91">
        <f>'Income Statement'!AF171</f>
        <v>0</v>
      </c>
      <c r="AE45" s="91">
        <f>'Income Statement'!AH171</f>
        <v>0</v>
      </c>
      <c r="AF45" s="91">
        <f>'Income Statement'!AI171</f>
        <v>0</v>
      </c>
      <c r="AG45" s="91">
        <f>'Income Statement'!AJ171</f>
        <v>0</v>
      </c>
      <c r="AH45" s="91">
        <f>'Income Statement'!AK171</f>
        <v>0</v>
      </c>
      <c r="AI45" s="91">
        <f>'Income Statement'!AM171</f>
        <v>0</v>
      </c>
      <c r="AJ45" s="91">
        <f>'Income Statement'!AN171</f>
        <v>0</v>
      </c>
      <c r="AK45" s="91">
        <f>'Income Statement'!AO171</f>
        <v>0</v>
      </c>
      <c r="AL45" s="91">
        <f>'Income Statement'!AP171</f>
        <v>0</v>
      </c>
      <c r="AM45" s="91">
        <f>'Income Statement'!AR171</f>
        <v>0</v>
      </c>
      <c r="AN45" s="91">
        <f>'Income Statement'!AS171</f>
        <v>0</v>
      </c>
      <c r="AO45" s="91">
        <f>'Income Statement'!AT171</f>
        <v>0</v>
      </c>
      <c r="AP45" s="91">
        <f>'Income Statement'!AU171</f>
        <v>29295</v>
      </c>
      <c r="AQ45" s="91">
        <f>'Income Statement'!AW171</f>
        <v>0</v>
      </c>
      <c r="AR45" s="91">
        <f>'Income Statement'!AX171</f>
        <v>0</v>
      </c>
      <c r="AS45" s="91">
        <f>'Income Statement'!AY171</f>
        <v>0</v>
      </c>
      <c r="AT45" s="91">
        <f>'Income Statement'!AZ171</f>
        <v>0</v>
      </c>
      <c r="AU45" s="91">
        <f>'Income Statement'!BB171</f>
        <v>2259253900</v>
      </c>
      <c r="AV45" s="91">
        <f>'Income Statement'!BC171</f>
        <v>2210911064</v>
      </c>
      <c r="AW45" s="91">
        <f>'Income Statement'!BD171</f>
        <v>2322400080</v>
      </c>
      <c r="AX45" s="91">
        <f>'Income Statement'!BE171</f>
        <v>2471893362</v>
      </c>
      <c r="AY45" s="91">
        <f>'Income Statement'!BG171</f>
        <v>47350.74</v>
      </c>
      <c r="AZ45" s="91">
        <f>'Income Statement'!BH171</f>
        <v>49771.92</v>
      </c>
      <c r="BA45" s="91">
        <f>'Income Statement'!BI171</f>
        <v>48840</v>
      </c>
      <c r="BB45" s="91">
        <f>'Income Statement'!BJ171</f>
        <v>49896</v>
      </c>
      <c r="BC45" s="91">
        <f>'Income Statement'!BL171</f>
        <v>48831.199999999997</v>
      </c>
      <c r="BD45" s="91">
        <f>'Income Statement'!BM171</f>
        <v>49546.3</v>
      </c>
      <c r="BE45" s="91">
        <f>'Income Statement'!BN171</f>
        <v>51192</v>
      </c>
      <c r="BF45" s="91">
        <f>'Income Statement'!BO171</f>
        <v>52679.9</v>
      </c>
      <c r="BG45" s="91">
        <f>'Income Statement'!BQ171</f>
        <v>51529.200000000004</v>
      </c>
      <c r="BH45" s="91">
        <f>'Income Statement'!BR171</f>
        <v>52228.4</v>
      </c>
      <c r="BI45" s="91">
        <f>'Income Statement'!BS171</f>
        <v>53341.600000000006</v>
      </c>
      <c r="BJ45" s="91">
        <f>'Income Statement'!BT171</f>
        <v>53277.200000000004</v>
      </c>
      <c r="BK45" s="91">
        <f>'Income Statement'!BV171</f>
        <v>53010</v>
      </c>
      <c r="BL45" s="91">
        <f>'Income Statement'!BW171</f>
        <v>52651.600000000006</v>
      </c>
      <c r="BM45" s="91">
        <f>'Income Statement'!BX171</f>
        <v>52808</v>
      </c>
      <c r="BN45" s="91">
        <f>'Income Statement'!BY171</f>
        <v>52900</v>
      </c>
      <c r="BO45" s="91">
        <f>'Income Statement'!CA171</f>
        <v>53847</v>
      </c>
      <c r="BP45" s="91">
        <f>'Income Statement'!CB171</f>
        <v>53940</v>
      </c>
      <c r="BQ45" s="91">
        <f>'Income Statement'!CC171</f>
        <v>52900</v>
      </c>
      <c r="BR45" s="91">
        <f>'Income Statement'!CD171</f>
        <v>52900</v>
      </c>
      <c r="BS45" s="91">
        <f>'Income Statement'!CF171</f>
        <v>52992</v>
      </c>
      <c r="BT45" s="91">
        <f>'Income Statement'!CG171</f>
        <v>53820</v>
      </c>
      <c r="BU45" s="91">
        <f>'Income Statement'!CH171</f>
        <v>53912</v>
      </c>
      <c r="BV45" s="91">
        <f>'Income Statement'!CI171</f>
        <v>54096</v>
      </c>
      <c r="BW45" s="91">
        <f>'Income Statement'!CK171</f>
        <v>54188</v>
      </c>
      <c r="BX45" s="91">
        <f>'Income Statement'!CL171</f>
        <v>75992</v>
      </c>
      <c r="BY45" s="1535">
        <f>'Income Statement'!CM171</f>
        <v>73232</v>
      </c>
      <c r="CC45" s="316"/>
      <c r="CJ45" t="s">
        <v>273</v>
      </c>
      <c r="CL45" s="270">
        <f>'Income Statement'!C171</f>
        <v>0</v>
      </c>
      <c r="CM45" s="270">
        <f>'Income Statement'!H171</f>
        <v>0</v>
      </c>
      <c r="CN45" s="270">
        <f>'Income Statement'!M171</f>
        <v>0</v>
      </c>
      <c r="CO45" s="270">
        <f>'Income Statement'!R171</f>
        <v>0</v>
      </c>
      <c r="CP45" s="270">
        <f>'Income Statement'!W171</f>
        <v>0</v>
      </c>
      <c r="CQ45" s="270">
        <f>'Income Statement'!AB171</f>
        <v>0</v>
      </c>
      <c r="CR45" s="270">
        <f>'Income Statement'!AG171</f>
        <v>0</v>
      </c>
      <c r="CS45" s="270">
        <f>'Income Statement'!AL171</f>
        <v>0</v>
      </c>
      <c r="CT45" s="270">
        <f>'Income Statement'!AQ171</f>
        <v>0</v>
      </c>
      <c r="CU45" s="270">
        <f>'Income Statement'!AV171</f>
        <v>0</v>
      </c>
      <c r="CV45" s="270">
        <f>'Income Statement'!BA171</f>
        <v>0</v>
      </c>
      <c r="CW45" s="270">
        <f>'Income Statement'!BF171</f>
        <v>2471893362</v>
      </c>
      <c r="CX45" s="270">
        <f>'Income Statement'!BK171</f>
        <v>49896</v>
      </c>
      <c r="CY45" s="270">
        <f>'Income Statement'!BP171</f>
        <v>52679.9</v>
      </c>
      <c r="CZ45" s="270">
        <f>'Income Statement'!BU171</f>
        <v>53277.200000000004</v>
      </c>
      <c r="DA45" s="270">
        <f>'Income Statement'!BZ171</f>
        <v>52900</v>
      </c>
      <c r="DB45" s="270">
        <f>'Income Statement'!CE171</f>
        <v>52900</v>
      </c>
      <c r="DC45" s="270">
        <f>'Income Statement'!CJ171</f>
        <v>54096</v>
      </c>
      <c r="DD45" s="270">
        <f>'Income Statement'!CO171</f>
        <v>0</v>
      </c>
      <c r="DE45" s="270">
        <f>'Income Statement'!CP171</f>
        <v>0</v>
      </c>
      <c r="DF45" s="270">
        <f>'Income Statement'!CQ171</f>
        <v>0</v>
      </c>
      <c r="DG45" s="270">
        <f>'Income Statement'!CR171</f>
        <v>0</v>
      </c>
      <c r="DH45" s="270">
        <f>'Income Statement'!CS171</f>
        <v>0</v>
      </c>
      <c r="DI45" s="270">
        <f>'Income Statement'!CT171</f>
        <v>0</v>
      </c>
    </row>
    <row r="46" spans="1:113" s="65" customFormat="1">
      <c r="A46" s="97" t="s">
        <v>471</v>
      </c>
      <c r="B46" s="97"/>
      <c r="C46" s="117"/>
      <c r="D46" s="117"/>
      <c r="E46" s="117"/>
      <c r="F46" s="117"/>
      <c r="G46" s="92"/>
      <c r="H46" s="92"/>
      <c r="I46" s="92"/>
      <c r="J46" s="92"/>
      <c r="K46" s="92"/>
      <c r="L46" s="92"/>
      <c r="M46" s="92"/>
      <c r="N46" s="92"/>
      <c r="O46" s="92"/>
      <c r="P46" s="92"/>
      <c r="Q46" s="92"/>
      <c r="R46" s="92"/>
      <c r="S46" s="92"/>
      <c r="T46" s="92"/>
      <c r="U46" s="92"/>
      <c r="V46" s="92"/>
      <c r="W46" s="92"/>
      <c r="X46" s="92"/>
      <c r="Y46" s="92"/>
      <c r="Z46" s="92"/>
      <c r="AA46" s="92">
        <f>'Income Statement'!AC172</f>
        <v>0</v>
      </c>
      <c r="AB46" s="92">
        <f>'Income Statement'!AD172</f>
        <v>0</v>
      </c>
      <c r="AC46" s="92">
        <f>'Income Statement'!AE172</f>
        <v>0</v>
      </c>
      <c r="AD46" s="92">
        <f>'Income Statement'!AF172</f>
        <v>0</v>
      </c>
      <c r="AE46" s="92">
        <f>'Income Statement'!AH172</f>
        <v>0</v>
      </c>
      <c r="AF46" s="92">
        <f>'Income Statement'!AI172</f>
        <v>0</v>
      </c>
      <c r="AG46" s="92">
        <f>'Income Statement'!AJ172</f>
        <v>0</v>
      </c>
      <c r="AH46" s="92">
        <f>'Income Statement'!AK172</f>
        <v>0</v>
      </c>
      <c r="AI46" s="92">
        <f>'Income Statement'!AM172</f>
        <v>0</v>
      </c>
      <c r="AJ46" s="92">
        <f>'Income Statement'!AN172</f>
        <v>0</v>
      </c>
      <c r="AK46" s="92">
        <f>'Income Statement'!AO172</f>
        <v>0</v>
      </c>
      <c r="AL46" s="92">
        <f>'Income Statement'!AP172</f>
        <v>0</v>
      </c>
      <c r="AM46" s="92">
        <f>'Income Statement'!AR172</f>
        <v>0</v>
      </c>
      <c r="AN46" s="92">
        <f>'Income Statement'!AS172</f>
        <v>0</v>
      </c>
      <c r="AO46" s="92">
        <f>'Income Statement'!AT172</f>
        <v>0</v>
      </c>
      <c r="AP46" s="92">
        <f>'Income Statement'!AU172</f>
        <v>0.63</v>
      </c>
      <c r="AQ46" s="92">
        <f>'Income Statement'!AW172</f>
        <v>0</v>
      </c>
      <c r="AR46" s="92">
        <f>'Income Statement'!AX172</f>
        <v>0</v>
      </c>
      <c r="AS46" s="92">
        <f>'Income Statement'!AY172</f>
        <v>0</v>
      </c>
      <c r="AT46" s="92">
        <f>'Income Statement'!AZ172</f>
        <v>0</v>
      </c>
      <c r="AU46" s="92">
        <f>'Income Statement'!BB172</f>
        <v>41454.199999999997</v>
      </c>
      <c r="AV46" s="92">
        <f>'Income Statement'!BC172</f>
        <v>41794.160000000003</v>
      </c>
      <c r="AW46" s="92">
        <f>'Income Statement'!BD172</f>
        <v>43087.200000000004</v>
      </c>
      <c r="AX46" s="92">
        <f>'Income Statement'!BE172</f>
        <v>45025.38</v>
      </c>
      <c r="AY46" s="92">
        <f>'Income Statement'!BG172</f>
        <v>0.85936007259528124</v>
      </c>
      <c r="AZ46" s="92">
        <f>'Income Statement'!BH172</f>
        <v>0.87936254416961124</v>
      </c>
      <c r="BA46" s="92">
        <f>'Income Statement'!BI172</f>
        <v>0.88</v>
      </c>
      <c r="BB46" s="92">
        <f>'Income Statement'!BJ172</f>
        <v>0.88</v>
      </c>
      <c r="BC46" s="92">
        <f>'Income Statement'!BL172</f>
        <v>0.87999999999999989</v>
      </c>
      <c r="BD46" s="92">
        <f>'Income Statement'!BM172</f>
        <v>0.89</v>
      </c>
      <c r="BE46" s="92">
        <f>'Income Statement'!BN172</f>
        <v>0.9</v>
      </c>
      <c r="BF46" s="92">
        <f>'Income Statement'!BO172</f>
        <v>0.91</v>
      </c>
      <c r="BG46" s="92">
        <f>'Income Statement'!BQ172</f>
        <v>0.92</v>
      </c>
      <c r="BH46" s="92">
        <f>'Income Statement'!BR172</f>
        <v>0.92</v>
      </c>
      <c r="BI46" s="92">
        <f>'Income Statement'!BS172</f>
        <v>0.92000000000000015</v>
      </c>
      <c r="BJ46" s="92">
        <f>'Income Statement'!BT172</f>
        <v>0.92</v>
      </c>
      <c r="BK46" s="92">
        <f>'Income Statement'!BV172</f>
        <v>0.93</v>
      </c>
      <c r="BL46" s="92">
        <f>'Income Statement'!BW172</f>
        <v>0.92000000000000015</v>
      </c>
      <c r="BM46" s="92">
        <f>'Income Statement'!BX172</f>
        <v>0.92</v>
      </c>
      <c r="BN46" s="92">
        <f>'Income Statement'!BY172</f>
        <v>0.92</v>
      </c>
      <c r="BO46" s="92">
        <f>'Income Statement'!CA172</f>
        <v>0.93</v>
      </c>
      <c r="BP46" s="92">
        <f>'Income Statement'!CB172</f>
        <v>0.93</v>
      </c>
      <c r="BQ46" s="92">
        <f>'Income Statement'!CC172</f>
        <v>0.92</v>
      </c>
      <c r="BR46" s="92">
        <f>'Income Statement'!CD172</f>
        <v>0.92</v>
      </c>
      <c r="BS46" s="92">
        <f>'Income Statement'!CF172</f>
        <v>0.92</v>
      </c>
      <c r="BT46" s="92">
        <f>'Income Statement'!CG172</f>
        <v>0.92</v>
      </c>
      <c r="BU46" s="92">
        <f>'Income Statement'!CH172</f>
        <v>0.92</v>
      </c>
      <c r="BV46" s="92">
        <f>'Income Statement'!CI172</f>
        <v>0.92</v>
      </c>
      <c r="BW46" s="92">
        <f>'Income Statement'!CK172</f>
        <v>0.92</v>
      </c>
      <c r="BX46" s="92">
        <f>'Income Statement'!CL172</f>
        <v>0.92</v>
      </c>
      <c r="BY46" s="1546">
        <f>'Income Statement'!CM172</f>
        <v>0.92</v>
      </c>
      <c r="CC46" s="316"/>
      <c r="CJ46" t="s">
        <v>471</v>
      </c>
      <c r="CK46"/>
      <c r="CL46" s="272">
        <f>'Income Statement'!C172</f>
        <v>0</v>
      </c>
      <c r="CM46" s="272">
        <f>'Income Statement'!H172</f>
        <v>0</v>
      </c>
      <c r="CN46" s="272">
        <f>'Income Statement'!M172</f>
        <v>0</v>
      </c>
      <c r="CO46" s="272">
        <f>'Income Statement'!R172</f>
        <v>0</v>
      </c>
      <c r="CP46" s="272">
        <f>'Income Statement'!W172</f>
        <v>0</v>
      </c>
      <c r="CQ46" s="272">
        <f>'Income Statement'!AB172</f>
        <v>0</v>
      </c>
      <c r="CR46" s="272">
        <f>'Income Statement'!AG172</f>
        <v>0</v>
      </c>
      <c r="CS46" s="272">
        <f>'Income Statement'!AL172</f>
        <v>0</v>
      </c>
      <c r="CT46" s="272">
        <f>'Income Statement'!AQ172</f>
        <v>0</v>
      </c>
      <c r="CU46" s="272">
        <f>'Income Statement'!AV172</f>
        <v>0</v>
      </c>
      <c r="CV46" s="272">
        <f>'Income Statement'!BA172</f>
        <v>0</v>
      </c>
      <c r="CW46" s="272">
        <f>'Income Statement'!BF172</f>
        <v>42840.235000000001</v>
      </c>
      <c r="CX46" s="272">
        <f>'Income Statement'!BK172</f>
        <v>0.87468065419122309</v>
      </c>
      <c r="CY46" s="272">
        <f>'Income Statement'!BP172</f>
        <v>0.89500000000000002</v>
      </c>
      <c r="CZ46" s="272">
        <f>'Income Statement'!BU172</f>
        <v>0.92</v>
      </c>
      <c r="DA46" s="272">
        <f>'Income Statement'!BZ172</f>
        <v>0.92249999999999999</v>
      </c>
      <c r="DB46" s="272">
        <f>'Income Statement'!CE172</f>
        <v>0.92500000000000004</v>
      </c>
      <c r="DC46" s="272">
        <f>'Income Statement'!CJ172</f>
        <v>0.92</v>
      </c>
      <c r="DD46" s="272">
        <f>'Income Statement'!CO172</f>
        <v>0</v>
      </c>
      <c r="DE46" s="272">
        <f>'Income Statement'!CP172</f>
        <v>0</v>
      </c>
      <c r="DF46" s="272">
        <f>'Income Statement'!CQ172</f>
        <v>0</v>
      </c>
      <c r="DG46" s="272">
        <f>'Income Statement'!CR172</f>
        <v>0</v>
      </c>
      <c r="DH46" s="272">
        <f>'Income Statement'!CS172</f>
        <v>0</v>
      </c>
      <c r="DI46" s="272">
        <f>'Income Statement'!CT172</f>
        <v>0</v>
      </c>
    </row>
    <row r="47" spans="1:113">
      <c r="A47" s="96" t="s">
        <v>472</v>
      </c>
      <c r="B47" s="96"/>
      <c r="C47" s="118"/>
      <c r="D47" s="118"/>
      <c r="E47" s="118"/>
      <c r="F47" s="118"/>
      <c r="G47" s="118"/>
      <c r="H47" s="118"/>
      <c r="I47" s="118"/>
      <c r="J47" s="118"/>
      <c r="K47" s="118"/>
      <c r="L47" s="118"/>
      <c r="M47" s="118"/>
      <c r="N47" s="118"/>
      <c r="O47" s="118">
        <f t="shared" ref="O47:BK47" si="115">O50/O31</f>
        <v>0.33751962323390894</v>
      </c>
      <c r="P47" s="118">
        <f t="shared" si="115"/>
        <v>0.35187057633973712</v>
      </c>
      <c r="Q47" s="118">
        <f t="shared" si="115"/>
        <v>0.35787671232876711</v>
      </c>
      <c r="R47" s="118">
        <f t="shared" si="115"/>
        <v>0.38833138856476079</v>
      </c>
      <c r="S47" s="118">
        <f t="shared" si="115"/>
        <v>0.41306998293099245</v>
      </c>
      <c r="T47" s="118">
        <f t="shared" si="115"/>
        <v>0.42317801672640382</v>
      </c>
      <c r="U47" s="118">
        <f t="shared" si="115"/>
        <v>0.43870382959438026</v>
      </c>
      <c r="V47" s="118">
        <f t="shared" si="115"/>
        <v>0.44294857647318475</v>
      </c>
      <c r="W47" s="118">
        <f t="shared" si="115"/>
        <v>0.44353410097431356</v>
      </c>
      <c r="X47" s="118">
        <f t="shared" si="115"/>
        <v>0.4273327828241123</v>
      </c>
      <c r="Y47" s="118">
        <f t="shared" si="115"/>
        <v>0.42671009771986973</v>
      </c>
      <c r="Z47" s="118">
        <f t="shared" si="115"/>
        <v>0.42803030303030304</v>
      </c>
      <c r="AA47" s="118">
        <f t="shared" si="115"/>
        <v>0.51595058085930301</v>
      </c>
      <c r="AB47" s="118">
        <f t="shared" si="115"/>
        <v>0.52096436058700213</v>
      </c>
      <c r="AC47" s="118">
        <f t="shared" si="115"/>
        <v>0.53518794502401057</v>
      </c>
      <c r="AD47" s="118">
        <f t="shared" si="115"/>
        <v>0.54136840352921589</v>
      </c>
      <c r="AE47" s="118">
        <f t="shared" si="115"/>
        <v>0.46679802955665023</v>
      </c>
      <c r="AF47" s="118">
        <f t="shared" si="115"/>
        <v>0.49790575916230367</v>
      </c>
      <c r="AG47" s="118">
        <f t="shared" si="115"/>
        <v>0.50462720447005416</v>
      </c>
      <c r="AH47" s="118">
        <f t="shared" si="115"/>
        <v>0.51236559139784943</v>
      </c>
      <c r="AI47" s="118">
        <f t="shared" si="115"/>
        <v>0.50923985521051629</v>
      </c>
      <c r="AJ47" s="118">
        <f t="shared" si="115"/>
        <v>0.50111773472429211</v>
      </c>
      <c r="AK47" s="118">
        <f t="shared" si="115"/>
        <v>0.48542300125201215</v>
      </c>
      <c r="AL47" s="118">
        <f t="shared" si="115"/>
        <v>0.50444049733570162</v>
      </c>
      <c r="AM47" s="118">
        <f t="shared" si="115"/>
        <v>0.52230378317334836</v>
      </c>
      <c r="AN47" s="118">
        <f t="shared" si="115"/>
        <v>0.35942845642986515</v>
      </c>
      <c r="AO47" s="118">
        <f t="shared" si="115"/>
        <v>0.4219837010534685</v>
      </c>
      <c r="AP47" s="118">
        <f t="shared" si="115"/>
        <v>0.48516231826329415</v>
      </c>
      <c r="AQ47" s="118">
        <f t="shared" si="115"/>
        <v>0.52589799563405437</v>
      </c>
      <c r="AR47" s="118">
        <f t="shared" si="115"/>
        <v>0.58097686375321334</v>
      </c>
      <c r="AS47" s="118">
        <f t="shared" si="115"/>
        <v>0.61821058182457378</v>
      </c>
      <c r="AT47" s="118">
        <f t="shared" si="115"/>
        <v>0.65373238211240647</v>
      </c>
      <c r="AU47" s="118">
        <f t="shared" si="115"/>
        <v>0.67036990205667235</v>
      </c>
      <c r="AV47" s="118">
        <f t="shared" si="115"/>
        <v>0.68227655587877867</v>
      </c>
      <c r="AW47" s="118">
        <f t="shared" si="115"/>
        <v>0.73742382421148389</v>
      </c>
      <c r="AX47" s="118">
        <f t="shared" si="115"/>
        <v>0.76988680087147943</v>
      </c>
      <c r="AY47" s="118">
        <f t="shared" si="115"/>
        <v>0.77691067069042485</v>
      </c>
      <c r="AZ47" s="118">
        <f t="shared" si="115"/>
        <v>0.79448550425662667</v>
      </c>
      <c r="BA47" s="118">
        <f t="shared" si="115"/>
        <v>0.8212023683674331</v>
      </c>
      <c r="BB47" s="118">
        <f t="shared" si="115"/>
        <v>0.82858892226672509</v>
      </c>
      <c r="BC47" s="118">
        <f t="shared" si="115"/>
        <v>0.83559701783135409</v>
      </c>
      <c r="BD47" s="118">
        <f t="shared" si="115"/>
        <v>0.85882073699233363</v>
      </c>
      <c r="BE47" s="118">
        <f t="shared" si="115"/>
        <v>0.86517988861646111</v>
      </c>
      <c r="BF47" s="118">
        <f t="shared" si="115"/>
        <v>0.85503665702074494</v>
      </c>
      <c r="BG47" s="118">
        <f t="shared" si="115"/>
        <v>0.86308415246560821</v>
      </c>
      <c r="BH47" s="118">
        <f t="shared" si="115"/>
        <v>0.87648933317238586</v>
      </c>
      <c r="BI47" s="118">
        <f t="shared" si="115"/>
        <v>0.88104384504293443</v>
      </c>
      <c r="BJ47" s="118">
        <f t="shared" si="115"/>
        <v>0.87821765676228314</v>
      </c>
      <c r="BK47" s="118">
        <f t="shared" si="115"/>
        <v>0.87658681123971172</v>
      </c>
      <c r="BL47" s="318">
        <f>BL50/7317</f>
        <v>0.90788574552412193</v>
      </c>
      <c r="BM47" s="118">
        <f t="shared" ref="BM47:BN47" si="116">BM50/BM31</f>
        <v>0.92044311416855862</v>
      </c>
      <c r="BN47" s="118">
        <f t="shared" si="116"/>
        <v>0.91855842762576567</v>
      </c>
      <c r="BO47" s="118">
        <f t="shared" ref="BO47:BP47" si="117">BO50/BO31</f>
        <v>0.93132608974587061</v>
      </c>
      <c r="BP47" s="118">
        <f t="shared" si="117"/>
        <v>0.92512152009515392</v>
      </c>
      <c r="BQ47" s="118">
        <f t="shared" ref="BQ47:BR47" si="118">BQ50/BQ31</f>
        <v>0.91595846201666442</v>
      </c>
      <c r="BR47" s="118">
        <f t="shared" si="118"/>
        <v>0.92394467592520235</v>
      </c>
      <c r="BS47" s="118">
        <f t="shared" ref="BS47:BT47" si="119">BS50/BS31</f>
        <v>0.94565362580136691</v>
      </c>
      <c r="BT47" s="118">
        <f t="shared" si="119"/>
        <v>0.95181093438438391</v>
      </c>
      <c r="BU47" s="118">
        <f t="shared" ref="BU47:BW47" si="120">BU50/BU31</f>
        <v>0.93172825766568634</v>
      </c>
      <c r="BV47" s="118">
        <f t="shared" si="120"/>
        <v>0.92864771884102659</v>
      </c>
      <c r="BW47" s="118">
        <f t="shared" si="120"/>
        <v>0.93058136734696528</v>
      </c>
      <c r="BX47" s="118">
        <f t="shared" ref="BX47" si="121">BX50/BX31</f>
        <v>0.92427532578558336</v>
      </c>
      <c r="BY47" s="1537">
        <f>BY50/BY31</f>
        <v>0.9098408052639223</v>
      </c>
      <c r="CC47" s="316"/>
      <c r="CJ47" t="s">
        <v>472</v>
      </c>
      <c r="CL47" s="300">
        <f t="shared" ref="CL47:CT47" si="122">CL50/CL31</f>
        <v>0</v>
      </c>
      <c r="CM47" s="300">
        <f t="shared" si="122"/>
        <v>0</v>
      </c>
      <c r="CN47" s="300">
        <f t="shared" si="122"/>
        <v>0.28904939082220765</v>
      </c>
      <c r="CO47" s="300">
        <f t="shared" si="122"/>
        <v>0.33270332187857959</v>
      </c>
      <c r="CP47" s="300">
        <f t="shared" si="122"/>
        <v>0.37750520205892019</v>
      </c>
      <c r="CQ47" s="300">
        <f t="shared" si="122"/>
        <v>0.40283275311173639</v>
      </c>
      <c r="CR47" s="300">
        <f t="shared" si="122"/>
        <v>0.42067149440421331</v>
      </c>
      <c r="CS47" s="300">
        <f t="shared" si="122"/>
        <v>0.46764705882352942</v>
      </c>
      <c r="CT47" s="300">
        <f t="shared" si="122"/>
        <v>0.47682900196549466</v>
      </c>
      <c r="CU47" s="300">
        <f t="shared" ref="CU47:DG47" si="123">CU50/CU31</f>
        <v>0.51975940825153755</v>
      </c>
      <c r="CV47" s="300">
        <f t="shared" si="123"/>
        <v>0.63420742552589426</v>
      </c>
      <c r="CW47" s="300">
        <f t="shared" si="123"/>
        <v>0.72352746841480498</v>
      </c>
      <c r="CX47" s="300">
        <f t="shared" si="123"/>
        <v>0.84773884119140008</v>
      </c>
      <c r="CY47" s="300">
        <f t="shared" si="123"/>
        <v>0.88738657312764158</v>
      </c>
      <c r="CZ47" s="272">
        <f t="shared" si="123"/>
        <v>0.90182669052742348</v>
      </c>
      <c r="DA47" s="272">
        <f t="shared" si="123"/>
        <v>0.92020241400023262</v>
      </c>
      <c r="DB47" s="300">
        <f t="shared" si="123"/>
        <v>0.90964073460434902</v>
      </c>
      <c r="DC47" s="300">
        <f t="shared" si="123"/>
        <v>0</v>
      </c>
      <c r="DD47" s="300">
        <f t="shared" si="123"/>
        <v>0</v>
      </c>
      <c r="DE47" s="300">
        <f t="shared" si="123"/>
        <v>0</v>
      </c>
      <c r="DF47" s="300">
        <f t="shared" si="123"/>
        <v>0</v>
      </c>
      <c r="DG47" s="300">
        <f t="shared" si="123"/>
        <v>0</v>
      </c>
      <c r="DH47" s="300">
        <f t="shared" ref="DH47:DI47" si="124">DH50/DH31</f>
        <v>0</v>
      </c>
      <c r="DI47" s="300">
        <f t="shared" si="124"/>
        <v>0</v>
      </c>
    </row>
    <row r="48" spans="1:113">
      <c r="A48" s="96" t="s">
        <v>473</v>
      </c>
      <c r="B48" s="96"/>
      <c r="C48" s="118"/>
      <c r="D48" s="118"/>
      <c r="E48" s="118"/>
      <c r="F48" s="118"/>
      <c r="G48" s="118"/>
      <c r="H48" s="118"/>
      <c r="I48" s="118"/>
      <c r="J48" s="118"/>
      <c r="K48" s="118"/>
      <c r="L48" s="118"/>
      <c r="M48" s="118"/>
      <c r="N48" s="118"/>
      <c r="O48" s="118">
        <f t="shared" ref="O48:BK48" si="125">O51/O31</f>
        <v>0.13134484563055993</v>
      </c>
      <c r="P48" s="118">
        <f t="shared" si="125"/>
        <v>0.13725985844287159</v>
      </c>
      <c r="Q48" s="118">
        <f t="shared" si="125"/>
        <v>0.1440802348336595</v>
      </c>
      <c r="R48" s="118">
        <f t="shared" si="125"/>
        <v>0.16289381563593933</v>
      </c>
      <c r="S48" s="118">
        <f t="shared" si="125"/>
        <v>0.17581077785905877</v>
      </c>
      <c r="T48" s="118">
        <f t="shared" si="125"/>
        <v>0.19569892473118281</v>
      </c>
      <c r="U48" s="118">
        <f t="shared" si="125"/>
        <v>0.20462270564242013</v>
      </c>
      <c r="V48" s="118">
        <f t="shared" si="125"/>
        <v>0.19598322666078127</v>
      </c>
      <c r="W48" s="118">
        <f t="shared" si="125"/>
        <v>0.18976970770593446</v>
      </c>
      <c r="X48" s="118">
        <f t="shared" si="125"/>
        <v>0.18703550784475639</v>
      </c>
      <c r="Y48" s="118">
        <f t="shared" si="125"/>
        <v>0.18317685380341062</v>
      </c>
      <c r="Z48" s="118">
        <f t="shared" si="125"/>
        <v>0.19916267942583732</v>
      </c>
      <c r="AA48" s="118">
        <f t="shared" si="125"/>
        <v>0.15876820947814863</v>
      </c>
      <c r="AB48" s="118">
        <f t="shared" si="125"/>
        <v>0.16072676450034939</v>
      </c>
      <c r="AC48" s="118">
        <f t="shared" si="125"/>
        <v>0.16774300380857757</v>
      </c>
      <c r="AD48" s="118">
        <f t="shared" si="125"/>
        <v>0.17745963043116364</v>
      </c>
      <c r="AE48" s="118">
        <f t="shared" si="125"/>
        <v>0.22108374384236454</v>
      </c>
      <c r="AF48" s="118">
        <f t="shared" si="125"/>
        <v>0.2486910994764398</v>
      </c>
      <c r="AG48" s="118">
        <f t="shared" si="125"/>
        <v>0.25336127117164309</v>
      </c>
      <c r="AH48" s="118">
        <f t="shared" si="125"/>
        <v>0.26272401433691756</v>
      </c>
      <c r="AI48" s="118">
        <f t="shared" si="125"/>
        <v>0.27567155648694991</v>
      </c>
      <c r="AJ48" s="118">
        <f t="shared" si="125"/>
        <v>0.27347242921013415</v>
      </c>
      <c r="AK48" s="118">
        <f t="shared" si="125"/>
        <v>0.2747272402074763</v>
      </c>
      <c r="AL48" s="118">
        <f t="shared" si="125"/>
        <v>0.31349911190053287</v>
      </c>
      <c r="AM48" s="118">
        <f t="shared" si="125"/>
        <v>0.33540372670807456</v>
      </c>
      <c r="AN48" s="118">
        <f t="shared" si="125"/>
        <v>0.35942845642986515</v>
      </c>
      <c r="AO48" s="118">
        <f t="shared" si="125"/>
        <v>0.4219837010534685</v>
      </c>
      <c r="AP48" s="118">
        <f t="shared" si="125"/>
        <v>0.48516231826329415</v>
      </c>
      <c r="AQ48" s="118">
        <f t="shared" si="125"/>
        <v>0.52589799563405437</v>
      </c>
      <c r="AR48" s="118">
        <f t="shared" si="125"/>
        <v>0.58097686375321334</v>
      </c>
      <c r="AS48" s="118">
        <f t="shared" si="125"/>
        <v>0.61821058182457378</v>
      </c>
      <c r="AT48" s="118">
        <f t="shared" si="125"/>
        <v>0.65373238211240647</v>
      </c>
      <c r="AU48" s="118">
        <f t="shared" si="125"/>
        <v>0.67036990205667235</v>
      </c>
      <c r="AV48" s="118">
        <f t="shared" si="125"/>
        <v>0.68227655587877867</v>
      </c>
      <c r="AW48" s="118">
        <f t="shared" si="125"/>
        <v>0.73742382421148389</v>
      </c>
      <c r="AX48" s="118">
        <f t="shared" si="125"/>
        <v>0.76988680087147943</v>
      </c>
      <c r="AY48" s="118">
        <f t="shared" si="125"/>
        <v>0.77691067069042485</v>
      </c>
      <c r="AZ48" s="118">
        <f t="shared" si="125"/>
        <v>0.79448550425662667</v>
      </c>
      <c r="BA48" s="118">
        <f t="shared" si="125"/>
        <v>0.8212023683674331</v>
      </c>
      <c r="BB48" s="118">
        <f t="shared" si="125"/>
        <v>0.82858892226672509</v>
      </c>
      <c r="BC48" s="118">
        <f t="shared" si="125"/>
        <v>0.83559701783135409</v>
      </c>
      <c r="BD48" s="118">
        <f t="shared" si="125"/>
        <v>0.85882073699233363</v>
      </c>
      <c r="BE48" s="118">
        <f t="shared" si="125"/>
        <v>0.86517988861646111</v>
      </c>
      <c r="BF48" s="118">
        <f t="shared" si="125"/>
        <v>0.85503665702074494</v>
      </c>
      <c r="BG48" s="118">
        <f t="shared" si="125"/>
        <v>0.86308415246560821</v>
      </c>
      <c r="BH48" s="118">
        <f t="shared" si="125"/>
        <v>0.87648933317238586</v>
      </c>
      <c r="BI48" s="118">
        <f t="shared" si="125"/>
        <v>0.88104384504293443</v>
      </c>
      <c r="BJ48" s="118">
        <f t="shared" si="125"/>
        <v>0.87821765676228314</v>
      </c>
      <c r="BK48" s="118">
        <f t="shared" si="125"/>
        <v>0.87658681123971172</v>
      </c>
      <c r="BL48" s="318">
        <f>BL51/7317</f>
        <v>0.90788574552412193</v>
      </c>
      <c r="BM48" s="118">
        <f t="shared" ref="BM48:BN48" si="126">BM51/BM31</f>
        <v>0.92044311416855862</v>
      </c>
      <c r="BN48" s="118">
        <f t="shared" si="126"/>
        <v>0.91855842762576567</v>
      </c>
      <c r="BO48" s="118">
        <f t="shared" ref="BO48:BP48" si="127">BO51/BO31</f>
        <v>0.93132608974587061</v>
      </c>
      <c r="BP48" s="118">
        <f t="shared" si="127"/>
        <v>0.92512152009515392</v>
      </c>
      <c r="BQ48" s="118">
        <f t="shared" ref="BQ48:BR48" si="128">BQ51/BQ31</f>
        <v>0.91595846201666442</v>
      </c>
      <c r="BR48" s="118">
        <f t="shared" si="128"/>
        <v>0.92394467592520235</v>
      </c>
      <c r="BS48" s="118">
        <f t="shared" ref="BS48:BT48" si="129">BS51/BS31</f>
        <v>0.94565362580136691</v>
      </c>
      <c r="BT48" s="118">
        <f t="shared" si="129"/>
        <v>0.95181093438438391</v>
      </c>
      <c r="BU48" s="118">
        <f t="shared" ref="BU48:BW48" si="130">BU51/BU31</f>
        <v>0.93172825766568634</v>
      </c>
      <c r="BV48" s="118">
        <f t="shared" si="130"/>
        <v>0.92864771884102659</v>
      </c>
      <c r="BW48" s="118">
        <f t="shared" si="130"/>
        <v>0.93058136734696528</v>
      </c>
      <c r="BX48" s="118">
        <f t="shared" ref="BX48" si="131">BX51/BX31</f>
        <v>0.92427532578558336</v>
      </c>
      <c r="BY48" s="1537">
        <f>BY51/BY31</f>
        <v>0.9098408052639223</v>
      </c>
      <c r="CC48" s="316"/>
      <c r="CJ48" t="s">
        <v>473</v>
      </c>
      <c r="CL48" s="300">
        <f t="shared" ref="CL48:CT48" si="132">CL51/CL31</f>
        <v>0</v>
      </c>
      <c r="CM48" s="300">
        <f t="shared" si="132"/>
        <v>0</v>
      </c>
      <c r="CN48" s="300">
        <f t="shared" si="132"/>
        <v>9.1850879112862036E-2</v>
      </c>
      <c r="CO48" s="300">
        <f t="shared" si="132"/>
        <v>0.13356242840778923</v>
      </c>
      <c r="CP48" s="300">
        <f t="shared" si="132"/>
        <v>0.1542547366115431</v>
      </c>
      <c r="CQ48" s="300">
        <f t="shared" si="132"/>
        <v>0.17730936143831369</v>
      </c>
      <c r="CR48" s="300">
        <f t="shared" si="132"/>
        <v>0.18151039217530329</v>
      </c>
      <c r="CS48" s="300">
        <f t="shared" si="132"/>
        <v>0.23290707587382778</v>
      </c>
      <c r="CT48" s="300">
        <f t="shared" si="132"/>
        <v>0.27150032758244158</v>
      </c>
      <c r="CU48" s="300">
        <f t="shared" ref="CU48:DG48" si="133">CU51/CU31</f>
        <v>0.38081626915327305</v>
      </c>
      <c r="CV48" s="300">
        <f t="shared" si="133"/>
        <v>0.57150342779791274</v>
      </c>
      <c r="CW48" s="300">
        <f t="shared" si="133"/>
        <v>0.66856121406810431</v>
      </c>
      <c r="CX48" s="300">
        <f t="shared" si="133"/>
        <v>0.8058775024816125</v>
      </c>
      <c r="CY48" s="300">
        <f t="shared" si="133"/>
        <v>0.85370136869429714</v>
      </c>
      <c r="CZ48" s="272">
        <f t="shared" si="133"/>
        <v>0.87497033159465565</v>
      </c>
      <c r="DA48" s="272">
        <f t="shared" si="133"/>
        <v>0.90024725144065287</v>
      </c>
      <c r="DB48" s="300">
        <f t="shared" si="133"/>
        <v>0.90964073460434902</v>
      </c>
      <c r="DC48" s="300">
        <f t="shared" si="133"/>
        <v>0</v>
      </c>
      <c r="DD48" s="300">
        <f t="shared" si="133"/>
        <v>0</v>
      </c>
      <c r="DE48" s="300">
        <f t="shared" si="133"/>
        <v>0</v>
      </c>
      <c r="DF48" s="300">
        <f t="shared" si="133"/>
        <v>0</v>
      </c>
      <c r="DG48" s="300">
        <f t="shared" si="133"/>
        <v>0</v>
      </c>
      <c r="DH48" s="300">
        <f t="shared" ref="DH48:DI48" si="134">DH51/DH31</f>
        <v>0</v>
      </c>
      <c r="DI48" s="300">
        <f t="shared" si="134"/>
        <v>0</v>
      </c>
    </row>
    <row r="49" spans="1:113">
      <c r="A49" s="96" t="s">
        <v>474</v>
      </c>
      <c r="B49" s="96"/>
      <c r="C49" s="116"/>
      <c r="D49" s="116"/>
      <c r="E49" s="116"/>
      <c r="F49" s="116"/>
      <c r="G49" s="116"/>
      <c r="H49" s="116"/>
      <c r="I49" s="116"/>
      <c r="J49" s="116"/>
      <c r="K49" s="116"/>
      <c r="L49" s="116"/>
      <c r="M49" s="116"/>
      <c r="N49" s="116"/>
      <c r="O49" s="116">
        <f>'Income Statement'!N210</f>
        <v>2076</v>
      </c>
      <c r="P49" s="116">
        <f>'Income Statement'!O210</f>
        <v>2099</v>
      </c>
      <c r="Q49" s="116">
        <f>'Income Statement'!P210</f>
        <v>2142</v>
      </c>
      <c r="R49" s="116">
        <f>'Income Statement'!Q210</f>
        <v>2140</v>
      </c>
      <c r="S49" s="116">
        <f>'Income Statement'!S210</f>
        <v>1945</v>
      </c>
      <c r="T49" s="116">
        <f>'Income Statement'!T210</f>
        <v>1931</v>
      </c>
      <c r="U49" s="116">
        <f>'Income Statement'!U210</f>
        <v>1954</v>
      </c>
      <c r="V49" s="116">
        <f>'Income Statement'!V210</f>
        <v>2034</v>
      </c>
      <c r="W49" s="116">
        <f>'Income Statement'!X210</f>
        <v>2032</v>
      </c>
      <c r="X49" s="116">
        <f>'Income Statement'!Y210</f>
        <v>2099</v>
      </c>
      <c r="Y49" s="116">
        <f>'Income Statement'!Z210</f>
        <v>2126</v>
      </c>
      <c r="Z49" s="116">
        <f>'Income Statement'!AA210</f>
        <v>2051</v>
      </c>
      <c r="AA49" s="116">
        <f>'Income Statement'!AC210</f>
        <v>1814</v>
      </c>
      <c r="AB49" s="116">
        <f>'Income Statement'!AD210</f>
        <v>1925</v>
      </c>
      <c r="AC49" s="116">
        <f>'Income Statement'!AE210</f>
        <v>1983</v>
      </c>
      <c r="AD49" s="116">
        <f>'Income Statement'!AF210</f>
        <v>1966</v>
      </c>
      <c r="AE49" s="116">
        <f>'Income Statement'!AH210</f>
        <v>1875</v>
      </c>
      <c r="AF49" s="116">
        <f>'Income Statement'!AI210</f>
        <v>2055</v>
      </c>
      <c r="AG49" s="116">
        <f>'Income Statement'!AJ210</f>
        <v>2013</v>
      </c>
      <c r="AH49" s="116">
        <f>'Income Statement'!AK210</f>
        <v>1994</v>
      </c>
      <c r="AI49" s="116">
        <f>'Income Statement'!AM210</f>
        <v>1869</v>
      </c>
      <c r="AJ49" s="116">
        <f>'Income Statement'!AN210</f>
        <v>1995</v>
      </c>
      <c r="AK49" s="116">
        <f>'Income Statement'!AO210</f>
        <v>2220</v>
      </c>
      <c r="AL49" s="116">
        <f>'Income Statement'!AP210</f>
        <v>2192</v>
      </c>
      <c r="AM49" s="116">
        <f>'Income Statement'!AR210</f>
        <v>2006</v>
      </c>
      <c r="AN49" s="116"/>
      <c r="AO49" s="116"/>
      <c r="AP49" s="116"/>
      <c r="AQ49" s="116"/>
      <c r="AR49" s="116"/>
      <c r="AS49" s="116"/>
      <c r="AT49" s="116"/>
      <c r="AU49" s="116"/>
      <c r="AV49" s="116"/>
      <c r="AW49" s="116"/>
      <c r="AX49" s="116"/>
      <c r="AY49" s="116"/>
      <c r="AZ49" s="116"/>
      <c r="BA49" s="116"/>
      <c r="BB49" s="116"/>
      <c r="BC49" s="116">
        <f>'Income Statement'!BL210</f>
        <v>0</v>
      </c>
      <c r="BD49" s="116">
        <f>'Income Statement'!BM210</f>
        <v>0</v>
      </c>
      <c r="BE49" s="116">
        <f>'Income Statement'!BN210</f>
        <v>0</v>
      </c>
      <c r="BF49" s="116">
        <f>'Income Statement'!BO210</f>
        <v>0</v>
      </c>
      <c r="BG49" s="116">
        <f>'Income Statement'!BQ210</f>
        <v>0</v>
      </c>
      <c r="BH49" s="116">
        <f>'Income Statement'!BR210</f>
        <v>0</v>
      </c>
      <c r="BI49" s="116">
        <f>'Income Statement'!BS210</f>
        <v>0</v>
      </c>
      <c r="BJ49" s="116">
        <f>'Income Statement'!BT210</f>
        <v>0</v>
      </c>
      <c r="BK49" s="116">
        <f>'Income Statement'!BV210</f>
        <v>0</v>
      </c>
      <c r="BL49" s="116">
        <f>'Income Statement'!BW210</f>
        <v>0</v>
      </c>
      <c r="BM49" s="116">
        <f>'Income Statement'!BX210</f>
        <v>0</v>
      </c>
      <c r="BN49" s="116">
        <f>'Income Statement'!BY210</f>
        <v>0</v>
      </c>
      <c r="BO49" s="116">
        <f>'Income Statement'!CA210</f>
        <v>0</v>
      </c>
      <c r="BP49" s="116">
        <f>'Income Statement'!CB210</f>
        <v>0</v>
      </c>
      <c r="BQ49" s="116">
        <f>'Income Statement'!CC210</f>
        <v>0</v>
      </c>
      <c r="BR49" s="116">
        <f>'Income Statement'!CD210</f>
        <v>0</v>
      </c>
      <c r="BS49" s="116">
        <f>'Income Statement'!CF210</f>
        <v>0</v>
      </c>
      <c r="BT49" s="116">
        <f>'Income Statement'!CG210</f>
        <v>0</v>
      </c>
      <c r="BU49" s="116">
        <f>'Income Statement'!CH210</f>
        <v>0</v>
      </c>
      <c r="BV49" s="116">
        <f>'Income Statement'!CI210</f>
        <v>0</v>
      </c>
      <c r="BW49" s="116">
        <f>'Income Statement'!CK210</f>
        <v>0</v>
      </c>
      <c r="BX49" s="116">
        <f>'Income Statement'!CL210</f>
        <v>0</v>
      </c>
      <c r="BY49" s="1532">
        <f>'Income Statement'!CM210</f>
        <v>0</v>
      </c>
      <c r="CC49" s="316"/>
      <c r="CJ49" t="s">
        <v>474</v>
      </c>
      <c r="CL49" s="270">
        <f>'Income Statement'!C210</f>
        <v>3866</v>
      </c>
      <c r="CM49" s="270">
        <f>'Income Statement'!H210</f>
        <v>6065</v>
      </c>
      <c r="CN49" s="270">
        <f>'Income Statement'!M210</f>
        <v>7064</v>
      </c>
      <c r="CO49" s="270">
        <f>'Income Statement'!R210</f>
        <v>8457</v>
      </c>
      <c r="CP49" s="270">
        <f>'Income Statement'!W210</f>
        <v>7864</v>
      </c>
      <c r="CQ49" s="270">
        <f>'Income Statement'!AB210</f>
        <v>8308</v>
      </c>
      <c r="CR49" s="270">
        <f>'Income Statement'!AG210</f>
        <v>7688</v>
      </c>
      <c r="CS49" s="270">
        <f>'Income Statement'!AL210</f>
        <v>7937</v>
      </c>
      <c r="CT49" s="270">
        <f>'Income Statement'!AQ210</f>
        <v>8276</v>
      </c>
      <c r="CU49" s="270">
        <f>'Income Statement'!AV210</f>
        <v>7450</v>
      </c>
      <c r="CV49" s="270">
        <f>'Income Statement'!BA210</f>
        <v>5736.0157480314956</v>
      </c>
      <c r="CW49" s="270">
        <f>'Income Statement'!BF210</f>
        <v>4535.9532926553675</v>
      </c>
      <c r="CX49" s="270">
        <f>'Income Statement'!BK210</f>
        <v>3731.2149223322026</v>
      </c>
      <c r="CY49" s="270">
        <f>'Income Statement'!BP210</f>
        <v>3061.1144663269497</v>
      </c>
      <c r="CZ49" s="270">
        <f>'Income Statement'!BU210</f>
        <v>2471.6569256071907</v>
      </c>
      <c r="DA49" s="270">
        <f>'Income Statement'!BZ210</f>
        <v>1968.2028212579992</v>
      </c>
      <c r="DB49" s="270">
        <f>'Income Statement'!CE210</f>
        <v>1567.0073323913982</v>
      </c>
      <c r="DC49" s="270">
        <f>'Income Statement'!CJ210</f>
        <v>0</v>
      </c>
      <c r="DD49" s="270">
        <f>'Income Statement'!CO210</f>
        <v>0</v>
      </c>
      <c r="DE49" s="270">
        <f>'Income Statement'!CP210</f>
        <v>0</v>
      </c>
      <c r="DF49" s="270">
        <f>'Income Statement'!CQ210</f>
        <v>0</v>
      </c>
      <c r="DG49" s="270">
        <f>'Income Statement'!CR210</f>
        <v>0</v>
      </c>
      <c r="DH49" s="270">
        <f>'Income Statement'!CS210</f>
        <v>0</v>
      </c>
      <c r="DI49" s="270">
        <f>'Income Statement'!CT210</f>
        <v>0</v>
      </c>
    </row>
    <row r="50" spans="1:113">
      <c r="A50" s="96" t="s">
        <v>475</v>
      </c>
      <c r="B50" s="96"/>
      <c r="C50" s="116"/>
      <c r="D50" s="116"/>
      <c r="E50" s="116"/>
      <c r="F50" s="116"/>
      <c r="G50" s="116"/>
      <c r="H50" s="116"/>
      <c r="I50" s="116"/>
      <c r="J50" s="116"/>
      <c r="K50" s="116"/>
      <c r="L50" s="116"/>
      <c r="M50" s="116"/>
      <c r="N50" s="116"/>
      <c r="O50" s="116">
        <f>'Income Statement'!N208+'Income Statement'!N212+'Income Statement'!N214</f>
        <v>1290</v>
      </c>
      <c r="P50" s="116">
        <f>'Income Statement'!O208+'Income Statement'!O212+'Income Statement'!O214</f>
        <v>1392</v>
      </c>
      <c r="Q50" s="116">
        <f>'Income Statement'!P208+'Income Statement'!P212+'Income Statement'!P214</f>
        <v>1463</v>
      </c>
      <c r="R50" s="116">
        <f>'Income Statement'!Q208+'Income Statement'!Q212+'Income Statement'!Q214</f>
        <v>1664</v>
      </c>
      <c r="S50" s="116">
        <f>'Income Statement'!S208+'Income Statement'!S212+'Income Statement'!S214</f>
        <v>1694</v>
      </c>
      <c r="T50" s="116">
        <f>'Income Statement'!T208+'Income Statement'!T212+'Income Statement'!T214</f>
        <v>1771</v>
      </c>
      <c r="U50" s="116">
        <f>'Income Statement'!U208+'Income Statement'!U212+'Income Statement'!U214</f>
        <v>1936</v>
      </c>
      <c r="V50" s="116">
        <f>'Income Statement'!V208+'Income Statement'!V212+'Income Statement'!V214</f>
        <v>2007</v>
      </c>
      <c r="W50" s="116">
        <f>'Income Statement'!X208+'Income Statement'!X212+'Income Statement'!X214</f>
        <v>2003</v>
      </c>
      <c r="X50" s="116">
        <f>'Income Statement'!Y208+'Income Statement'!Y212+'Income Statement'!Y214</f>
        <v>2070</v>
      </c>
      <c r="Y50" s="116">
        <f>'Income Statement'!Z208+'Income Statement'!Z212+'Income Statement'!Z214</f>
        <v>2227</v>
      </c>
      <c r="Z50" s="116">
        <f>'Income Statement'!AA208+'Income Statement'!AA212+'Income Statement'!AA214</f>
        <v>2147</v>
      </c>
      <c r="AA50" s="116">
        <f>'Income Statement'!AC208+'Income Statement'!AC212+'Income Statement'!AC214</f>
        <v>2798</v>
      </c>
      <c r="AB50" s="116">
        <f>'Income Statement'!AD208+'Income Statement'!AD212+'Income Statement'!AD214</f>
        <v>2982</v>
      </c>
      <c r="AC50" s="116">
        <f>'Income Statement'!AE208+'Income Statement'!AE212+'Income Statement'!AE214</f>
        <v>3232</v>
      </c>
      <c r="AD50" s="116">
        <f>'Income Statement'!AF208+'Income Statement'!AF212+'Income Statement'!AF214</f>
        <v>3252</v>
      </c>
      <c r="AE50" s="116">
        <f>'Income Statement'!AH208+'Income Statement'!AH212+'Income Statement'!AH214</f>
        <v>2369</v>
      </c>
      <c r="AF50" s="116">
        <f>'Income Statement'!AI208+'Income Statement'!AI212+'Income Statement'!AI214</f>
        <v>2853</v>
      </c>
      <c r="AG50" s="116">
        <f>'Income Statement'!AJ208+'Income Statement'!AJ212+'Income Statement'!AJ214</f>
        <v>2890</v>
      </c>
      <c r="AH50" s="116">
        <f>'Income Statement'!AK208+'Income Statement'!AK212+'Income Statement'!AK214</f>
        <v>2859</v>
      </c>
      <c r="AI50" s="116">
        <f>'Income Statement'!AM208+'Income Statement'!AM212+'Income Statement'!AM214</f>
        <v>2673</v>
      </c>
      <c r="AJ50" s="116">
        <f>'Income Statement'!AN208+'Income Statement'!AN212+'Income Statement'!AN214</f>
        <v>2690</v>
      </c>
      <c r="AK50" s="116">
        <f>'Income Statement'!AO208+'Income Statement'!AO212+'Income Statement'!AO214</f>
        <v>2714</v>
      </c>
      <c r="AL50" s="116">
        <f>'Income Statement'!AP208+'Income Statement'!AP212+'Income Statement'!AP214</f>
        <v>2840</v>
      </c>
      <c r="AM50" s="116">
        <f>'Income Statement'!AR208+'Income Statement'!AR212+'Income Statement'!AR214</f>
        <v>2775</v>
      </c>
      <c r="AN50" s="116">
        <f>'Income Statement'!AS208+'Income Statement'!AS212+'Income Statement'!AS214</f>
        <v>1786</v>
      </c>
      <c r="AO50" s="116">
        <f>'Income Statement'!AT208+'Income Statement'!AT212+'Income Statement'!AT214</f>
        <v>2123</v>
      </c>
      <c r="AP50" s="116">
        <f>'Income Statement'!AU208+'Income Statement'!AU212+'Income Statement'!AU214</f>
        <v>2436</v>
      </c>
      <c r="AQ50" s="116">
        <f>'Income Statement'!AW208+'Income Statement'!AW212+'Income Statement'!AW214</f>
        <v>2650</v>
      </c>
      <c r="AR50" s="116">
        <f>'Income Statement'!AX208+'Income Statement'!AX212+'Income Statement'!AX214</f>
        <v>3164</v>
      </c>
      <c r="AS50" s="116">
        <f>'Income Statement'!AY208+'Income Statement'!AY212+'Income Statement'!AY214</f>
        <v>3517</v>
      </c>
      <c r="AT50" s="116">
        <f>'Income Statement'!AZ208+'Income Statement'!AZ212+'Income Statement'!AZ214</f>
        <v>3757</v>
      </c>
      <c r="AU50" s="116">
        <f>'Income Statement'!BB208+'Income Statement'!BB212+'Income Statement'!BB214</f>
        <v>3462</v>
      </c>
      <c r="AV50" s="116">
        <f>'Income Statement'!BC208+'Income Statement'!BC212+'Income Statement'!BC214</f>
        <v>3527</v>
      </c>
      <c r="AW50" s="116">
        <f>'Income Statement'!BD208+'Income Statement'!BD212+'Income Statement'!BD214</f>
        <v>3985</v>
      </c>
      <c r="AX50" s="116">
        <f>'Income Statement'!BE208+'Income Statement'!BE212+'Income Statement'!BE214</f>
        <v>4362</v>
      </c>
      <c r="AY50" s="116">
        <f>'Income Statement'!BG208+'Income Statement'!BG212+'Income Statement'!BG214</f>
        <v>4636</v>
      </c>
      <c r="AZ50" s="116">
        <f>'Income Statement'!BH208+'Income Statement'!BH212+'Income Statement'!BH214</f>
        <v>4997</v>
      </c>
      <c r="BA50" s="116">
        <f>'Income Statement'!BI208+'Income Statement'!BI212+'Income Statement'!BI214</f>
        <v>5308</v>
      </c>
      <c r="BB50" s="116">
        <f>'Income Statement'!BJ208+'Income Statement'!BJ212+'Income Statement'!BJ214</f>
        <v>5313</v>
      </c>
      <c r="BC50" s="116">
        <f>'Income Statement'!BL208+'Income Statement'!BL212+'Income Statement'!BL214</f>
        <v>5429</v>
      </c>
      <c r="BD50" s="116">
        <f>'Income Statement'!BM208+'Income Statement'!BM212+'Income Statement'!BM214</f>
        <v>5659</v>
      </c>
      <c r="BE50" s="116">
        <f>'Income Statement'!BN208+'Income Statement'!BN212+'Income Statement'!BN214</f>
        <v>5684</v>
      </c>
      <c r="BF50" s="116">
        <f>'Income Statement'!BO208+'Income Statement'!BO212+'Income Statement'!BO214</f>
        <v>5432</v>
      </c>
      <c r="BG50" s="116">
        <f>'Income Statement'!BQ208+'Income Statement'!BQ212+'Income Statement'!BQ214</f>
        <v>5392</v>
      </c>
      <c r="BH50" s="116">
        <f>'Income Statement'!BR208+'Income Statement'!BR212+'Income Statement'!BR214</f>
        <v>5896</v>
      </c>
      <c r="BI50" s="116">
        <f>'Income Statement'!BS208+'Income Statement'!BS212+'Income Statement'!BS214</f>
        <v>6014</v>
      </c>
      <c r="BJ50" s="116">
        <f>'Income Statement'!BT208+'Income Statement'!BT212+'Income Statement'!BT214</f>
        <v>6107</v>
      </c>
      <c r="BK50" s="116">
        <f>'Income Statement'!BV208+'Income Statement'!BV212+'Income Statement'!BV214</f>
        <v>5910</v>
      </c>
      <c r="BL50" s="116">
        <f>'Income Statement'!BW208+'Income Statement'!BW212+'Income Statement'!BW214</f>
        <v>6643</v>
      </c>
      <c r="BM50" s="116">
        <f>'Income Statement'!BX208+'Income Statement'!BX212+'Income Statement'!BX214</f>
        <v>6846</v>
      </c>
      <c r="BN50" s="116">
        <f>'Income Statement'!BY208+'Income Statement'!BY212+'Income Statement'!BY214</f>
        <v>6836</v>
      </c>
      <c r="BO50" s="116">
        <f>'Income Statement'!CA208+'Income Statement'!CA212+'Income Statement'!CA214</f>
        <v>6910</v>
      </c>
      <c r="BP50" s="116">
        <f>'Income Statement'!CB208+'Income Statement'!CB212+'Income Statement'!CB214</f>
        <v>7501</v>
      </c>
      <c r="BQ50" s="116">
        <f>'Income Statement'!CC208+'Income Statement'!CC212+'Income Statement'!CC214</f>
        <v>7311</v>
      </c>
      <c r="BR50" s="116">
        <f>'Income Statement'!CD208+'Income Statement'!CD212+'Income Statement'!CD214</f>
        <v>7680</v>
      </c>
      <c r="BS50" s="116">
        <f>'Income Statement'!CF208+'Income Statement'!CF212+'Income Statement'!CF214</f>
        <v>7823</v>
      </c>
      <c r="BT50" s="116">
        <f>'Income Statement'!CG208+'Income Statement'!CG212+'Income Statement'!CG214</f>
        <v>8015.4740000000002</v>
      </c>
      <c r="BU50" s="116">
        <f>'Income Statement'!CH208+'Income Statement'!CH212+'Income Statement'!CH214</f>
        <v>7539</v>
      </c>
      <c r="BV50" s="116">
        <f>'Income Statement'!CI208+'Income Statement'!CI212+'Income Statement'!CI214</f>
        <v>8201</v>
      </c>
      <c r="BW50" s="116">
        <f>'Income Statement'!CK208+'Income Statement'!CK212+'Income Statement'!CK214</f>
        <v>7887</v>
      </c>
      <c r="BX50" s="116">
        <f>'Income Statement'!CL208+'Income Statement'!CL212+'Income Statement'!CL214</f>
        <v>9579</v>
      </c>
      <c r="BY50" s="1532">
        <f>'Income Statement'!CM208+'Income Statement'!CM212+'Income Statement'!CM214</f>
        <v>10292</v>
      </c>
      <c r="CC50" s="316"/>
      <c r="CJ50" t="s">
        <v>475</v>
      </c>
      <c r="CL50" s="270">
        <f>'Income Statement'!C208+'Income Statement'!C212+'Income Statement'!C214</f>
        <v>0</v>
      </c>
      <c r="CM50" s="270">
        <f>'Income Statement'!H208+'Income Statement'!H212+'Income Statement'!H214</f>
        <v>0</v>
      </c>
      <c r="CN50" s="270">
        <f>'Income Statement'!M208+'Income Statement'!M212+'Income Statement'!M214</f>
        <v>3962</v>
      </c>
      <c r="CO50" s="270">
        <f>'Income Statement'!R208+'Income Statement'!R212+'Income Statement'!R214</f>
        <v>5809</v>
      </c>
      <c r="CP50" s="270">
        <f>'Income Statement'!W208+'Income Statement'!W212+'Income Statement'!W214</f>
        <v>6894</v>
      </c>
      <c r="CQ50" s="270">
        <f>'Income Statement'!AB208+'Income Statement'!AB212+'Income Statement'!AB214</f>
        <v>8447</v>
      </c>
      <c r="CR50" s="270">
        <f>'Income Statement'!AG208+'Income Statement'!AG212+'Income Statement'!AG214</f>
        <v>8946</v>
      </c>
      <c r="CS50" s="270">
        <f>'Income Statement'!AL208+'Income Statement'!AL212+'Income Statement'!AL214</f>
        <v>10971</v>
      </c>
      <c r="CT50" s="270">
        <f>'Income Statement'!AQ208+'Income Statement'!AQ212+'Income Statement'!AQ214</f>
        <v>10917</v>
      </c>
      <c r="CU50" s="270">
        <f>'Income Statement'!AV208+'Income Statement'!AV212+'Income Statement'!AV214</f>
        <v>11092.185531496063</v>
      </c>
      <c r="CV50" s="270">
        <f>'Income Statement'!BA208+'Income Statement'!BA212+'Income Statement'!BA214</f>
        <v>14523.984251968504</v>
      </c>
      <c r="CW50" s="270">
        <f>'Income Statement'!BF208+'Income Statement'!BF212+'Income Statement'!BF214</f>
        <v>16596.860574803148</v>
      </c>
      <c r="CX50" s="270">
        <f>'Income Statement'!BK208+'Income Statement'!BK212+'Income Statement'!BK214</f>
        <v>21306.09483031496</v>
      </c>
      <c r="CY50" s="270">
        <f>'Income Statement'!BP208+'Income Statement'!BP212+'Income Statement'!BP214</f>
        <v>23080.121682201279</v>
      </c>
      <c r="CZ50" s="270">
        <f>'Income Statement'!BU208+'Income Statement'!BU212+'Income Statement'!BU214</f>
        <v>24127.516369705216</v>
      </c>
      <c r="DA50" s="270">
        <f>'Income Statement'!BZ208+'Income Statement'!BZ212+'Income Statement'!BZ214</f>
        <v>26816.533227580298</v>
      </c>
      <c r="DB50" s="270">
        <f>'Income Statement'!CE208+'Income Statement'!CE212+'Income Statement'!CE214</f>
        <v>29402</v>
      </c>
      <c r="DC50" s="270">
        <f>'Income Statement'!CJ208+'Income Statement'!CJ212+'Income Statement'!CJ214</f>
        <v>0</v>
      </c>
      <c r="DD50" s="270">
        <f>'Income Statement'!CO208+'Income Statement'!CO212+'Income Statement'!CO214</f>
        <v>0</v>
      </c>
      <c r="DE50" s="270">
        <f>'Income Statement'!CP208+'Income Statement'!CP212+'Income Statement'!CP214</f>
        <v>0</v>
      </c>
      <c r="DF50" s="270">
        <f>'Income Statement'!CQ208+'Income Statement'!CQ212+'Income Statement'!CQ214</f>
        <v>0</v>
      </c>
      <c r="DG50" s="270">
        <f>'Income Statement'!CR208+'Income Statement'!CR212+'Income Statement'!CR214</f>
        <v>0</v>
      </c>
      <c r="DH50" s="270">
        <f>'Income Statement'!CS208+'Income Statement'!CS212+'Income Statement'!CS214</f>
        <v>0</v>
      </c>
      <c r="DI50" s="270">
        <f>'Income Statement'!CT208+'Income Statement'!CT212+'Income Statement'!CT214</f>
        <v>0</v>
      </c>
    </row>
    <row r="51" spans="1:113">
      <c r="A51" s="96" t="s">
        <v>476</v>
      </c>
      <c r="B51" s="96"/>
      <c r="C51" s="116"/>
      <c r="D51" s="116"/>
      <c r="E51" s="116"/>
      <c r="F51" s="116"/>
      <c r="G51" s="116"/>
      <c r="H51" s="116"/>
      <c r="I51" s="116"/>
      <c r="J51" s="116"/>
      <c r="K51" s="116"/>
      <c r="L51" s="116"/>
      <c r="M51" s="116"/>
      <c r="N51" s="116"/>
      <c r="O51" s="116">
        <f>'Income Statement'!N208</f>
        <v>502</v>
      </c>
      <c r="P51" s="116">
        <f>'Income Statement'!O208</f>
        <v>543</v>
      </c>
      <c r="Q51" s="116">
        <f>'Income Statement'!P208</f>
        <v>589</v>
      </c>
      <c r="R51" s="116">
        <f>'Income Statement'!Q208</f>
        <v>698</v>
      </c>
      <c r="S51" s="116">
        <f>'Income Statement'!S208</f>
        <v>721</v>
      </c>
      <c r="T51" s="116">
        <f>'Income Statement'!T208</f>
        <v>819</v>
      </c>
      <c r="U51" s="116">
        <f>'Income Statement'!U208</f>
        <v>903</v>
      </c>
      <c r="V51" s="116">
        <f>'Income Statement'!V208</f>
        <v>888</v>
      </c>
      <c r="W51" s="116">
        <f>'Income Statement'!X208</f>
        <v>857</v>
      </c>
      <c r="X51" s="116">
        <f>'Income Statement'!Y208</f>
        <v>906</v>
      </c>
      <c r="Y51" s="116">
        <f>'Income Statement'!Z208</f>
        <v>956</v>
      </c>
      <c r="Z51" s="116">
        <f>'Income Statement'!AA208</f>
        <v>999</v>
      </c>
      <c r="AA51" s="116">
        <f>'Income Statement'!AC208</f>
        <v>861</v>
      </c>
      <c r="AB51" s="116">
        <f>'Income Statement'!AD208</f>
        <v>920</v>
      </c>
      <c r="AC51" s="116">
        <f>'Income Statement'!AE208</f>
        <v>1013</v>
      </c>
      <c r="AD51" s="116">
        <f>'Income Statement'!AF208</f>
        <v>1066</v>
      </c>
      <c r="AE51" s="116">
        <f>'Income Statement'!AH208</f>
        <v>1122</v>
      </c>
      <c r="AF51" s="116">
        <f>'Income Statement'!AI208</f>
        <v>1425</v>
      </c>
      <c r="AG51" s="116">
        <f>'Income Statement'!AJ208</f>
        <v>1451</v>
      </c>
      <c r="AH51" s="116">
        <f>'Income Statement'!AK208</f>
        <v>1466</v>
      </c>
      <c r="AI51" s="116">
        <f>'Income Statement'!AM208</f>
        <v>1447</v>
      </c>
      <c r="AJ51" s="116">
        <f>'Income Statement'!AN208</f>
        <v>1468</v>
      </c>
      <c r="AK51" s="116">
        <f>'Income Statement'!AO208</f>
        <v>1536</v>
      </c>
      <c r="AL51" s="116">
        <f>'Income Statement'!AP208</f>
        <v>1765</v>
      </c>
      <c r="AM51" s="116">
        <f>'Income Statement'!AR208</f>
        <v>1782</v>
      </c>
      <c r="AN51" s="116">
        <f>'Income Statement'!AS208</f>
        <v>1786</v>
      </c>
      <c r="AO51" s="116">
        <f>'Income Statement'!AT208</f>
        <v>2123</v>
      </c>
      <c r="AP51" s="116">
        <f>'Income Statement'!AU208</f>
        <v>2436</v>
      </c>
      <c r="AQ51" s="116">
        <f>'Income Statement'!AW208</f>
        <v>2650</v>
      </c>
      <c r="AR51" s="116">
        <f>'Income Statement'!AX208</f>
        <v>3164</v>
      </c>
      <c r="AS51" s="116">
        <f>'Income Statement'!AY208</f>
        <v>3517</v>
      </c>
      <c r="AT51" s="116">
        <f>'Income Statement'!AZ208</f>
        <v>3757</v>
      </c>
      <c r="AU51" s="116">
        <f>'Income Statement'!BB208</f>
        <v>3462</v>
      </c>
      <c r="AV51" s="116">
        <f>'Income Statement'!BC208</f>
        <v>3527</v>
      </c>
      <c r="AW51" s="116">
        <f>'Income Statement'!BD208</f>
        <v>3985</v>
      </c>
      <c r="AX51" s="116">
        <f>'Income Statement'!BE208</f>
        <v>4362</v>
      </c>
      <c r="AY51" s="116">
        <f>'Income Statement'!BG208</f>
        <v>4636</v>
      </c>
      <c r="AZ51" s="116">
        <f>'Income Statement'!BH208</f>
        <v>4997</v>
      </c>
      <c r="BA51" s="116">
        <f>'Income Statement'!BI208</f>
        <v>5308</v>
      </c>
      <c r="BB51" s="116">
        <f>'Income Statement'!BJ208</f>
        <v>5313</v>
      </c>
      <c r="BC51" s="116">
        <f>'Income Statement'!BL208</f>
        <v>5429</v>
      </c>
      <c r="BD51" s="116">
        <f>'Income Statement'!BM208</f>
        <v>5659</v>
      </c>
      <c r="BE51" s="116">
        <f>'Income Statement'!BN208</f>
        <v>5684</v>
      </c>
      <c r="BF51" s="116">
        <f>'Income Statement'!BO208</f>
        <v>5432</v>
      </c>
      <c r="BG51" s="116">
        <f>'Income Statement'!BQ208</f>
        <v>5392</v>
      </c>
      <c r="BH51" s="116">
        <f>'Income Statement'!BR208</f>
        <v>5896</v>
      </c>
      <c r="BI51" s="116">
        <f>'Income Statement'!BS208</f>
        <v>6014</v>
      </c>
      <c r="BJ51" s="116">
        <f>'Income Statement'!BT208</f>
        <v>6107</v>
      </c>
      <c r="BK51" s="116">
        <f>'Income Statement'!BV208</f>
        <v>5910</v>
      </c>
      <c r="BL51" s="116">
        <f>'Income Statement'!BW208</f>
        <v>6643</v>
      </c>
      <c r="BM51" s="116">
        <f>'Income Statement'!BX208</f>
        <v>6846</v>
      </c>
      <c r="BN51" s="116">
        <f>'Income Statement'!BY208</f>
        <v>6836</v>
      </c>
      <c r="BO51" s="116">
        <f>'Income Statement'!CA208</f>
        <v>6910</v>
      </c>
      <c r="BP51" s="116">
        <f>'Income Statement'!CB208</f>
        <v>7501</v>
      </c>
      <c r="BQ51" s="116">
        <f>'Income Statement'!CC208</f>
        <v>7311</v>
      </c>
      <c r="BR51" s="116">
        <f>'Income Statement'!CD208</f>
        <v>7680</v>
      </c>
      <c r="BS51" s="116">
        <f>'Income Statement'!CF208</f>
        <v>7823</v>
      </c>
      <c r="BT51" s="116">
        <f>'Income Statement'!CG208</f>
        <v>8015.4740000000002</v>
      </c>
      <c r="BU51" s="116">
        <f>'Income Statement'!CH208</f>
        <v>7539</v>
      </c>
      <c r="BV51" s="116">
        <f>'Income Statement'!CI208</f>
        <v>8201</v>
      </c>
      <c r="BW51" s="116">
        <f>'Income Statement'!CK208</f>
        <v>7887</v>
      </c>
      <c r="BX51" s="116">
        <f>'Income Statement'!CL208</f>
        <v>9579</v>
      </c>
      <c r="BY51" s="1532">
        <f>'Income Statement'!CM208</f>
        <v>10292</v>
      </c>
      <c r="CC51" s="316"/>
      <c r="CJ51" t="s">
        <v>476</v>
      </c>
      <c r="CL51" s="270">
        <f>'Income Statement'!C208</f>
        <v>0</v>
      </c>
      <c r="CM51" s="270">
        <f>'Income Statement'!H208</f>
        <v>0</v>
      </c>
      <c r="CN51" s="270">
        <f>'Income Statement'!M208</f>
        <v>1259</v>
      </c>
      <c r="CO51" s="270">
        <f>'Income Statement'!R208</f>
        <v>2332</v>
      </c>
      <c r="CP51" s="270">
        <f>'Income Statement'!W208</f>
        <v>2817</v>
      </c>
      <c r="CQ51" s="270">
        <f>'Income Statement'!AB208</f>
        <v>3718</v>
      </c>
      <c r="CR51" s="270">
        <f>'Income Statement'!AG208</f>
        <v>3860</v>
      </c>
      <c r="CS51" s="270">
        <f>'Income Statement'!AL208</f>
        <v>5464</v>
      </c>
      <c r="CT51" s="270">
        <f>'Income Statement'!AQ208</f>
        <v>6216</v>
      </c>
      <c r="CU51" s="270">
        <f>'Income Statement'!AV208</f>
        <v>8127</v>
      </c>
      <c r="CV51" s="270">
        <f>'Income Statement'!BA208</f>
        <v>13088</v>
      </c>
      <c r="CW51" s="270">
        <f>'Income Statement'!BF208</f>
        <v>15336</v>
      </c>
      <c r="CX51" s="270">
        <f>'Income Statement'!BK208</f>
        <v>20254</v>
      </c>
      <c r="CY51" s="270">
        <f>'Income Statement'!BP208</f>
        <v>22204</v>
      </c>
      <c r="CZ51" s="270">
        <f>'Income Statement'!BU208</f>
        <v>23409</v>
      </c>
      <c r="DA51" s="270">
        <f>'Income Statement'!BZ208</f>
        <v>26235</v>
      </c>
      <c r="DB51" s="270">
        <f>'Income Statement'!CE208</f>
        <v>29402</v>
      </c>
      <c r="DC51" s="270">
        <f>'Income Statement'!CJ208</f>
        <v>0</v>
      </c>
      <c r="DD51" s="270">
        <f>'Income Statement'!CO208</f>
        <v>0</v>
      </c>
      <c r="DE51" s="270">
        <f>'Income Statement'!CP208</f>
        <v>0</v>
      </c>
      <c r="DF51" s="270">
        <f>'Income Statement'!CQ208</f>
        <v>0</v>
      </c>
      <c r="DG51" s="270">
        <f>'Income Statement'!CR208</f>
        <v>0</v>
      </c>
      <c r="DH51" s="270">
        <f>'Income Statement'!CS208</f>
        <v>0</v>
      </c>
      <c r="DI51" s="270">
        <f>'Income Statement'!CT208</f>
        <v>0</v>
      </c>
    </row>
    <row r="52" spans="1:113">
      <c r="A52" s="96" t="s">
        <v>477</v>
      </c>
      <c r="B52" s="96"/>
      <c r="C52" s="116"/>
      <c r="D52" s="116"/>
      <c r="E52" s="116"/>
      <c r="F52" s="116"/>
      <c r="G52" s="119"/>
      <c r="H52" s="119"/>
      <c r="I52" s="119"/>
      <c r="J52" s="119"/>
      <c r="K52" s="119"/>
      <c r="L52" s="119"/>
      <c r="M52" s="119"/>
      <c r="N52" s="119"/>
      <c r="O52" s="119"/>
      <c r="P52" s="119"/>
      <c r="Q52" s="119"/>
      <c r="R52" s="119"/>
      <c r="S52" s="119">
        <f>'Income Statement'!S142</f>
        <v>16.269343370974486</v>
      </c>
      <c r="T52" s="119">
        <f>'Income Statement'!T142</f>
        <v>16.462063086104006</v>
      </c>
      <c r="U52" s="119">
        <f>'Income Statement'!U142</f>
        <v>15.828270554880518</v>
      </c>
      <c r="V52" s="119">
        <f>'Income Statement'!V142</f>
        <v>15.10022271714922</v>
      </c>
      <c r="W52" s="119">
        <f>'Income Statement'!X142</f>
        <v>14.597701149425289</v>
      </c>
      <c r="X52" s="119">
        <f>'Income Statement'!Y142</f>
        <v>15.160707836764175</v>
      </c>
      <c r="Y52" s="119">
        <f>'Income Statement'!Z142</f>
        <v>16.069538926681783</v>
      </c>
      <c r="Z52" s="119">
        <f>'Income Statement'!AA142</f>
        <v>15.520242149073022</v>
      </c>
      <c r="AA52" s="119">
        <f>'Income Statement'!AC142</f>
        <v>12.743238496663153</v>
      </c>
      <c r="AB52" s="119">
        <f>'Income Statement'!AD142</f>
        <v>12.423362374959664</v>
      </c>
      <c r="AC52" s="119">
        <f>'Income Statement'!AE142</f>
        <v>11.772039180765807</v>
      </c>
      <c r="AD52" s="119">
        <f>'Income Statement'!AF142</f>
        <v>11.051152332771219</v>
      </c>
      <c r="AE52" s="119">
        <f>'Income Statement'!AH142</f>
        <v>9.6899224806201545</v>
      </c>
      <c r="AF52" s="119">
        <f>'Income Statement'!AI142</f>
        <v>10.428719322818342</v>
      </c>
      <c r="AG52" s="119">
        <f>'Income Statement'!AJ142</f>
        <v>11.079554836366038</v>
      </c>
      <c r="AH52" s="119">
        <f>'Income Statement'!AK142</f>
        <v>11.279301294234772</v>
      </c>
      <c r="AI52" s="119">
        <f>'Income Statement'!AM142</f>
        <v>11.154879140555058</v>
      </c>
      <c r="AJ52" s="119">
        <f>'Income Statement'!AN142</f>
        <v>13.557594291539246</v>
      </c>
      <c r="AK52" s="119">
        <f>'Income Statement'!AO142</f>
        <v>16.914285714285715</v>
      </c>
      <c r="AL52" s="119">
        <f>'Income Statement'!AP142</f>
        <v>17.500998003992017</v>
      </c>
      <c r="AM52" s="119">
        <f>'Income Statement'!AR142</f>
        <v>15.826429980276133</v>
      </c>
      <c r="AN52" s="119"/>
      <c r="AO52" s="119"/>
      <c r="AP52" s="119"/>
      <c r="AQ52" s="119"/>
      <c r="AR52" s="119"/>
      <c r="AS52" s="119"/>
      <c r="AT52" s="119"/>
      <c r="AU52" s="119"/>
      <c r="AV52" s="119"/>
      <c r="AW52" s="119"/>
      <c r="AX52" s="119"/>
      <c r="AY52" s="119"/>
      <c r="AZ52" s="119"/>
      <c r="BA52" s="119"/>
      <c r="BB52" s="119"/>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532"/>
      <c r="CC52" s="316"/>
      <c r="CJ52" t="s">
        <v>477</v>
      </c>
      <c r="CL52" s="270">
        <f>'Income Statement'!C142</f>
        <v>0</v>
      </c>
      <c r="CM52" s="270">
        <f>'Income Statement'!H142</f>
        <v>0</v>
      </c>
      <c r="CN52" s="270">
        <f>'Income Statement'!M142</f>
        <v>0</v>
      </c>
      <c r="CO52" s="270">
        <f>'Income Statement'!R142</f>
        <v>19.713286713286713</v>
      </c>
      <c r="CP52" s="270">
        <f>'Income Statement'!W142</f>
        <v>15.09984639016897</v>
      </c>
      <c r="CQ52" s="270">
        <f>'Income Statement'!AB142</f>
        <v>15.018076644974693</v>
      </c>
      <c r="CR52" s="270">
        <f>'Income Statement'!AG142</f>
        <v>12.053935402947632</v>
      </c>
      <c r="CS52" s="270">
        <f>'Income Statement'!AL142</f>
        <v>11.014432417429921</v>
      </c>
      <c r="CT52" s="270">
        <f>'Income Statement'!AQ142</f>
        <v>13.576115485564303</v>
      </c>
      <c r="CU52" s="270">
        <f>'Income Statement'!AV142</f>
        <v>14.030131826741995</v>
      </c>
      <c r="CV52" s="270">
        <f>'Income Statement'!BA142</f>
        <v>9.5600262467191595</v>
      </c>
      <c r="CW52" s="270">
        <f>'Income Statement'!BF142</f>
        <v>6.9740979284369118</v>
      </c>
      <c r="CX52" s="270">
        <f>'Income Statement'!BK142</f>
        <v>5.5723042448210904</v>
      </c>
      <c r="CY52" s="270">
        <f>'Income Statement'!BP142</f>
        <v>4.4522710916120509</v>
      </c>
      <c r="CZ52" s="270">
        <f>'Income Statement'!BU142</f>
        <v>3.5573646021980294</v>
      </c>
      <c r="DA52" s="270">
        <f>'Income Statement'!BZ142</f>
        <v>2.8423343171562245</v>
      </c>
      <c r="DB52" s="270" t="e">
        <f>'Income Statement'!CE142</f>
        <v>#DIV/0!</v>
      </c>
      <c r="DC52" s="270">
        <f>'Income Statement'!CJ142</f>
        <v>0</v>
      </c>
      <c r="DD52" s="270">
        <f>'Income Statement'!CO142</f>
        <v>0</v>
      </c>
      <c r="DE52" s="270">
        <f>'Income Statement'!CP142</f>
        <v>0</v>
      </c>
      <c r="DF52" s="270">
        <f>'Income Statement'!CQ142</f>
        <v>0</v>
      </c>
      <c r="DG52" s="270">
        <f>'Income Statement'!CR142</f>
        <v>0</v>
      </c>
      <c r="DH52" s="270">
        <f>'Income Statement'!CS142</f>
        <v>0</v>
      </c>
      <c r="DI52" s="270">
        <f>'Income Statement'!CT142</f>
        <v>0</v>
      </c>
    </row>
    <row r="53" spans="1:113">
      <c r="A53" s="96" t="s">
        <v>391</v>
      </c>
      <c r="B53" s="96"/>
      <c r="C53" s="116"/>
      <c r="D53" s="116"/>
      <c r="E53" s="116"/>
      <c r="F53" s="116"/>
      <c r="G53" s="119"/>
      <c r="H53" s="119"/>
      <c r="I53" s="119"/>
      <c r="J53" s="119"/>
      <c r="K53" s="119"/>
      <c r="L53" s="119"/>
      <c r="M53" s="119"/>
      <c r="N53" s="119"/>
      <c r="O53" s="119"/>
      <c r="P53" s="119"/>
      <c r="Q53" s="119"/>
      <c r="R53" s="119"/>
      <c r="S53" s="119">
        <f>'Income Statement'!S143+'Income Statement'!S144+'Income Statement'!S145</f>
        <v>14.169803429527395</v>
      </c>
      <c r="T53" s="119">
        <f>'Income Statement'!T143+'Income Statement'!T144+'Income Statement'!T145</f>
        <v>15.098039215686274</v>
      </c>
      <c r="U53" s="119">
        <f>'Income Statement'!U143+'Income Statement'!U144+'Income Statement'!U145</f>
        <v>15.682462535439448</v>
      </c>
      <c r="V53" s="119">
        <f>'Income Statement'!V143+'Income Statement'!V144+'Income Statement'!V145</f>
        <v>14.89977728285078</v>
      </c>
      <c r="W53" s="119">
        <f>'Income Statement'!X143+'Income Statement'!X144+'Income Statement'!X145</f>
        <v>14.389367816091955</v>
      </c>
      <c r="X53" s="119">
        <f>'Income Statement'!Y143+'Income Statement'!Y144+'Income Statement'!Y145</f>
        <v>14.951245937161431</v>
      </c>
      <c r="Y53" s="119">
        <f>'Income Statement'!Z143+'Income Statement'!Z144+'Income Statement'!Z145</f>
        <v>16.832955404383974</v>
      </c>
      <c r="Z53" s="119">
        <f>'Income Statement'!AA143+'Income Statement'!AA144+'Income Statement'!AA145</f>
        <v>16.246689368142263</v>
      </c>
      <c r="AA53" s="119">
        <f>'Income Statement'!AC143+'Income Statement'!AC144+'Income Statement'!AC145</f>
        <v>19.655778011942399</v>
      </c>
      <c r="AB53" s="119">
        <f>'Income Statement'!AD143+'Income Statement'!AD144+'Income Statement'!AD145</f>
        <v>19.244917715392063</v>
      </c>
      <c r="AC53" s="119">
        <f>'Income Statement'!AE143+'Income Statement'!AE144+'Income Statement'!AE145</f>
        <v>19.186702285544673</v>
      </c>
      <c r="AD53" s="119">
        <f>'Income Statement'!AF143+'Income Statement'!AF144+'Income Statement'!AF145</f>
        <v>18.279932546374365</v>
      </c>
      <c r="AE53" s="119">
        <f>'Income Statement'!AH143+'Income Statement'!AH144+'Income Statement'!AH145</f>
        <v>12.242894056847545</v>
      </c>
      <c r="AF53" s="119">
        <f>'Income Statement'!AI143+'Income Statement'!AI144+'Income Statement'!AI145</f>
        <v>14.478411789781378</v>
      </c>
      <c r="AG53" s="119">
        <f>'Income Statement'!AJ143+'Income Statement'!AJ144+'Income Statement'!AJ145</f>
        <v>15.906564072080403</v>
      </c>
      <c r="AH53" s="119">
        <f>'Income Statement'!AK143+'Income Statement'!AK144+'Income Statement'!AK145</f>
        <v>16.172278034211242</v>
      </c>
      <c r="AI53" s="119">
        <f>'Income Statement'!AM143+'Income Statement'!AM144+'Income Statement'!AM145</f>
        <v>15.95344673231871</v>
      </c>
      <c r="AJ53" s="119">
        <f>'Income Statement'!AN143+'Income Statement'!AN144+'Income Statement'!AN145</f>
        <v>18.280665987088007</v>
      </c>
      <c r="AK53" s="119">
        <f>'Income Statement'!AO143+'Income Statement'!AO144+'Income Statement'!AO145</f>
        <v>20.678095238095239</v>
      </c>
      <c r="AL53" s="119">
        <f>'Income Statement'!AP143+'Income Statement'!AP144+'Income Statement'!AP145</f>
        <v>22.674650698602793</v>
      </c>
      <c r="AM53" s="119">
        <f>'Income Statement'!AR143+'Income Statement'!AR144+'Income Statement'!AR145</f>
        <v>21.893491124260354</v>
      </c>
      <c r="AN53" s="119"/>
      <c r="AO53" s="119"/>
      <c r="AP53" s="119"/>
      <c r="AQ53" s="119"/>
      <c r="AR53" s="119"/>
      <c r="AS53" s="119"/>
      <c r="AT53" s="119"/>
      <c r="AU53" s="119"/>
      <c r="AV53" s="119"/>
      <c r="AW53" s="119"/>
      <c r="AX53" s="119"/>
      <c r="AY53" s="119"/>
      <c r="AZ53" s="119"/>
      <c r="BA53" s="119"/>
      <c r="BB53" s="119"/>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532"/>
      <c r="CC53" s="316"/>
      <c r="CJ53" t="s">
        <v>391</v>
      </c>
      <c r="CL53" s="270">
        <f>'Income Statement'!C143+'Income Statement'!C144+'Income Statement'!C145</f>
        <v>0</v>
      </c>
      <c r="CM53" s="270">
        <f>'Income Statement'!H143+'Income Statement'!H144+'Income Statement'!H145</f>
        <v>0</v>
      </c>
      <c r="CN53" s="270">
        <f>'Income Statement'!M143+'Income Statement'!M144+'Income Statement'!M145</f>
        <v>0</v>
      </c>
      <c r="CO53" s="270">
        <f>'Income Statement'!R143+'Income Statement'!R144+'Income Statement'!R145</f>
        <v>13.540792540792541</v>
      </c>
      <c r="CP53" s="270">
        <f>'Income Statement'!W143+'Income Statement'!W144+'Income Statement'!W145</f>
        <v>13.237327188940093</v>
      </c>
      <c r="CQ53" s="270">
        <f>'Income Statement'!AB143+'Income Statement'!AB144+'Income Statement'!AB145</f>
        <v>15.269342010122921</v>
      </c>
      <c r="CR53" s="270">
        <f>'Income Statement'!AG143+'Income Statement'!AG144+'Income Statement'!AG145</f>
        <v>14.026340545625589</v>
      </c>
      <c r="CS53" s="270">
        <f>'Income Statement'!AL143+'Income Statement'!AL144+'Income Statement'!AL145</f>
        <v>15.2248126561199</v>
      </c>
      <c r="CT53" s="270">
        <f>'Income Statement'!AQ143+'Income Statement'!AQ144+'Income Statement'!AQ145</f>
        <v>17.908464566929133</v>
      </c>
      <c r="CU53" s="270">
        <f>'Income Statement'!AV143+'Income Statement'!AV144+'Income Statement'!AV145</f>
        <v>20.889238289069798</v>
      </c>
      <c r="CV53" s="270">
        <f>'Income Statement'!BA143+'Income Statement'!BA144+'Income Statement'!BA145</f>
        <v>24.206640419947504</v>
      </c>
      <c r="CW53" s="270">
        <f>'Income Statement'!BF143+'Income Statement'!BF144+'Income Statement'!BF145</f>
        <v>25.517928313042969</v>
      </c>
      <c r="CX53" s="270">
        <f>'Income Statement'!BK143+'Income Statement'!BK144+'Income Statement'!BK145</f>
        <v>31.819138038104779</v>
      </c>
      <c r="CY53" s="270">
        <f>'Income Statement'!BP143+'Income Statement'!BP144+'Income Statement'!BP145</f>
        <v>33.56913297001087</v>
      </c>
      <c r="CZ53" s="270">
        <f>'Income Statement'!BU143+'Income Statement'!BU144+'Income Statement'!BU145</f>
        <v>34.725843940278097</v>
      </c>
      <c r="DA53" s="270">
        <f>'Income Statement'!BZ143+'Income Statement'!BZ144+'Income Statement'!BZ145</f>
        <v>38.726472615862711</v>
      </c>
      <c r="DB53" s="270" t="e">
        <f>'Income Statement'!CE143+'Income Statement'!CE144+'Income Statement'!CE145</f>
        <v>#DIV/0!</v>
      </c>
      <c r="DC53" s="270">
        <f>'Income Statement'!CJ143+'Income Statement'!CJ144+'Income Statement'!CJ145</f>
        <v>0.83980768214812995</v>
      </c>
      <c r="DD53" s="270">
        <f>'Income Statement'!CO143+'Income Statement'!CO144+'Income Statement'!CO145</f>
        <v>0.83980768214812995</v>
      </c>
      <c r="DE53" s="270">
        <f>'Income Statement'!CP143+'Income Statement'!CP144+'Income Statement'!CP145</f>
        <v>0.83980768214812995</v>
      </c>
      <c r="DF53" s="270">
        <f>'Income Statement'!CQ143+'Income Statement'!CQ144+'Income Statement'!CQ145</f>
        <v>0.83980768214812995</v>
      </c>
      <c r="DG53" s="270">
        <f>'Income Statement'!CR143+'Income Statement'!CR144+'Income Statement'!CR145</f>
        <v>0.83980768214812995</v>
      </c>
      <c r="DH53" s="270">
        <f>'Income Statement'!CS143+'Income Statement'!CS144+'Income Statement'!CS145</f>
        <v>0.83980768214812995</v>
      </c>
      <c r="DI53" s="270">
        <f>'Income Statement'!CT143+'Income Statement'!CT144+'Income Statement'!CT145</f>
        <v>0.83980768214812995</v>
      </c>
    </row>
    <row r="54" spans="1:113">
      <c r="A54" s="96" t="s">
        <v>478</v>
      </c>
      <c r="B54" s="96"/>
      <c r="C54" s="116"/>
      <c r="D54" s="116"/>
      <c r="E54" s="116"/>
      <c r="F54" s="116"/>
      <c r="G54" s="66"/>
      <c r="H54" s="66"/>
      <c r="I54" s="66"/>
      <c r="J54" s="66"/>
      <c r="K54" s="66"/>
      <c r="L54" s="66"/>
      <c r="M54" s="66"/>
      <c r="N54" s="66"/>
      <c r="O54" s="66"/>
      <c r="P54" s="66"/>
      <c r="Q54" s="66"/>
      <c r="R54" s="66"/>
      <c r="S54" s="66">
        <f>'Income Statement'!S143</f>
        <v>6.0309493935591805</v>
      </c>
      <c r="T54" s="66">
        <f>'Income Statement'!T143</f>
        <v>6.9820971867007673</v>
      </c>
      <c r="U54" s="66">
        <f>'Income Statement'!U143</f>
        <v>7.3147023086269742</v>
      </c>
      <c r="V54" s="66">
        <f>'Income Statement'!V143</f>
        <v>6.5924276169265035</v>
      </c>
      <c r="W54" s="66">
        <f>'Income Statement'!X143</f>
        <v>6.1566091954022992</v>
      </c>
      <c r="X54" s="66">
        <f>'Income Statement'!Y143</f>
        <v>6.5438786565547131</v>
      </c>
      <c r="Y54" s="66">
        <f>'Income Statement'!Z143</f>
        <v>7.226001511715797</v>
      </c>
      <c r="Z54" s="66">
        <f>'Income Statement'!AA143</f>
        <v>7.5595913734392743</v>
      </c>
      <c r="AA54" s="66">
        <f>'Income Statement'!AC143</f>
        <v>6.0484720758693369</v>
      </c>
      <c r="AB54" s="66">
        <f>'Income Statement'!AD143</f>
        <v>5.9373991610196839</v>
      </c>
      <c r="AC54" s="66">
        <f>'Income Statement'!AE143</f>
        <v>6.0136539032353822</v>
      </c>
      <c r="AD54" s="66">
        <f>'Income Statement'!AF143</f>
        <v>5.992130410342889</v>
      </c>
      <c r="AE54" s="66">
        <f>'Income Statement'!AH143</f>
        <v>5.7984496124031004</v>
      </c>
      <c r="AF54" s="66">
        <f>'Income Statement'!AI143</f>
        <v>7.2315936910054193</v>
      </c>
      <c r="AG54" s="66">
        <f>'Income Statement'!AJ143</f>
        <v>7.9863060444943477</v>
      </c>
      <c r="AH54" s="66">
        <f>'Income Statement'!AK143</f>
        <v>8.2926056656711022</v>
      </c>
      <c r="AI54" s="66">
        <f>'Income Statement'!AM143</f>
        <v>8.6362279916442848</v>
      </c>
      <c r="AJ54" s="66">
        <f>'Income Statement'!AN143</f>
        <v>9.9762147468569484</v>
      </c>
      <c r="AK54" s="66">
        <f>'Income Statement'!AO143</f>
        <v>11.702857142857143</v>
      </c>
      <c r="AL54" s="66">
        <f>'Income Statement'!AP143</f>
        <v>14.091816367265467</v>
      </c>
      <c r="AM54" s="66">
        <f>'Income Statement'!AR143</f>
        <v>14.059171597633137</v>
      </c>
      <c r="AN54" s="66"/>
      <c r="AO54" s="66"/>
      <c r="AP54" s="66"/>
      <c r="AQ54" s="66"/>
      <c r="AR54" s="66"/>
      <c r="AS54" s="66"/>
      <c r="AT54" s="66"/>
      <c r="AU54" s="66"/>
      <c r="AV54" s="66"/>
      <c r="AW54" s="66"/>
      <c r="AX54" s="66"/>
      <c r="AY54" s="66"/>
      <c r="AZ54" s="66"/>
      <c r="BA54" s="66"/>
      <c r="BB54" s="66"/>
      <c r="BC54" s="59"/>
      <c r="BD54" s="59"/>
      <c r="BE54" s="59"/>
      <c r="BF54" s="59"/>
      <c r="BG54" s="59"/>
      <c r="BH54" s="59"/>
      <c r="BI54" s="59"/>
      <c r="BJ54" s="59"/>
      <c r="BK54" s="59"/>
      <c r="BL54" s="59"/>
      <c r="BM54" s="59"/>
      <c r="BN54" s="59"/>
      <c r="BO54" s="59"/>
      <c r="BP54" s="59"/>
      <c r="BQ54" s="59"/>
      <c r="BR54" s="59"/>
      <c r="BS54" s="59"/>
      <c r="BT54" s="59"/>
      <c r="BU54" s="59"/>
      <c r="BV54" s="59"/>
      <c r="BW54" s="59"/>
      <c r="BX54" s="59"/>
      <c r="BY54" s="1535"/>
      <c r="CC54" s="316"/>
      <c r="CJ54" t="s">
        <v>478</v>
      </c>
      <c r="CL54" s="270">
        <f>'Income Statement'!C143</f>
        <v>0</v>
      </c>
      <c r="CM54" s="270">
        <f>'Income Statement'!H143</f>
        <v>0</v>
      </c>
      <c r="CN54" s="270">
        <f>'Income Statement'!M143</f>
        <v>0</v>
      </c>
      <c r="CO54" s="270">
        <f>'Income Statement'!R143</f>
        <v>5.4358974358974352</v>
      </c>
      <c r="CP54" s="270">
        <f>'Income Statement'!W143</f>
        <v>5.4089861751152073</v>
      </c>
      <c r="CQ54" s="270">
        <f>'Income Statement'!AB143</f>
        <v>6.720896601590745</v>
      </c>
      <c r="CR54" s="270">
        <f>'Income Statement'!AG143</f>
        <v>6.0520539354029479</v>
      </c>
      <c r="CS54" s="270">
        <f>'Income Statement'!AL143</f>
        <v>7.5825700804884812</v>
      </c>
      <c r="CT54" s="270">
        <f>'Income Statement'!AQ143</f>
        <v>10.196850393700787</v>
      </c>
      <c r="CU54" s="270">
        <f>'Income Statement'!AV143</f>
        <v>15.305084745762713</v>
      </c>
      <c r="CV54" s="270">
        <f>'Income Statement'!BA143</f>
        <v>21.813333333333333</v>
      </c>
      <c r="CW54" s="270">
        <f>'Income Statement'!BF143</f>
        <v>23.579335793357931</v>
      </c>
      <c r="CX54" s="270">
        <f>'Income Statement'!BK143</f>
        <v>30.247909199522102</v>
      </c>
      <c r="CY54" s="270">
        <f>'Income Statement'!BP143</f>
        <v>32.294848299735285</v>
      </c>
      <c r="CZ54" s="270">
        <f>'Income Statement'!BU143</f>
        <v>33.69170984455959</v>
      </c>
      <c r="DA54" s="270">
        <f>'Income Statement'!BZ143</f>
        <v>37.886664933714584</v>
      </c>
      <c r="DB54" s="270" t="e">
        <f>'Income Statement'!CE143</f>
        <v>#DIV/0!</v>
      </c>
      <c r="DC54" s="270">
        <f>'Income Statement'!CJ143</f>
        <v>0</v>
      </c>
      <c r="DD54" s="270">
        <f>'Income Statement'!CO143</f>
        <v>0</v>
      </c>
      <c r="DE54" s="270">
        <f>'Income Statement'!CP143</f>
        <v>0</v>
      </c>
      <c r="DF54" s="270">
        <f>'Income Statement'!CQ143</f>
        <v>0</v>
      </c>
      <c r="DG54" s="270">
        <f>'Income Statement'!CR143</f>
        <v>0</v>
      </c>
      <c r="DH54" s="270">
        <f>'Income Statement'!CS143</f>
        <v>0</v>
      </c>
      <c r="DI54" s="270">
        <f>'Income Statement'!CT143</f>
        <v>0</v>
      </c>
    </row>
    <row r="55" spans="1:113">
      <c r="A55" s="96" t="s">
        <v>479</v>
      </c>
      <c r="B55" s="96"/>
      <c r="C55" s="120"/>
      <c r="D55" s="120"/>
      <c r="E55" s="120"/>
      <c r="F55" s="120"/>
      <c r="G55" s="120"/>
      <c r="H55" s="120"/>
      <c r="I55" s="120"/>
      <c r="J55" s="120"/>
      <c r="K55" s="120"/>
      <c r="L55" s="120"/>
      <c r="M55" s="120"/>
      <c r="N55" s="120"/>
      <c r="O55" s="120"/>
      <c r="P55" s="120"/>
      <c r="Q55" s="120"/>
      <c r="R55" s="120"/>
      <c r="S55" s="120">
        <f>'Income Statement'!S108</f>
        <v>5.1050379270196893E-2</v>
      </c>
      <c r="T55" s="120">
        <f>'Income Statement'!T108</f>
        <v>5.1085166936325442E-2</v>
      </c>
      <c r="U55" s="120">
        <f>'Income Statement'!U108</f>
        <v>4.4510695676432843E-2</v>
      </c>
      <c r="V55" s="120">
        <f>'Income Statement'!V108</f>
        <v>3.0912163224975715E-2</v>
      </c>
      <c r="W55" s="120">
        <f>'Income Statement'!X108</f>
        <v>3.3148781732515537E-2</v>
      </c>
      <c r="X55" s="120">
        <f>'Income Statement'!Y108</f>
        <v>3.8656003502944791E-2</v>
      </c>
      <c r="Y55" s="120">
        <f>'Income Statement'!Z108</f>
        <v>4.4017003317031095E-2</v>
      </c>
      <c r="Z55" s="120">
        <f>'Income Statement'!AA108</f>
        <v>4.2464192757869605E-2</v>
      </c>
      <c r="AA55" s="120">
        <f>'Income Statement'!AC108</f>
        <v>3.4291458226491524E-2</v>
      </c>
      <c r="AB55" s="120">
        <f>'Income Statement'!AD108</f>
        <v>3.4131546989228753E-2</v>
      </c>
      <c r="AC55" s="120">
        <f>'Income Statement'!AE108</f>
        <v>3.6516125038847401E-2</v>
      </c>
      <c r="AD55" s="120">
        <f>'Income Statement'!AF108</f>
        <v>3.7820184272669033E-2</v>
      </c>
      <c r="AE55" s="120">
        <f>'Income Statement'!AH108</f>
        <v>3.8501411708162257E-2</v>
      </c>
      <c r="AF55" s="120">
        <f>'Income Statement'!AI108</f>
        <v>4.1265472895692809E-2</v>
      </c>
      <c r="AG55" s="120">
        <f>'Income Statement'!AJ108</f>
        <v>4.4339650444962596E-2</v>
      </c>
      <c r="AH55" s="120">
        <f>'Income Statement'!AK108</f>
        <v>4.5629746915318126E-2</v>
      </c>
      <c r="AI55" s="120">
        <f>'Income Statement'!AM108</f>
        <v>4.6725467254672547E-2</v>
      </c>
      <c r="AJ55" s="120">
        <f>'Income Statement'!AN108</f>
        <v>5.1818700005181864E-2</v>
      </c>
      <c r="AK55" s="120">
        <f>'Income Statement'!AO108</f>
        <v>8.0145205784187809E-2</v>
      </c>
      <c r="AL55" s="120">
        <f>'Income Statement'!AP108</f>
        <v>9.2101761353747993E-2</v>
      </c>
      <c r="AM55" s="120">
        <f>'Income Statement'!AR108</f>
        <v>0.10558000316845274</v>
      </c>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538"/>
      <c r="CC55" s="316"/>
      <c r="CJ55" t="s">
        <v>479</v>
      </c>
      <c r="CL55" s="301">
        <f>'Income Statement'!C108</f>
        <v>0</v>
      </c>
      <c r="CM55" s="301">
        <f>'Income Statement'!H108</f>
        <v>0</v>
      </c>
      <c r="CN55" s="301">
        <f>'Income Statement'!M108</f>
        <v>0</v>
      </c>
      <c r="CO55" s="301">
        <f>'Income Statement'!R108</f>
        <v>5.0792209068561286E-2</v>
      </c>
      <c r="CP55" s="301">
        <f>'Income Statement'!W108</f>
        <v>4.2370689655172412E-2</v>
      </c>
      <c r="CQ55" s="301">
        <f>'Income Statement'!AB108</f>
        <v>3.8430770990626036E-2</v>
      </c>
      <c r="CR55" s="301">
        <f>'Income Statement'!AG108</f>
        <v>3.5710550531775055E-2</v>
      </c>
      <c r="CS55" s="301">
        <f>'Income Statement'!AL108</f>
        <v>4.399302820174042E-2</v>
      </c>
      <c r="CT55" s="301">
        <f>'Income Statement'!AQ108</f>
        <v>6.7697783599447545E-2</v>
      </c>
      <c r="CU55" s="301">
        <f>'Income Statement'!AV108</f>
        <v>9.8820871041715774E-2</v>
      </c>
      <c r="CV55" s="301">
        <f>'Income Statement'!BA108</f>
        <v>8.3997740385458403E-2</v>
      </c>
      <c r="CW55" s="301">
        <f>'Income Statement'!BF108</f>
        <v>7.1398079327639641E-2</v>
      </c>
      <c r="CX55" s="301">
        <f>'Income Statement'!BK108</f>
        <v>6.0688367428493692E-2</v>
      </c>
      <c r="CY55" s="301">
        <f>'Income Statement'!BP108</f>
        <v>5.1585112314219639E-2</v>
      </c>
      <c r="CZ55" s="301">
        <f>'Income Statement'!BU108</f>
        <v>4.3847345467086692E-2</v>
      </c>
      <c r="DA55" s="301">
        <f>'Income Statement'!BZ108</f>
        <v>3.7270243647023686E-2</v>
      </c>
      <c r="DB55" s="301">
        <f>'Income Statement'!CE108</f>
        <v>3.1679707099970131E-2</v>
      </c>
      <c r="DC55" s="301">
        <f>'Income Statement'!CJ108</f>
        <v>3.1046112957970728E-2</v>
      </c>
      <c r="DD55" s="301">
        <f>'Income Statement'!CO108</f>
        <v>3.0735651828391022E-2</v>
      </c>
      <c r="DE55" s="301">
        <f>'Income Statement'!CP108</f>
        <v>3.0428295310107111E-2</v>
      </c>
      <c r="DF55" s="301">
        <f>'Income Statement'!CQ108</f>
        <v>3.0124012357006041E-2</v>
      </c>
      <c r="DG55" s="301">
        <f>'Income Statement'!CR108</f>
        <v>2.982277223343598E-2</v>
      </c>
      <c r="DH55" s="301">
        <f>'Income Statement'!CS108</f>
        <v>2.9524544511101619E-2</v>
      </c>
      <c r="DI55" s="301">
        <f>'Income Statement'!CT108</f>
        <v>2.9229299065990602E-2</v>
      </c>
    </row>
    <row r="56" spans="1:113">
      <c r="A56" s="96" t="s">
        <v>480</v>
      </c>
      <c r="B56" s="96"/>
      <c r="C56" s="116"/>
      <c r="D56" s="116"/>
      <c r="E56" s="116"/>
      <c r="F56" s="116"/>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1535"/>
      <c r="CC56" s="316"/>
      <c r="CJ56" t="s">
        <v>480</v>
      </c>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270"/>
      <c r="DI56" s="270"/>
    </row>
    <row r="57" spans="1:113">
      <c r="A57" s="98" t="s">
        <v>692</v>
      </c>
      <c r="B57" s="98"/>
      <c r="C57" s="120"/>
      <c r="D57" s="120"/>
      <c r="E57" s="120"/>
      <c r="F57" s="120"/>
      <c r="G57" s="60"/>
      <c r="H57" s="60"/>
      <c r="I57" s="60"/>
      <c r="J57" s="60"/>
      <c r="K57" s="60"/>
      <c r="L57" s="60"/>
      <c r="M57" s="60"/>
      <c r="N57" s="60"/>
      <c r="O57" s="60"/>
      <c r="P57" s="60"/>
      <c r="Q57" s="60"/>
      <c r="R57" s="60"/>
      <c r="S57" s="60"/>
      <c r="T57" s="60"/>
      <c r="U57" s="60"/>
      <c r="V57" s="60"/>
      <c r="W57" s="60"/>
      <c r="X57" s="60"/>
      <c r="Y57" s="60"/>
      <c r="Z57" s="60"/>
      <c r="AA57" s="60"/>
      <c r="AB57" s="60">
        <f>'Income Statement'!AD161</f>
        <v>411.69561204799055</v>
      </c>
      <c r="AC57" s="60">
        <f>'Income Statement'!AE161</f>
        <v>330.06329113924062</v>
      </c>
      <c r="AD57" s="60">
        <f>'Income Statement'!AF161</f>
        <v>299.88505747126442</v>
      </c>
      <c r="AE57" s="60">
        <f>'Income Statement'!AH161</f>
        <v>188.03721754541425</v>
      </c>
      <c r="AF57" s="60">
        <f>'Income Statement'!AI161</f>
        <v>167.90968183373249</v>
      </c>
      <c r="AG57" s="60">
        <f>'Income Statement'!AJ161</f>
        <v>149.93883792048928</v>
      </c>
      <c r="AH57" s="60">
        <f>'Income Statement'!AK161</f>
        <v>133.3241758241758</v>
      </c>
      <c r="AI57" s="60">
        <f>'Income Statement'!AM161</f>
        <v>107.12264150943396</v>
      </c>
      <c r="AJ57" s="60">
        <f>'Income Statement'!AN161</f>
        <v>103.28027864732596</v>
      </c>
      <c r="AK57" s="60">
        <f>'Income Statement'!AO161</f>
        <v>112.43790164532152</v>
      </c>
      <c r="AL57" s="60">
        <f>'Income Statement'!AP161</f>
        <v>92.066744730679133</v>
      </c>
      <c r="AM57" s="60">
        <f>'Income Statement'!AR161</f>
        <v>56.669076771723539</v>
      </c>
      <c r="AN57" s="60">
        <f>'Income Statement'!AS161</f>
        <v>39.58580615444577</v>
      </c>
      <c r="AO57" s="60">
        <f>'Income Statement'!AT161</f>
        <v>34.958679595499042</v>
      </c>
      <c r="AP57" s="60">
        <f>'Income Statement'!AU161</f>
        <v>26.036342986939243</v>
      </c>
      <c r="AQ57" s="60">
        <f>'Income Statement'!AW161</f>
        <v>19.891868512110726</v>
      </c>
      <c r="AR57" s="60">
        <f>'Income Statement'!AX161</f>
        <v>16.773440106773442</v>
      </c>
      <c r="AS57" s="60">
        <f>'Income Statement'!AY161</f>
        <v>15.956482320942888</v>
      </c>
      <c r="AT57" s="60">
        <f>'Income Statement'!AZ161</f>
        <v>13.812225947897856</v>
      </c>
      <c r="AU57" s="60">
        <f>'Income Statement'!BB161</f>
        <v>11.520958083832335</v>
      </c>
      <c r="AV57" s="60">
        <f>'Income Statement'!BC161</f>
        <v>9.2335907335907343</v>
      </c>
      <c r="AW57" s="60">
        <f>'Income Statement'!BD161</f>
        <v>8.3788767812238056</v>
      </c>
      <c r="AX57" s="60">
        <f>'Income Statement'!BE161</f>
        <v>7.9138627187079402</v>
      </c>
      <c r="AY57" s="60">
        <f>'Income Statement'!BG161</f>
        <v>7.583051801801802</v>
      </c>
      <c r="AZ57" s="60">
        <f>'Income Statement'!BH161</f>
        <v>6.9176413255360618</v>
      </c>
      <c r="BA57" s="60">
        <f>'Income Statement'!BI161</f>
        <v>6.921277342379228</v>
      </c>
      <c r="BB57" s="60">
        <f>'Income Statement'!BJ161</f>
        <v>6.273145670555496</v>
      </c>
      <c r="BC57" s="60">
        <f>'Income Statement'!BL161</f>
        <v>5.98</v>
      </c>
      <c r="BD57" s="60">
        <f>'Income Statement'!BM161</f>
        <v>5.0434070434070435</v>
      </c>
      <c r="BE57" s="60">
        <f>'Income Statement'!BN161</f>
        <v>4.8086274509803921</v>
      </c>
      <c r="BF57" s="60">
        <f>'Income Statement'!BO161</f>
        <v>4.2594476744186043</v>
      </c>
      <c r="BG57" s="60">
        <f>'Income Statement'!BQ161</f>
        <v>4.0632638389647733</v>
      </c>
      <c r="BH57" s="60">
        <f>'Income Statement'!BR161</f>
        <v>3.912849872773537</v>
      </c>
      <c r="BI57" s="60">
        <f>'Income Statement'!BS161</f>
        <v>3.6527293844367015</v>
      </c>
      <c r="BJ57" s="60">
        <f>'Income Statement'!BT161</f>
        <v>3.4396782841823055</v>
      </c>
      <c r="BK57" s="60">
        <f>'Income Statement'!BV161</f>
        <v>3.351642434033387</v>
      </c>
      <c r="BL57" s="60">
        <f>'Income Statement'!BW161</f>
        <v>3.3499747856782651</v>
      </c>
      <c r="BM57" s="60">
        <f>'Income Statement'!BX161</f>
        <v>3.3460410557184752</v>
      </c>
      <c r="BN57" s="60">
        <f>'Income Statement'!BY161</f>
        <v>3.2459639126305793</v>
      </c>
      <c r="BO57" s="60">
        <f>'Income Statement'!CA161</f>
        <v>3.1352087114337568</v>
      </c>
      <c r="BP57" s="60">
        <f>'Income Statement'!CB161</f>
        <v>3.0591353996737358</v>
      </c>
      <c r="BQ57" s="60">
        <f>'Income Statement'!CC161</f>
        <v>2.9804321239298819</v>
      </c>
      <c r="BR57" s="60">
        <f>'Income Statement'!CD161</f>
        <v>3.036773428232503</v>
      </c>
      <c r="BS57" s="60">
        <f>'Income Statement'!CF161</f>
        <v>2.9984668455346877</v>
      </c>
      <c r="BT57" s="60">
        <f>'Income Statement'!CG161</f>
        <v>3.0133360902255641</v>
      </c>
      <c r="BU57" s="60">
        <f>'Income Statement'!CH161</f>
        <v>2.9518402505873138</v>
      </c>
      <c r="BV57" s="60">
        <f>'Income Statement'!CI161</f>
        <v>3.0106461086637299</v>
      </c>
      <c r="BW57" s="60">
        <f>'Income Statement'!CK161</f>
        <v>2.7693117977528088</v>
      </c>
      <c r="BX57" s="60">
        <f>'Income Statement'!CL161</f>
        <v>2.5095624836258841</v>
      </c>
      <c r="BY57" s="1539">
        <f>'Income Statement'!CM161</f>
        <v>2.6369459390212655</v>
      </c>
      <c r="CC57" s="316"/>
      <c r="CJ57" t="s">
        <v>481</v>
      </c>
      <c r="CL57" s="270">
        <f>'Income Statement'!C161</f>
        <v>0</v>
      </c>
      <c r="CM57" s="270">
        <f>'Income Statement'!H161</f>
        <v>0</v>
      </c>
      <c r="CN57" s="270">
        <f>'Income Statement'!M161</f>
        <v>0</v>
      </c>
      <c r="CO57" s="270">
        <f>'Income Statement'!R161</f>
        <v>0</v>
      </c>
      <c r="CP57" s="270">
        <f>'Income Statement'!W161</f>
        <v>0</v>
      </c>
      <c r="CQ57" s="270">
        <f>'Income Statement'!AB161</f>
        <v>0</v>
      </c>
      <c r="CR57" s="270">
        <f>'Income Statement'!AG161</f>
        <v>374.33395872420266</v>
      </c>
      <c r="CS57" s="270">
        <f>'Income Statement'!AL161</f>
        <v>156.39371381306864</v>
      </c>
      <c r="CT57" s="270">
        <f>'Income Statement'!AQ161</f>
        <v>103.02200751476113</v>
      </c>
      <c r="CU57" s="270">
        <f>'Income Statement'!AV161</f>
        <v>36.514308426073136</v>
      </c>
      <c r="CV57" s="270">
        <f>'Income Statement'!BA161</f>
        <v>16.215286114445778</v>
      </c>
      <c r="CW57" s="270">
        <f>'Income Statement'!BF161</f>
        <v>9.0348525469168912</v>
      </c>
      <c r="CX57" s="270">
        <f>'Income Statement'!BK161</f>
        <v>6.8795928201421521</v>
      </c>
      <c r="CY57" s="270">
        <f>'Income Statement'!BP161</f>
        <v>4.9527914614121507</v>
      </c>
      <c r="CZ57" s="270">
        <f>'Income Statement'!BU161</f>
        <v>3.7416793893129769</v>
      </c>
      <c r="DA57" s="270">
        <f>'Income Statement'!BZ161</f>
        <v>3.3219469469469471</v>
      </c>
      <c r="DB57" s="270">
        <f>'Income Statement'!CE161</f>
        <v>3.0506329113924049</v>
      </c>
      <c r="DC57" s="270">
        <f>'Income Statement'!CJ161</f>
        <v>2.9940716791504696</v>
      </c>
      <c r="DD57" s="270">
        <f>'Income Statement'!CO161</f>
        <v>2.9341902455674602</v>
      </c>
      <c r="DE57" s="270">
        <f>'Income Statement'!CP161</f>
        <v>2.8755064406561108</v>
      </c>
      <c r="DF57" s="270">
        <f>'Income Statement'!CQ161</f>
        <v>2.8179963118429887</v>
      </c>
      <c r="DG57" s="270">
        <f>'Income Statement'!CR161</f>
        <v>2.761636385606129</v>
      </c>
      <c r="DH57" s="270">
        <f>'Income Statement'!CS161</f>
        <v>2.7064036578940063</v>
      </c>
      <c r="DI57" s="270">
        <f>'Income Statement'!CT161</f>
        <v>2.6522755847361261</v>
      </c>
    </row>
    <row r="58" spans="1:113">
      <c r="A58" s="96"/>
      <c r="B58" s="9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1535"/>
      <c r="CC58" s="316"/>
      <c r="CT58" s="270"/>
      <c r="CU58" s="270"/>
      <c r="CV58" s="270"/>
      <c r="CW58" s="270"/>
      <c r="CX58" s="270"/>
      <c r="CY58" s="270"/>
      <c r="CZ58" s="270"/>
      <c r="DA58" s="270"/>
      <c r="DB58" s="270"/>
      <c r="DC58" s="270"/>
      <c r="DD58" s="270"/>
      <c r="DE58" s="270"/>
      <c r="DF58" s="270"/>
      <c r="DG58" s="270"/>
      <c r="DH58" s="270"/>
      <c r="DI58" s="270"/>
    </row>
    <row r="59" spans="1:113">
      <c r="A59" s="96" t="s">
        <v>482</v>
      </c>
      <c r="B59" s="96"/>
      <c r="C59" s="116"/>
      <c r="D59" s="116"/>
      <c r="E59" s="116"/>
      <c r="F59" s="116"/>
      <c r="G59" s="116"/>
      <c r="H59" s="116"/>
      <c r="I59" s="116"/>
      <c r="J59" s="116"/>
      <c r="K59" s="116"/>
      <c r="L59" s="116"/>
      <c r="M59" s="116"/>
      <c r="N59" s="116">
        <v>19439</v>
      </c>
      <c r="O59" s="116"/>
      <c r="P59" s="116"/>
      <c r="Q59" s="116"/>
      <c r="R59" s="116">
        <v>19482</v>
      </c>
      <c r="S59" s="116">
        <v>20244</v>
      </c>
      <c r="T59" s="116"/>
      <c r="U59" s="116"/>
      <c r="V59" s="116">
        <v>23363</v>
      </c>
      <c r="W59" s="116">
        <v>24234</v>
      </c>
      <c r="X59" s="116">
        <v>24949</v>
      </c>
      <c r="Y59" s="116">
        <v>25481</v>
      </c>
      <c r="Z59" s="116">
        <v>26310</v>
      </c>
      <c r="AA59" s="116">
        <v>26524</v>
      </c>
      <c r="AB59" s="116">
        <v>27107</v>
      </c>
      <c r="AC59" s="116">
        <v>28074</v>
      </c>
      <c r="AD59" s="116">
        <v>29878</v>
      </c>
      <c r="AE59" s="59">
        <v>36698</v>
      </c>
      <c r="AF59" s="59"/>
      <c r="AG59" s="59">
        <v>34253</v>
      </c>
      <c r="AH59" s="59">
        <v>36006</v>
      </c>
      <c r="AI59" s="59"/>
      <c r="AJ59" s="59">
        <v>37072</v>
      </c>
      <c r="AK59" s="59">
        <v>37364</v>
      </c>
      <c r="AL59" s="59"/>
      <c r="AM59" s="59">
        <v>37430</v>
      </c>
      <c r="AN59" s="59"/>
      <c r="AO59" s="59">
        <v>37582</v>
      </c>
      <c r="AP59" s="59">
        <v>37549</v>
      </c>
      <c r="AQ59" s="59">
        <v>37575</v>
      </c>
      <c r="AR59" s="59">
        <v>37749</v>
      </c>
      <c r="AS59" s="59">
        <v>37832</v>
      </c>
      <c r="AT59" s="59">
        <v>37802</v>
      </c>
      <c r="AU59" s="337">
        <f>'[16]Domestic Mobile Operations'!X10</f>
        <v>37750</v>
      </c>
      <c r="AV59" s="337">
        <f>'[16]Domestic Mobile Operations'!Y10</f>
        <v>37700</v>
      </c>
      <c r="AW59" s="337">
        <f>'[16]Domestic Mobile Operations'!Z10</f>
        <v>37630</v>
      </c>
      <c r="AX59" s="337">
        <f>'[16]Domestic Mobile Operations'!AA10</f>
        <v>37426</v>
      </c>
      <c r="AY59" s="337">
        <f>'[16]Domestic Mobile Operations'!AB10</f>
        <v>36929</v>
      </c>
      <c r="AZ59" s="337">
        <f>'[16]Domestic Mobile Operations'!AC10</f>
        <v>36674</v>
      </c>
      <c r="BA59" s="337">
        <f>'[16]Domestic Mobile Operations'!AD10</f>
        <v>36054</v>
      </c>
      <c r="BB59" s="337">
        <f>'[16]Domestic Mobile Operations'!AE10</f>
        <v>35926</v>
      </c>
      <c r="BC59" s="337">
        <f>'[16]Domestic Mobile Operations'!AF10</f>
        <v>35819</v>
      </c>
      <c r="BD59" s="337">
        <f>'[16]Domestic Mobile Operations'!AG10</f>
        <v>35590</v>
      </c>
      <c r="BE59" s="337">
        <f>'[16]Domestic Mobile Operations'!AH10</f>
        <v>36030</v>
      </c>
      <c r="BF59" s="337">
        <f>'[16]Domestic Mobile Operations'!AI10</f>
        <v>37446</v>
      </c>
      <c r="BG59" s="337">
        <f>'[16]Domestic Mobile Operations'!AJ10</f>
        <v>37805</v>
      </c>
      <c r="BH59" s="337">
        <f>'[16]Domestic Mobile Operations'!AK10</f>
        <v>38517</v>
      </c>
      <c r="BI59" s="337">
        <f>'[16]Domestic Mobile Operations'!AL10</f>
        <v>39546</v>
      </c>
      <c r="BJ59" s="337">
        <f>'[16]Domestic Mobile Operations'!AM10</f>
        <v>43421</v>
      </c>
      <c r="BK59" s="337">
        <f>'[16]Domestic Mobile Operations'!AN10</f>
        <v>49149</v>
      </c>
      <c r="BL59" s="337">
        <f>'[16]Domestic Mobile Operations'!AO10</f>
        <v>56003</v>
      </c>
      <c r="BM59" s="337">
        <f>'[16]Domestic Mobile Operations'!AP10</f>
        <v>55304</v>
      </c>
      <c r="BN59" s="337">
        <f>'[16]Domestic Mobile Operations'!AQ10</f>
        <v>53136</v>
      </c>
      <c r="BO59" s="337">
        <f>'[16]Domestic Mobile Operations'!AR10</f>
        <v>53135</v>
      </c>
      <c r="BP59" s="337">
        <f>'[16]Domestic Mobile Operations'!AS10</f>
        <v>53136</v>
      </c>
      <c r="BQ59" s="337">
        <f>'[16]Domestic Mobile Operations'!AT10</f>
        <v>53653</v>
      </c>
      <c r="BR59" s="337">
        <f>'[16]Domestic Mobile Operations'!AU10</f>
        <v>54074</v>
      </c>
      <c r="BS59" s="337">
        <f>'[16]Domestic Mobile Operations'!AV10</f>
        <v>54823</v>
      </c>
      <c r="BT59" s="337">
        <f>'[16]Domestic Mobile Operations'!AW10</f>
        <v>54337</v>
      </c>
      <c r="BU59" s="337">
        <f>'[16]Domestic Mobile Operations'!AX10</f>
        <v>54440</v>
      </c>
      <c r="BV59" s="337">
        <f>'[16]Domestic Mobile Operations'!AY10</f>
        <v>54521</v>
      </c>
      <c r="BW59" s="337">
        <f>'[16]Domestic Mobile Operations'!AZ10</f>
        <v>49442</v>
      </c>
      <c r="BX59" s="337">
        <f>'[16]Domestic Mobile Operations'!BA10</f>
        <v>49471</v>
      </c>
      <c r="BY59" s="1540">
        <f>'[16]Domestic Mobile Operations'!BB10</f>
        <v>49518</v>
      </c>
      <c r="CC59" s="316"/>
      <c r="CJ59" t="s">
        <v>482</v>
      </c>
      <c r="CT59" s="270"/>
      <c r="CU59" s="270"/>
      <c r="CV59" s="270"/>
      <c r="CW59" s="270"/>
      <c r="CX59" s="270"/>
      <c r="CY59" s="270"/>
      <c r="CZ59" s="270"/>
      <c r="DA59" s="270"/>
      <c r="DB59" s="270"/>
      <c r="DC59" s="270"/>
      <c r="DD59" s="270"/>
      <c r="DE59" s="270"/>
      <c r="DF59" s="270"/>
      <c r="DG59" s="270"/>
      <c r="DH59" s="270"/>
      <c r="DI59" s="270"/>
    </row>
    <row r="60" spans="1:113">
      <c r="A60" s="96" t="s">
        <v>483</v>
      </c>
      <c r="B60" s="96"/>
      <c r="C60" s="116"/>
      <c r="D60" s="116"/>
      <c r="E60" s="116"/>
      <c r="F60" s="116"/>
      <c r="G60" s="116"/>
      <c r="H60" s="116"/>
      <c r="I60" s="116"/>
      <c r="J60" s="116"/>
      <c r="K60" s="116"/>
      <c r="L60" s="116"/>
      <c r="M60" s="116"/>
      <c r="N60" s="116">
        <v>2044</v>
      </c>
      <c r="O60" s="116"/>
      <c r="P60" s="116"/>
      <c r="Q60" s="116">
        <v>2461</v>
      </c>
      <c r="R60" s="116">
        <v>2709</v>
      </c>
      <c r="S60" s="116">
        <v>3023</v>
      </c>
      <c r="T60" s="116">
        <v>3521</v>
      </c>
      <c r="U60" s="116">
        <v>3952</v>
      </c>
      <c r="V60" s="116">
        <v>4909</v>
      </c>
      <c r="W60" s="116">
        <v>6498</v>
      </c>
      <c r="X60" s="116">
        <v>8788</v>
      </c>
      <c r="Y60" s="116">
        <v>10620</v>
      </c>
      <c r="Z60" s="116">
        <v>13142</v>
      </c>
      <c r="AA60" s="116">
        <v>13925</v>
      </c>
      <c r="AB60" s="116">
        <v>14186</v>
      </c>
      <c r="AC60" s="116">
        <v>14722</v>
      </c>
      <c r="AD60" s="116">
        <v>15068</v>
      </c>
      <c r="AE60" s="59">
        <v>18519</v>
      </c>
      <c r="AF60" s="59">
        <v>15300</v>
      </c>
      <c r="AG60" s="59">
        <v>15429</v>
      </c>
      <c r="AH60" s="59">
        <v>16006</v>
      </c>
      <c r="AI60" s="59"/>
      <c r="AJ60" s="59">
        <v>17246</v>
      </c>
      <c r="AK60" s="59">
        <v>17918</v>
      </c>
      <c r="AL60" s="59"/>
      <c r="AM60" s="59">
        <v>18324</v>
      </c>
      <c r="AN60" s="59"/>
      <c r="AO60" s="59">
        <v>33939</v>
      </c>
      <c r="AP60" s="59">
        <v>38731</v>
      </c>
      <c r="AQ60" s="59">
        <v>39743</v>
      </c>
      <c r="AR60" s="59">
        <v>42167</v>
      </c>
      <c r="AS60" s="59">
        <v>44462</v>
      </c>
      <c r="AT60" s="59">
        <v>45864</v>
      </c>
      <c r="AU60" s="337">
        <f>'[16]Domestic Mobile Operations'!X11</f>
        <v>47853</v>
      </c>
      <c r="AV60" s="337">
        <f>'[16]Domestic Mobile Operations'!Y11</f>
        <v>49401</v>
      </c>
      <c r="AW60" s="337">
        <f>'[16]Domestic Mobile Operations'!Z11</f>
        <v>50476</v>
      </c>
      <c r="AX60" s="337">
        <f>'[16]Domestic Mobile Operations'!AA11</f>
        <v>51398</v>
      </c>
      <c r="AY60" s="337">
        <f>'[16]Domestic Mobile Operations'!AB11</f>
        <v>52140</v>
      </c>
      <c r="AZ60" s="337">
        <f>'[16]Domestic Mobile Operations'!AC11</f>
        <v>53260</v>
      </c>
      <c r="BA60" s="337">
        <f>'[16]Domestic Mobile Operations'!AD11</f>
        <v>53911</v>
      </c>
      <c r="BB60" s="337">
        <f>'[16]Domestic Mobile Operations'!AE11</f>
        <v>54027</v>
      </c>
      <c r="BC60" s="337">
        <f>'[16]Domestic Mobile Operations'!AF11</f>
        <v>54138</v>
      </c>
      <c r="BD60" s="337">
        <f>'[16]Domestic Mobile Operations'!AG11</f>
        <v>54046</v>
      </c>
      <c r="BE60" s="337">
        <f>'[16]Domestic Mobile Operations'!AH11</f>
        <v>53513</v>
      </c>
      <c r="BF60" s="337">
        <f>'[16]Domestic Mobile Operations'!AI11</f>
        <v>53235</v>
      </c>
      <c r="BG60" s="337">
        <f>'[16]Domestic Mobile Operations'!AJ11</f>
        <v>52892</v>
      </c>
      <c r="BH60" s="337">
        <f>'[16]Domestic Mobile Operations'!AK11</f>
        <v>52534</v>
      </c>
      <c r="BI60" s="337">
        <f>'[16]Domestic Mobile Operations'!AL11</f>
        <v>43908</v>
      </c>
      <c r="BJ60" s="337">
        <f>'[16]Domestic Mobile Operations'!AM11</f>
        <v>41657</v>
      </c>
      <c r="BK60" s="337">
        <f>'[16]Domestic Mobile Operations'!AN11</f>
        <v>4566</v>
      </c>
      <c r="BL60" s="337">
        <f>'[16]Domestic Mobile Operations'!AO11</f>
        <v>4221</v>
      </c>
      <c r="BM60" s="337">
        <f>'[16]Domestic Mobile Operations'!AP11</f>
        <v>1989</v>
      </c>
      <c r="BN60" s="337">
        <f>'[16]Domestic Mobile Operations'!AQ11</f>
        <v>1255</v>
      </c>
      <c r="BO60" s="337">
        <f>'[16]Domestic Mobile Operations'!AR11</f>
        <v>1252</v>
      </c>
      <c r="BP60" s="337">
        <f>'[16]Domestic Mobile Operations'!AS11</f>
        <v>1226</v>
      </c>
      <c r="BQ60" s="337">
        <f>'[16]Domestic Mobile Operations'!AT11</f>
        <v>1164</v>
      </c>
      <c r="BR60" s="337">
        <f>'[16]Domestic Mobile Operations'!AU11</f>
        <v>1057</v>
      </c>
      <c r="BS60" s="337">
        <f>'[16]Domestic Mobile Operations'!AV11</f>
        <v>377</v>
      </c>
      <c r="BT60" s="337">
        <f>'[16]Domestic Mobile Operations'!AW11</f>
        <v>377</v>
      </c>
      <c r="BU60" s="337">
        <f>'[16]Domestic Mobile Operations'!AX11</f>
        <v>374</v>
      </c>
      <c r="BV60" s="337">
        <f>'[16]Domestic Mobile Operations'!AY11</f>
        <v>348</v>
      </c>
      <c r="BW60" s="337">
        <f>'[16]Domestic Mobile Operations'!AZ11</f>
        <v>49</v>
      </c>
      <c r="BX60" s="337">
        <f>'[16]Domestic Mobile Operations'!BA11</f>
        <v>8</v>
      </c>
      <c r="BY60" s="1540">
        <f>'[16]Domestic Mobile Operations'!BB11</f>
        <v>0</v>
      </c>
      <c r="CC60" s="316"/>
      <c r="CJ60" t="s">
        <v>483</v>
      </c>
      <c r="CT60" s="270"/>
      <c r="CU60" s="270"/>
      <c r="CV60" s="270"/>
      <c r="CW60" s="270"/>
      <c r="CX60" s="270"/>
      <c r="CY60" s="270"/>
      <c r="CZ60" s="270"/>
      <c r="DA60" s="270"/>
      <c r="DB60" s="270"/>
      <c r="DC60" s="270"/>
      <c r="DD60" s="270"/>
      <c r="DE60" s="270"/>
      <c r="DF60" s="270"/>
      <c r="DG60" s="270"/>
      <c r="DH60" s="270"/>
      <c r="DI60" s="270"/>
    </row>
    <row r="61" spans="1:113">
      <c r="A61" s="96" t="s">
        <v>484</v>
      </c>
      <c r="B61" s="9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59"/>
      <c r="AF61" s="59"/>
      <c r="AG61" s="59"/>
      <c r="AH61" s="59"/>
      <c r="AI61" s="59"/>
      <c r="AJ61" s="59">
        <v>232</v>
      </c>
      <c r="AK61" s="59">
        <v>1018</v>
      </c>
      <c r="AL61" s="59"/>
      <c r="AM61" s="59">
        <v>3286</v>
      </c>
      <c r="AN61" s="59"/>
      <c r="AO61" s="59">
        <v>7204</v>
      </c>
      <c r="AP61" s="59">
        <v>8204</v>
      </c>
      <c r="AQ61" s="59">
        <v>10330</v>
      </c>
      <c r="AR61" s="59">
        <v>13591</v>
      </c>
      <c r="AS61" s="59">
        <v>15711</v>
      </c>
      <c r="AT61" s="59">
        <v>17428</v>
      </c>
      <c r="AU61" s="337">
        <f>'[16]Domestic Mobile Operations'!X12</f>
        <v>20189</v>
      </c>
      <c r="AV61" s="337">
        <f>'[16]Domestic Mobile Operations'!Y12</f>
        <v>24685</v>
      </c>
      <c r="AW61" s="337">
        <f>'[16]Domestic Mobile Operations'!Z12</f>
        <v>28028</v>
      </c>
      <c r="AX61" s="337">
        <f>'[16]Domestic Mobile Operations'!AA12</f>
        <v>29772</v>
      </c>
      <c r="AY61" s="337">
        <f>'[16]Domestic Mobile Operations'!AB12</f>
        <v>33106</v>
      </c>
      <c r="AZ61" s="337">
        <f>'[16]Domestic Mobile Operations'!AC12</f>
        <v>37323</v>
      </c>
      <c r="BA61" s="337">
        <f>'[16]Domestic Mobile Operations'!AD12</f>
        <v>39296</v>
      </c>
      <c r="BB61" s="337">
        <f>'[16]Domestic Mobile Operations'!AE12</f>
        <v>40264</v>
      </c>
      <c r="BC61" s="337">
        <f>'[16]Domestic Mobile Operations'!AF12</f>
        <v>43579</v>
      </c>
      <c r="BD61" s="337">
        <f>'[16]Domestic Mobile Operations'!AG12</f>
        <v>49744</v>
      </c>
      <c r="BE61" s="337">
        <f>'[16]Domestic Mobile Operations'!AH12</f>
        <v>53055</v>
      </c>
      <c r="BF61" s="337">
        <f>'[16]Domestic Mobile Operations'!AI12</f>
        <v>54297</v>
      </c>
      <c r="BG61" s="337">
        <f>'[16]Domestic Mobile Operations'!AJ12</f>
        <v>57089</v>
      </c>
      <c r="BH61" s="337">
        <f>'[16]Domestic Mobile Operations'!AK12</f>
        <v>65658</v>
      </c>
      <c r="BI61" s="337">
        <f>'[16]Domestic Mobile Operations'!AL12</f>
        <v>69903</v>
      </c>
      <c r="BJ61" s="337">
        <f>'[16]Domestic Mobile Operations'!AM12</f>
        <v>77204</v>
      </c>
      <c r="BK61" s="337">
        <f>'[16]Domestic Mobile Operations'!AN12</f>
        <v>83873</v>
      </c>
      <c r="BL61" s="337">
        <f>'[16]Domestic Mobile Operations'!AO12</f>
        <v>88447</v>
      </c>
      <c r="BM61" s="337">
        <f>'[16]Domestic Mobile Operations'!AP12</f>
        <v>90174</v>
      </c>
      <c r="BN61" s="337">
        <f>'[16]Domestic Mobile Operations'!AQ12</f>
        <v>91632</v>
      </c>
      <c r="BO61" s="337">
        <f>'[16]Domestic Mobile Operations'!AR12</f>
        <v>94380</v>
      </c>
      <c r="BP61" s="337">
        <f>'[16]Domestic Mobile Operations'!AS12</f>
        <v>97125</v>
      </c>
      <c r="BQ61" s="337">
        <f>'[16]Domestic Mobile Operations'!AT12</f>
        <v>103408</v>
      </c>
      <c r="BR61" s="337">
        <f>'[16]Domestic Mobile Operations'!AU12</f>
        <v>104993</v>
      </c>
      <c r="BS61" s="337">
        <f>'[16]Domestic Mobile Operations'!AV12</f>
        <v>107906</v>
      </c>
      <c r="BT61" s="337">
        <f>'[16]Domestic Mobile Operations'!AW12</f>
        <v>109170</v>
      </c>
      <c r="BU61" s="337">
        <f>'[16]Domestic Mobile Operations'!AX12</f>
        <v>110280</v>
      </c>
      <c r="BV61" s="337">
        <f>'[16]Domestic Mobile Operations'!AY12</f>
        <v>110995</v>
      </c>
      <c r="BW61" s="337">
        <f>'[16]Domestic Mobile Operations'!AZ12</f>
        <v>115493</v>
      </c>
      <c r="BX61" s="337">
        <f>'[16]Domestic Mobile Operations'!BA12</f>
        <v>160341</v>
      </c>
      <c r="BY61" s="1540">
        <f>'[16]Domestic Mobile Operations'!BB12</f>
        <v>159864</v>
      </c>
      <c r="CC61" s="316"/>
      <c r="CJ61" t="s">
        <v>484</v>
      </c>
      <c r="CT61" s="270"/>
      <c r="CU61" s="270"/>
      <c r="CV61" s="270"/>
      <c r="CW61" s="270"/>
      <c r="CX61" s="270"/>
      <c r="CY61" s="270"/>
      <c r="CZ61" s="270"/>
      <c r="DA61" s="270"/>
      <c r="DB61" s="270"/>
      <c r="DC61" s="270"/>
      <c r="DD61" s="270"/>
      <c r="DE61" s="270"/>
      <c r="DF61" s="270"/>
      <c r="DG61" s="270"/>
      <c r="DH61" s="270"/>
      <c r="DI61" s="270"/>
    </row>
    <row r="62" spans="1:113">
      <c r="A62" s="96" t="s">
        <v>485</v>
      </c>
      <c r="B62" s="96"/>
      <c r="C62" s="116"/>
      <c r="D62" s="116"/>
      <c r="E62" s="116"/>
      <c r="F62" s="116"/>
      <c r="G62" s="116"/>
      <c r="H62" s="116"/>
      <c r="I62" s="116"/>
      <c r="J62" s="116"/>
      <c r="K62" s="116"/>
      <c r="L62" s="116"/>
      <c r="M62" s="116"/>
      <c r="N62" s="116">
        <v>21483</v>
      </c>
      <c r="O62" s="116"/>
      <c r="P62" s="116"/>
      <c r="Q62" s="116"/>
      <c r="R62" s="116">
        <v>22191</v>
      </c>
      <c r="S62" s="116">
        <v>23267</v>
      </c>
      <c r="T62" s="116"/>
      <c r="U62" s="116"/>
      <c r="V62" s="116">
        <v>28273</v>
      </c>
      <c r="W62" s="116">
        <v>30732</v>
      </c>
      <c r="X62" s="116">
        <v>33737</v>
      </c>
      <c r="Y62" s="116">
        <v>36101</v>
      </c>
      <c r="Z62" s="116">
        <v>39452</v>
      </c>
      <c r="AA62" s="116">
        <v>40449</v>
      </c>
      <c r="AB62" s="116">
        <v>41293</v>
      </c>
      <c r="AC62" s="116">
        <v>42796</v>
      </c>
      <c r="AD62" s="116">
        <v>44946</v>
      </c>
      <c r="AE62" s="59">
        <v>55217</v>
      </c>
      <c r="AF62" s="59">
        <v>45600</v>
      </c>
      <c r="AG62" s="59">
        <v>49682</v>
      </c>
      <c r="AH62" s="59">
        <v>52012</v>
      </c>
      <c r="AI62" s="59">
        <v>0</v>
      </c>
      <c r="AJ62" s="59">
        <v>54550</v>
      </c>
      <c r="AK62" s="59">
        <v>56300</v>
      </c>
      <c r="AL62" s="59"/>
      <c r="AM62" s="59">
        <v>59040</v>
      </c>
      <c r="AN62" s="59"/>
      <c r="AO62" s="59">
        <v>78725</v>
      </c>
      <c r="AP62" s="59">
        <v>84484</v>
      </c>
      <c r="AQ62" s="59">
        <v>87648</v>
      </c>
      <c r="AR62" s="59">
        <v>93507</v>
      </c>
      <c r="AS62" s="59">
        <v>98005</v>
      </c>
      <c r="AT62" s="59">
        <v>101094</v>
      </c>
      <c r="AU62" s="59">
        <f>SUM(AU59:AU61)</f>
        <v>105792</v>
      </c>
      <c r="AV62" s="59">
        <f t="shared" ref="AV62:AX62" si="135">SUM(AV59:AV61)</f>
        <v>111786</v>
      </c>
      <c r="AW62" s="59">
        <f t="shared" si="135"/>
        <v>116134</v>
      </c>
      <c r="AX62" s="59">
        <f t="shared" si="135"/>
        <v>118596</v>
      </c>
      <c r="AY62" s="59">
        <f t="shared" ref="AY62:AZ62" si="136">SUM(AY59:AY61)</f>
        <v>122175</v>
      </c>
      <c r="AZ62" s="59">
        <f t="shared" si="136"/>
        <v>127257</v>
      </c>
      <c r="BA62" s="59">
        <f t="shared" ref="BA62:BJ62" si="137">SUM(BA59:BA61)</f>
        <v>129261</v>
      </c>
      <c r="BB62" s="59">
        <f t="shared" si="137"/>
        <v>130217</v>
      </c>
      <c r="BC62" s="59">
        <f t="shared" si="137"/>
        <v>133536</v>
      </c>
      <c r="BD62" s="59">
        <f t="shared" si="137"/>
        <v>139380</v>
      </c>
      <c r="BE62" s="59">
        <f t="shared" si="137"/>
        <v>142598</v>
      </c>
      <c r="BF62" s="59">
        <f t="shared" si="137"/>
        <v>144978</v>
      </c>
      <c r="BG62" s="59">
        <f t="shared" si="137"/>
        <v>147786</v>
      </c>
      <c r="BH62" s="59">
        <f t="shared" si="137"/>
        <v>156709</v>
      </c>
      <c r="BI62" s="59">
        <f t="shared" si="137"/>
        <v>153357</v>
      </c>
      <c r="BJ62" s="59">
        <f t="shared" si="137"/>
        <v>162282</v>
      </c>
      <c r="BK62" s="59">
        <f t="shared" ref="BK62" si="138">SUM(BK59:BK61)</f>
        <v>137588</v>
      </c>
      <c r="BL62" s="59">
        <f t="shared" ref="BL62:BM62" si="139">SUM(BL59:BL61)</f>
        <v>148671</v>
      </c>
      <c r="BM62" s="59">
        <f t="shared" si="139"/>
        <v>147467</v>
      </c>
      <c r="BN62" s="59">
        <f t="shared" ref="BN62:BO62" si="140">SUM(BN59:BN61)</f>
        <v>146023</v>
      </c>
      <c r="BO62" s="59">
        <f t="shared" si="140"/>
        <v>148767</v>
      </c>
      <c r="BP62" s="59">
        <f t="shared" ref="BP62:BQ62" si="141">SUM(BP59:BP61)</f>
        <v>151487</v>
      </c>
      <c r="BQ62" s="59">
        <f t="shared" si="141"/>
        <v>158225</v>
      </c>
      <c r="BR62" s="59">
        <f t="shared" ref="BR62:BS62" si="142">SUM(BR59:BR61)</f>
        <v>160124</v>
      </c>
      <c r="BS62" s="59">
        <f t="shared" si="142"/>
        <v>163106</v>
      </c>
      <c r="BT62" s="59">
        <f t="shared" ref="BT62:BU62" si="143">SUM(BT59:BT61)</f>
        <v>163884</v>
      </c>
      <c r="BU62" s="59">
        <f t="shared" si="143"/>
        <v>165094</v>
      </c>
      <c r="BV62" s="59">
        <f t="shared" ref="BV62:BW62" si="144">SUM(BV59:BV61)</f>
        <v>165864</v>
      </c>
      <c r="BW62" s="59">
        <f t="shared" si="144"/>
        <v>164984</v>
      </c>
      <c r="BX62" s="59">
        <f t="shared" ref="BX62" si="145">SUM(BX59:BX61)</f>
        <v>209820</v>
      </c>
      <c r="BY62" s="1535">
        <f>SUM(BY59:BY61)</f>
        <v>209382</v>
      </c>
      <c r="CC62" s="316"/>
      <c r="CJ62" t="s">
        <v>485</v>
      </c>
      <c r="CT62" s="270"/>
      <c r="CU62" s="270"/>
      <c r="CV62" s="270"/>
      <c r="CW62" s="270"/>
      <c r="CX62" s="270"/>
      <c r="CY62" s="270"/>
      <c r="CZ62" s="270"/>
      <c r="DA62" s="270"/>
      <c r="DB62" s="270"/>
      <c r="DC62" s="270"/>
      <c r="DD62" s="270"/>
      <c r="DE62" s="270"/>
      <c r="DF62" s="270"/>
      <c r="DG62" s="270"/>
      <c r="DH62" s="270"/>
      <c r="DI62" s="270"/>
    </row>
    <row r="63" spans="1:113">
      <c r="A63" s="96" t="s">
        <v>486</v>
      </c>
      <c r="B63" s="9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1535"/>
      <c r="CJ63" t="s">
        <v>486</v>
      </c>
      <c r="CT63" s="270"/>
      <c r="CU63" s="270"/>
      <c r="CV63" s="270"/>
      <c r="CW63" s="270"/>
      <c r="CX63" s="270"/>
      <c r="CY63" s="270"/>
      <c r="CZ63" s="270"/>
      <c r="DA63" s="270"/>
      <c r="DB63" s="270"/>
      <c r="DC63" s="270"/>
      <c r="DD63" s="270"/>
      <c r="DE63" s="270"/>
      <c r="DF63" s="270"/>
      <c r="DG63" s="270"/>
      <c r="DH63" s="270"/>
      <c r="DI63" s="270"/>
    </row>
    <row r="64" spans="1:113">
      <c r="A64" s="61" t="s">
        <v>487</v>
      </c>
      <c r="B64" s="107"/>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541"/>
    </row>
    <row r="65" spans="1:77">
      <c r="A65" s="99" t="s">
        <v>467</v>
      </c>
      <c r="B65" s="99"/>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542"/>
    </row>
    <row r="66" spans="1:77">
      <c r="A66" s="99" t="s">
        <v>2</v>
      </c>
      <c r="B66" s="99"/>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542"/>
    </row>
    <row r="67" spans="1:77">
      <c r="A67" s="63" t="s">
        <v>99</v>
      </c>
      <c r="B67" s="107"/>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703"/>
      <c r="AZ67" s="703"/>
      <c r="BA67" s="703"/>
      <c r="BB67" s="703"/>
      <c r="BC67" s="703"/>
      <c r="BD67" s="703"/>
      <c r="BE67" s="703"/>
      <c r="BF67" s="703"/>
      <c r="BG67" s="703"/>
      <c r="BH67" s="703"/>
      <c r="BI67" s="703"/>
      <c r="BJ67" s="703"/>
      <c r="BK67" s="703"/>
      <c r="BL67" s="703"/>
      <c r="BM67" s="703"/>
      <c r="BN67" s="703"/>
      <c r="BO67" s="703"/>
      <c r="BP67" s="703"/>
      <c r="BQ67" s="703"/>
      <c r="BR67" s="703"/>
      <c r="BS67" s="703"/>
      <c r="BT67" s="703"/>
      <c r="BU67" s="703"/>
      <c r="BV67" s="703"/>
      <c r="BW67" s="703"/>
      <c r="BX67" s="703"/>
      <c r="BY67" s="1543"/>
    </row>
    <row r="68" spans="1:77">
      <c r="A68" s="100" t="s">
        <v>248</v>
      </c>
      <c r="B68" s="704"/>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705"/>
      <c r="AZ68" s="705"/>
      <c r="BA68" s="705"/>
      <c r="BB68" s="705"/>
      <c r="BC68" s="705"/>
      <c r="BD68" s="705"/>
      <c r="BE68" s="705"/>
      <c r="BF68" s="705"/>
      <c r="BG68" s="705"/>
      <c r="BH68" s="705"/>
      <c r="BI68" s="705"/>
      <c r="BJ68" s="705"/>
      <c r="BK68" s="705"/>
      <c r="BL68" s="705"/>
      <c r="BM68" s="705"/>
      <c r="BN68" s="705"/>
      <c r="BO68" s="705"/>
      <c r="BP68" s="705"/>
      <c r="BQ68" s="705"/>
      <c r="BR68" s="705"/>
      <c r="BS68" s="705"/>
      <c r="BT68" s="705"/>
      <c r="BU68" s="705"/>
      <c r="BV68" s="705"/>
      <c r="BW68" s="705"/>
      <c r="BX68" s="705"/>
      <c r="BY68" s="1544"/>
    </row>
    <row r="69" spans="1:77">
      <c r="A69" s="64"/>
      <c r="B69" s="706"/>
      <c r="C69" s="123"/>
      <c r="D69" s="123"/>
      <c r="E69" s="123"/>
      <c r="F69" s="123"/>
      <c r="G69" s="707"/>
      <c r="H69" s="707"/>
      <c r="I69" s="707"/>
      <c r="J69" s="707"/>
      <c r="K69" s="707"/>
      <c r="L69" s="707"/>
      <c r="M69" s="707"/>
      <c r="N69" s="707"/>
      <c r="O69" s="707"/>
      <c r="P69" s="707"/>
      <c r="Q69" s="707"/>
      <c r="R69" s="707"/>
      <c r="S69" s="707"/>
      <c r="T69" s="707"/>
      <c r="U69" s="707"/>
      <c r="V69" s="707"/>
      <c r="W69" s="707"/>
      <c r="X69" s="707"/>
      <c r="Y69" s="707"/>
      <c r="Z69" s="707"/>
      <c r="AA69" s="707"/>
      <c r="AB69" s="707"/>
      <c r="AC69" s="707"/>
      <c r="AD69" s="707"/>
      <c r="AE69" s="707"/>
      <c r="AF69" s="707"/>
      <c r="AG69" s="707"/>
      <c r="AH69" s="707"/>
      <c r="AI69" s="707"/>
      <c r="AJ69" s="707"/>
      <c r="AK69" s="707"/>
      <c r="AL69" s="707"/>
      <c r="AM69" s="707"/>
      <c r="AN69" s="707"/>
      <c r="AO69" s="707"/>
      <c r="AP69" s="707"/>
      <c r="AQ69" s="707"/>
      <c r="AR69" s="707"/>
      <c r="AS69" s="707"/>
      <c r="AT69" s="707"/>
      <c r="AU69" s="707"/>
      <c r="AV69" s="707"/>
      <c r="AW69" s="707"/>
      <c r="AX69" s="707"/>
      <c r="AY69" s="707"/>
      <c r="AZ69" s="707"/>
      <c r="BA69" s="707"/>
      <c r="BB69" s="707"/>
      <c r="BC69" s="707"/>
      <c r="BD69" s="707"/>
      <c r="BE69" s="707"/>
      <c r="BF69" s="707"/>
      <c r="BG69" s="707"/>
      <c r="BH69" s="707"/>
      <c r="BI69" s="707"/>
      <c r="BJ69" s="707"/>
      <c r="BK69" s="707"/>
      <c r="BL69" s="707"/>
      <c r="BM69" s="707"/>
      <c r="BN69" s="707"/>
      <c r="BO69" s="707"/>
      <c r="BP69" s="707"/>
      <c r="BQ69" s="707"/>
      <c r="BR69" s="707"/>
      <c r="BS69" s="707"/>
      <c r="BT69" s="707"/>
      <c r="BU69" s="707"/>
      <c r="BV69" s="707"/>
      <c r="BW69" s="707"/>
      <c r="BX69" s="707"/>
      <c r="BY69" s="1545"/>
    </row>
    <row r="70" spans="1:77">
      <c r="A70" s="64" t="s">
        <v>488</v>
      </c>
      <c r="B70" s="706"/>
      <c r="C70" s="123"/>
      <c r="D70" s="123"/>
      <c r="E70" s="123"/>
      <c r="F70" s="123"/>
      <c r="G70" s="707"/>
      <c r="H70" s="707"/>
      <c r="I70" s="707"/>
      <c r="J70" s="707"/>
      <c r="K70" s="707"/>
      <c r="L70" s="707"/>
      <c r="M70" s="707"/>
      <c r="N70" s="707"/>
      <c r="O70" s="707"/>
      <c r="P70" s="707"/>
      <c r="Q70" s="707"/>
      <c r="R70" s="707"/>
      <c r="S70" s="707"/>
      <c r="T70" s="707"/>
      <c r="U70" s="707"/>
      <c r="V70" s="707"/>
      <c r="W70" s="707"/>
      <c r="X70" s="707"/>
      <c r="Y70" s="707"/>
      <c r="Z70" s="707"/>
      <c r="AA70" s="707"/>
      <c r="AB70" s="707"/>
      <c r="AC70" s="707"/>
      <c r="AD70" s="707"/>
      <c r="AE70" s="707"/>
      <c r="AF70" s="707"/>
      <c r="AG70" s="707"/>
      <c r="AH70" s="707"/>
      <c r="AI70" s="707"/>
      <c r="AJ70" s="707"/>
      <c r="AK70" s="707"/>
      <c r="AL70" s="707"/>
      <c r="AM70" s="707"/>
      <c r="AN70" s="707"/>
      <c r="AO70" s="707"/>
      <c r="AP70" s="707"/>
      <c r="AQ70" s="707"/>
      <c r="AR70" s="707"/>
      <c r="AS70" s="707"/>
      <c r="AT70" s="707"/>
      <c r="AU70" s="707"/>
      <c r="AV70" s="707"/>
      <c r="AW70" s="707"/>
      <c r="AX70" s="707"/>
      <c r="AY70" s="707"/>
      <c r="AZ70" s="707"/>
      <c r="BA70" s="707"/>
      <c r="BB70" s="707"/>
      <c r="BC70" s="707"/>
      <c r="BD70" s="707"/>
      <c r="BE70" s="707"/>
      <c r="BF70" s="707"/>
      <c r="BG70" s="707"/>
      <c r="BH70" s="707"/>
      <c r="BI70" s="707"/>
      <c r="BJ70" s="707"/>
      <c r="BK70" s="707"/>
      <c r="BL70" s="707"/>
      <c r="BM70" s="707"/>
      <c r="BN70" s="707"/>
      <c r="BO70" s="707"/>
      <c r="BP70" s="707"/>
      <c r="BQ70" s="707"/>
      <c r="BR70" s="707"/>
      <c r="BS70" s="707"/>
      <c r="BT70" s="707"/>
      <c r="BU70" s="707"/>
      <c r="BV70" s="707"/>
      <c r="BW70" s="707"/>
      <c r="BX70" s="707"/>
      <c r="BY70" s="1545"/>
    </row>
    <row r="71" spans="1:77">
      <c r="A71" s="64" t="s">
        <v>889</v>
      </c>
      <c r="B71" s="706"/>
      <c r="C71" s="123"/>
      <c r="D71" s="123"/>
      <c r="E71" s="123"/>
      <c r="F71" s="123"/>
      <c r="G71" s="707"/>
      <c r="H71" s="707"/>
      <c r="I71" s="707"/>
      <c r="J71" s="708"/>
      <c r="K71" s="708"/>
      <c r="L71" s="708"/>
      <c r="M71" s="708"/>
      <c r="N71" s="708"/>
      <c r="O71" s="708"/>
      <c r="P71" s="708"/>
      <c r="Q71" s="708"/>
      <c r="R71" s="708"/>
      <c r="S71" s="708"/>
      <c r="T71" s="708"/>
      <c r="U71" s="708"/>
      <c r="V71" s="708"/>
      <c r="W71" s="708"/>
      <c r="X71" s="708"/>
      <c r="Y71" s="708"/>
      <c r="Z71" s="708"/>
      <c r="AA71" s="708"/>
      <c r="AB71" s="708"/>
      <c r="AC71" s="708"/>
      <c r="AD71" s="708"/>
      <c r="AE71" s="708"/>
      <c r="AF71" s="708"/>
      <c r="AG71" s="708"/>
      <c r="AH71" s="708"/>
      <c r="AI71" s="708"/>
      <c r="AJ71" s="708"/>
      <c r="AK71" s="708"/>
      <c r="AL71" s="708"/>
      <c r="AM71" s="708"/>
      <c r="AN71" s="708"/>
      <c r="AO71" s="708"/>
      <c r="AP71" s="708"/>
      <c r="AQ71" s="708"/>
      <c r="AR71" s="708"/>
      <c r="AS71" s="708"/>
      <c r="AT71" s="708"/>
      <c r="AU71" s="708"/>
      <c r="AV71" s="708"/>
      <c r="AW71" s="708"/>
      <c r="AX71" s="708"/>
      <c r="AY71" s="707"/>
      <c r="AZ71" s="707"/>
      <c r="BA71" s="707"/>
      <c r="BB71" s="707"/>
      <c r="BC71" s="707"/>
      <c r="BD71" s="707"/>
      <c r="BE71" s="707"/>
      <c r="BF71" s="707"/>
      <c r="BG71" s="707"/>
      <c r="BH71" s="707"/>
      <c r="BI71" s="707"/>
      <c r="BJ71" s="707"/>
      <c r="BK71" s="707">
        <f>'Income Statement'!BV180</f>
        <v>99</v>
      </c>
      <c r="BL71" s="707">
        <f>'Income Statement'!BW180</f>
        <v>102</v>
      </c>
      <c r="BM71" s="707">
        <f>'Income Statement'!BX180</f>
        <v>112</v>
      </c>
      <c r="BN71" s="707">
        <f>'Income Statement'!BY180</f>
        <v>123</v>
      </c>
      <c r="BO71" s="707">
        <f>'Income Statement'!CA180</f>
        <v>132</v>
      </c>
      <c r="BP71" s="707">
        <f>'Income Statement'!CB180</f>
        <v>154</v>
      </c>
      <c r="BQ71" s="707">
        <f>'Income Statement'!CC180</f>
        <v>206</v>
      </c>
      <c r="BR71" s="707">
        <f>'Income Statement'!CD180</f>
        <v>235</v>
      </c>
      <c r="BS71" s="707">
        <f>'Income Statement'!CF180</f>
        <v>252</v>
      </c>
      <c r="BT71" s="707">
        <f>'Income Statement'!CG180</f>
        <v>267</v>
      </c>
      <c r="BU71" s="707">
        <f>'Income Statement'!CH180</f>
        <v>1000</v>
      </c>
      <c r="BV71" s="707">
        <f>'Income Statement'!CI180</f>
        <v>1020</v>
      </c>
      <c r="BW71" s="707">
        <f>'Income Statement'!CK180</f>
        <v>1020</v>
      </c>
      <c r="BX71" s="707">
        <f>'Income Statement'!CL180</f>
        <v>980</v>
      </c>
      <c r="BY71" s="1545">
        <f>'Income Statement'!CM180</f>
        <v>950</v>
      </c>
    </row>
    <row r="72" spans="1:77">
      <c r="A72" s="64" t="s">
        <v>489</v>
      </c>
      <c r="B72" s="706"/>
      <c r="C72" s="123"/>
      <c r="D72" s="123"/>
      <c r="E72" s="123"/>
      <c r="F72" s="123"/>
      <c r="G72" s="707"/>
      <c r="H72" s="707"/>
      <c r="I72" s="707"/>
      <c r="J72" s="708"/>
      <c r="K72" s="708"/>
      <c r="L72" s="708"/>
      <c r="M72" s="708"/>
      <c r="N72" s="708"/>
      <c r="O72" s="708"/>
      <c r="P72" s="708"/>
      <c r="Q72" s="708"/>
      <c r="R72" s="708"/>
      <c r="S72" s="708"/>
      <c r="T72" s="708"/>
      <c r="U72" s="708"/>
      <c r="V72" s="708"/>
      <c r="W72" s="708"/>
      <c r="X72" s="708"/>
      <c r="Y72" s="708"/>
      <c r="Z72" s="708"/>
      <c r="AA72" s="708"/>
      <c r="AB72" s="708"/>
      <c r="AC72" s="708"/>
      <c r="AD72" s="708"/>
      <c r="AE72" s="708"/>
      <c r="AF72" s="708"/>
      <c r="AG72" s="708"/>
      <c r="AH72" s="708"/>
      <c r="AI72" s="708"/>
      <c r="AJ72" s="708"/>
      <c r="AK72" s="708"/>
      <c r="AL72" s="708"/>
      <c r="AM72" s="708"/>
      <c r="AN72" s="708"/>
      <c r="AO72" s="708"/>
      <c r="AP72" s="708"/>
      <c r="AQ72" s="708"/>
      <c r="AR72" s="708"/>
      <c r="AS72" s="708"/>
      <c r="AT72" s="708"/>
      <c r="AU72" s="708"/>
      <c r="AV72" s="708"/>
      <c r="AW72" s="708"/>
      <c r="AX72" s="708"/>
      <c r="AY72" s="707"/>
      <c r="AZ72" s="707"/>
      <c r="BA72" s="707"/>
      <c r="BB72" s="707"/>
      <c r="BC72" s="707"/>
      <c r="BD72" s="707"/>
      <c r="BE72" s="707"/>
      <c r="BF72" s="707"/>
      <c r="BG72" s="707"/>
      <c r="BH72" s="707"/>
      <c r="BI72" s="707"/>
      <c r="BJ72" s="707"/>
      <c r="BK72" s="707"/>
      <c r="BL72" s="707"/>
      <c r="BM72" s="707"/>
      <c r="BN72" s="707"/>
      <c r="BO72" s="707"/>
      <c r="BP72" s="707"/>
      <c r="BQ72" s="707"/>
      <c r="BR72" s="707"/>
      <c r="BS72" s="707"/>
      <c r="BT72" s="707"/>
      <c r="BU72" s="707"/>
      <c r="BV72" s="707"/>
      <c r="BW72" s="707"/>
      <c r="BX72" s="707"/>
      <c r="BY72" s="1545"/>
    </row>
    <row r="73" spans="1:77">
      <c r="A73" s="64" t="s">
        <v>490</v>
      </c>
      <c r="B73" s="706"/>
      <c r="C73" s="123"/>
      <c r="D73" s="123"/>
      <c r="E73" s="123"/>
      <c r="F73" s="123"/>
      <c r="G73" s="707"/>
      <c r="H73" s="707"/>
      <c r="I73" s="707"/>
      <c r="J73" s="707"/>
      <c r="K73" s="707"/>
      <c r="L73" s="707"/>
      <c r="M73" s="707"/>
      <c r="N73" s="707"/>
      <c r="O73" s="707"/>
      <c r="P73" s="707"/>
      <c r="Q73" s="707"/>
      <c r="R73" s="707"/>
      <c r="S73" s="707"/>
      <c r="T73" s="707"/>
      <c r="U73" s="707"/>
      <c r="V73" s="707"/>
      <c r="W73" s="707"/>
      <c r="X73" s="707"/>
      <c r="Y73" s="707"/>
      <c r="Z73" s="707"/>
      <c r="AA73" s="707"/>
      <c r="AB73" s="707"/>
      <c r="AC73" s="707"/>
      <c r="AD73" s="707"/>
      <c r="AE73" s="707"/>
      <c r="AF73" s="707"/>
      <c r="AG73" s="707"/>
      <c r="AH73" s="707"/>
      <c r="AI73" s="707"/>
      <c r="AJ73" s="707"/>
      <c r="AK73" s="707"/>
      <c r="AL73" s="707"/>
      <c r="AM73" s="707"/>
      <c r="AN73" s="707"/>
      <c r="AO73" s="707"/>
      <c r="AP73" s="707"/>
      <c r="AQ73" s="707"/>
      <c r="AR73" s="707"/>
      <c r="AS73" s="707"/>
      <c r="AT73" s="707"/>
      <c r="AU73" s="707"/>
      <c r="AV73" s="707"/>
      <c r="AW73" s="707"/>
      <c r="AX73" s="707"/>
      <c r="AY73" s="707"/>
      <c r="AZ73" s="707"/>
      <c r="BA73" s="707"/>
      <c r="BB73" s="707"/>
      <c r="BC73" s="707"/>
      <c r="BD73" s="707"/>
      <c r="BE73" s="707"/>
      <c r="BF73" s="707"/>
      <c r="BG73" s="707"/>
      <c r="BH73" s="707"/>
      <c r="BI73" s="707"/>
      <c r="BJ73" s="707"/>
      <c r="BK73" s="707"/>
      <c r="BL73" s="707"/>
      <c r="BM73" s="707"/>
      <c r="BN73" s="707"/>
      <c r="BO73" s="707"/>
      <c r="BP73" s="707"/>
      <c r="BQ73" s="707"/>
      <c r="BR73" s="707"/>
      <c r="BS73" s="707"/>
      <c r="BT73" s="707"/>
      <c r="BU73" s="707"/>
      <c r="BV73" s="707"/>
      <c r="BW73" s="707"/>
      <c r="BX73" s="707"/>
      <c r="BY73" s="1545"/>
    </row>
    <row r="74" spans="1:77">
      <c r="A74" s="64" t="s">
        <v>491</v>
      </c>
      <c r="B74" s="706"/>
      <c r="C74" s="123"/>
      <c r="D74" s="123"/>
      <c r="E74" s="123"/>
      <c r="F74" s="123"/>
      <c r="G74" s="707"/>
      <c r="H74" s="707"/>
      <c r="I74" s="707"/>
      <c r="J74" s="708"/>
      <c r="K74" s="708"/>
      <c r="L74" s="708"/>
      <c r="M74" s="708"/>
      <c r="N74" s="708"/>
      <c r="O74" s="708"/>
      <c r="P74" s="708"/>
      <c r="Q74" s="708"/>
      <c r="R74" s="708"/>
      <c r="S74" s="708"/>
      <c r="T74" s="708"/>
      <c r="U74" s="708"/>
      <c r="V74" s="708"/>
      <c r="W74" s="708"/>
      <c r="X74" s="708"/>
      <c r="Y74" s="708"/>
      <c r="Z74" s="708"/>
      <c r="AA74" s="708"/>
      <c r="AB74" s="708"/>
      <c r="AC74" s="708"/>
      <c r="AD74" s="708"/>
      <c r="AE74" s="708"/>
      <c r="AF74" s="708"/>
      <c r="AG74" s="708"/>
      <c r="AH74" s="708"/>
      <c r="AI74" s="708"/>
      <c r="AJ74" s="708"/>
      <c r="AK74" s="708"/>
      <c r="AL74" s="708"/>
      <c r="AM74" s="708"/>
      <c r="AN74" s="708"/>
      <c r="AO74" s="708"/>
      <c r="AP74" s="708"/>
      <c r="AQ74" s="708"/>
      <c r="AR74" s="708"/>
      <c r="AS74" s="708"/>
      <c r="AT74" s="708"/>
      <c r="AU74" s="708"/>
      <c r="AV74" s="708"/>
      <c r="AW74" s="708"/>
      <c r="AX74" s="708"/>
      <c r="AY74" s="707"/>
      <c r="AZ74" s="707"/>
      <c r="BA74" s="707"/>
      <c r="BB74" s="707"/>
      <c r="BC74" s="707"/>
      <c r="BD74" s="707"/>
      <c r="BE74" s="707"/>
      <c r="BF74" s="707"/>
      <c r="BG74" s="707"/>
      <c r="BH74" s="707"/>
      <c r="BI74" s="707"/>
      <c r="BJ74" s="707"/>
      <c r="BK74" s="707"/>
      <c r="BL74" s="707"/>
      <c r="BM74" s="707"/>
      <c r="BN74" s="707"/>
      <c r="BO74" s="707"/>
      <c r="BP74" s="707"/>
      <c r="BQ74" s="707"/>
      <c r="BR74" s="707"/>
      <c r="BS74" s="707"/>
      <c r="BT74" s="707"/>
      <c r="BU74" s="707"/>
      <c r="BV74" s="707"/>
      <c r="BW74" s="707"/>
      <c r="BX74" s="707"/>
      <c r="BY74" s="1545"/>
    </row>
    <row r="75" spans="1:77">
      <c r="A75" s="64" t="s">
        <v>477</v>
      </c>
      <c r="B75" s="706"/>
      <c r="C75" s="123"/>
      <c r="D75" s="123"/>
      <c r="E75" s="123"/>
      <c r="F75" s="123"/>
      <c r="G75" s="707"/>
      <c r="H75" s="707"/>
      <c r="I75" s="707"/>
      <c r="J75" s="708"/>
      <c r="K75" s="708"/>
      <c r="L75" s="708"/>
      <c r="M75" s="708"/>
      <c r="N75" s="708"/>
      <c r="O75" s="708"/>
      <c r="P75" s="708"/>
      <c r="Q75" s="708"/>
      <c r="R75" s="708"/>
      <c r="S75" s="708"/>
      <c r="T75" s="708"/>
      <c r="U75" s="708"/>
      <c r="V75" s="708"/>
      <c r="W75" s="708"/>
      <c r="X75" s="708"/>
      <c r="Y75" s="708"/>
      <c r="Z75" s="708"/>
      <c r="AA75" s="708"/>
      <c r="AB75" s="708"/>
      <c r="AC75" s="708"/>
      <c r="AD75" s="708"/>
      <c r="AE75" s="708"/>
      <c r="AF75" s="708"/>
      <c r="AG75" s="708"/>
      <c r="AH75" s="708"/>
      <c r="AI75" s="708"/>
      <c r="AJ75" s="708"/>
      <c r="AK75" s="708"/>
      <c r="AL75" s="708"/>
      <c r="AM75" s="708"/>
      <c r="AN75" s="708"/>
      <c r="AO75" s="708"/>
      <c r="AP75" s="708"/>
      <c r="AQ75" s="708"/>
      <c r="AR75" s="708"/>
      <c r="AS75" s="708"/>
      <c r="AT75" s="708"/>
      <c r="AU75" s="708"/>
      <c r="AV75" s="708"/>
      <c r="AW75" s="708"/>
      <c r="AX75" s="708"/>
      <c r="AY75" s="707"/>
      <c r="AZ75" s="707"/>
      <c r="BA75" s="707"/>
      <c r="BB75" s="707"/>
      <c r="BC75" s="707"/>
      <c r="BD75" s="707"/>
      <c r="BE75" s="707"/>
      <c r="BF75" s="707"/>
      <c r="BG75" s="707"/>
      <c r="BH75" s="707"/>
      <c r="BI75" s="707"/>
      <c r="BJ75" s="707"/>
      <c r="BK75" s="707"/>
      <c r="BL75" s="707"/>
      <c r="BM75" s="707"/>
      <c r="BN75" s="707"/>
      <c r="BO75" s="707"/>
      <c r="BP75" s="707"/>
      <c r="BQ75" s="707"/>
      <c r="BR75" s="707"/>
      <c r="BS75" s="707"/>
      <c r="BT75" s="707"/>
      <c r="BU75" s="707"/>
      <c r="BV75" s="707"/>
      <c r="BW75" s="707"/>
      <c r="BX75" s="707"/>
      <c r="BY75" s="1545"/>
    </row>
    <row r="76" spans="1:77">
      <c r="A76" s="64" t="s">
        <v>492</v>
      </c>
      <c r="B76" s="706"/>
      <c r="C76" s="123"/>
      <c r="D76" s="123"/>
      <c r="E76" s="123"/>
      <c r="F76" s="123"/>
      <c r="G76" s="707"/>
      <c r="H76" s="707"/>
      <c r="I76" s="707"/>
      <c r="J76" s="708"/>
      <c r="K76" s="708"/>
      <c r="L76" s="708"/>
      <c r="M76" s="708"/>
      <c r="N76" s="708"/>
      <c r="O76" s="708"/>
      <c r="P76" s="708"/>
      <c r="Q76" s="708"/>
      <c r="R76" s="708"/>
      <c r="S76" s="708"/>
      <c r="T76" s="708"/>
      <c r="U76" s="708"/>
      <c r="V76" s="708"/>
      <c r="W76" s="708"/>
      <c r="X76" s="708"/>
      <c r="Y76" s="708"/>
      <c r="Z76" s="708"/>
      <c r="AA76" s="708"/>
      <c r="AB76" s="708"/>
      <c r="AC76" s="708"/>
      <c r="AD76" s="708"/>
      <c r="AE76" s="708"/>
      <c r="AF76" s="708"/>
      <c r="AG76" s="708"/>
      <c r="AH76" s="708"/>
      <c r="AI76" s="708"/>
      <c r="AJ76" s="708"/>
      <c r="AK76" s="708"/>
      <c r="AL76" s="708"/>
      <c r="AM76" s="708"/>
      <c r="AN76" s="708"/>
      <c r="AO76" s="708"/>
      <c r="AP76" s="708"/>
      <c r="AQ76" s="708"/>
      <c r="AR76" s="708"/>
      <c r="AS76" s="708"/>
      <c r="AT76" s="708"/>
      <c r="AU76" s="708"/>
      <c r="AV76" s="708"/>
      <c r="AW76" s="708"/>
      <c r="AX76" s="708"/>
      <c r="AY76" s="707"/>
      <c r="AZ76" s="707"/>
      <c r="BA76" s="707"/>
      <c r="BB76" s="707"/>
      <c r="BC76" s="707"/>
      <c r="BD76" s="707"/>
      <c r="BE76" s="707"/>
      <c r="BF76" s="707"/>
      <c r="BG76" s="707"/>
      <c r="BH76" s="707"/>
      <c r="BI76" s="707"/>
      <c r="BJ76" s="707"/>
      <c r="BK76" s="707"/>
      <c r="BL76" s="707"/>
      <c r="BM76" s="707"/>
      <c r="BN76" s="707"/>
      <c r="BO76" s="707"/>
      <c r="BP76" s="707"/>
      <c r="BQ76" s="707"/>
      <c r="BR76" s="707"/>
      <c r="BS76" s="707"/>
      <c r="BT76" s="707"/>
      <c r="BU76" s="707"/>
      <c r="BV76" s="707"/>
      <c r="BW76" s="707"/>
      <c r="BX76" s="707"/>
      <c r="BY76" s="1545"/>
    </row>
    <row r="77" spans="1:77">
      <c r="A77" s="64" t="s">
        <v>493</v>
      </c>
      <c r="B77" s="706"/>
      <c r="C77" s="123"/>
      <c r="D77" s="123"/>
      <c r="E77" s="123"/>
      <c r="F77" s="123"/>
      <c r="G77" s="707"/>
      <c r="H77" s="707"/>
      <c r="I77" s="707"/>
      <c r="J77" s="707"/>
      <c r="K77" s="707"/>
      <c r="L77" s="707"/>
      <c r="M77" s="707"/>
      <c r="N77" s="707"/>
      <c r="O77" s="707"/>
      <c r="P77" s="707"/>
      <c r="Q77" s="707"/>
      <c r="R77" s="707"/>
      <c r="S77" s="707"/>
      <c r="T77" s="707"/>
      <c r="U77" s="707"/>
      <c r="V77" s="707"/>
      <c r="W77" s="707"/>
      <c r="X77" s="707"/>
      <c r="Y77" s="707"/>
      <c r="Z77" s="707"/>
      <c r="AA77" s="707"/>
      <c r="AB77" s="707"/>
      <c r="AC77" s="707"/>
      <c r="AD77" s="707"/>
      <c r="AE77" s="707"/>
      <c r="AF77" s="707"/>
      <c r="AG77" s="707"/>
      <c r="AH77" s="707"/>
      <c r="AI77" s="707"/>
      <c r="AJ77" s="707"/>
      <c r="AK77" s="707"/>
      <c r="AL77" s="707"/>
      <c r="AM77" s="707"/>
      <c r="AN77" s="707"/>
      <c r="AO77" s="707"/>
      <c r="AP77" s="707"/>
      <c r="AQ77" s="707"/>
      <c r="AR77" s="707"/>
      <c r="AS77" s="707"/>
      <c r="AT77" s="707"/>
      <c r="AU77" s="707"/>
      <c r="AV77" s="707"/>
      <c r="AW77" s="707"/>
      <c r="AX77" s="707"/>
      <c r="AY77" s="707"/>
      <c r="AZ77" s="707"/>
      <c r="BA77" s="707"/>
      <c r="BB77" s="707"/>
      <c r="BC77" s="707"/>
      <c r="BD77" s="707"/>
      <c r="BE77" s="707"/>
      <c r="BF77" s="707"/>
      <c r="BG77" s="707"/>
      <c r="BH77" s="707"/>
      <c r="BI77" s="707"/>
      <c r="BJ77" s="707"/>
      <c r="BK77" s="707"/>
      <c r="BL77" s="707"/>
      <c r="BM77" s="707"/>
      <c r="BN77" s="707"/>
      <c r="BO77" s="707"/>
      <c r="BP77" s="707"/>
      <c r="BQ77" s="707"/>
      <c r="BR77" s="707"/>
      <c r="BS77" s="707"/>
      <c r="BT77" s="707"/>
      <c r="BU77" s="707"/>
      <c r="BV77" s="707"/>
      <c r="BW77" s="707"/>
      <c r="BX77" s="707"/>
      <c r="BY77" s="1545"/>
    </row>
    <row r="78" spans="1:77">
      <c r="A78" s="64" t="s">
        <v>494</v>
      </c>
      <c r="B78" s="706"/>
      <c r="C78" s="123"/>
      <c r="D78" s="123"/>
      <c r="E78" s="123"/>
      <c r="F78" s="123"/>
      <c r="G78" s="707"/>
      <c r="H78" s="707"/>
      <c r="I78" s="707"/>
      <c r="J78" s="707"/>
      <c r="K78" s="707"/>
      <c r="L78" s="707"/>
      <c r="M78" s="707"/>
      <c r="N78" s="707"/>
      <c r="O78" s="707"/>
      <c r="P78" s="707"/>
      <c r="Q78" s="707"/>
      <c r="R78" s="707"/>
      <c r="S78" s="707"/>
      <c r="T78" s="707"/>
      <c r="U78" s="707"/>
      <c r="V78" s="707"/>
      <c r="W78" s="707"/>
      <c r="X78" s="707"/>
      <c r="Y78" s="707"/>
      <c r="Z78" s="707"/>
      <c r="AA78" s="707"/>
      <c r="AB78" s="707"/>
      <c r="AC78" s="707"/>
      <c r="AD78" s="707"/>
      <c r="AE78" s="707"/>
      <c r="AF78" s="707"/>
      <c r="AG78" s="707"/>
      <c r="AH78" s="707"/>
      <c r="AI78" s="707"/>
      <c r="AJ78" s="707"/>
      <c r="AK78" s="707"/>
      <c r="AL78" s="707"/>
      <c r="AM78" s="707"/>
      <c r="AN78" s="707"/>
      <c r="AO78" s="707"/>
      <c r="AP78" s="707"/>
      <c r="AQ78" s="707"/>
      <c r="AR78" s="707"/>
      <c r="AS78" s="707"/>
      <c r="AT78" s="707"/>
      <c r="AU78" s="707"/>
      <c r="AV78" s="707"/>
      <c r="AW78" s="707"/>
      <c r="AX78" s="707"/>
      <c r="AY78" s="707"/>
      <c r="AZ78" s="707"/>
      <c r="BA78" s="707"/>
      <c r="BB78" s="707"/>
      <c r="BC78" s="707"/>
      <c r="BD78" s="707"/>
      <c r="BE78" s="707"/>
      <c r="BF78" s="707"/>
      <c r="BG78" s="707"/>
      <c r="BH78" s="707"/>
      <c r="BI78" s="707"/>
      <c r="BJ78" s="707"/>
      <c r="BK78" s="707"/>
      <c r="BL78" s="707"/>
      <c r="BM78" s="707"/>
      <c r="BN78" s="707"/>
      <c r="BO78" s="707"/>
      <c r="BP78" s="707"/>
      <c r="BQ78" s="707"/>
      <c r="BR78" s="707"/>
      <c r="BS78" s="707"/>
      <c r="BT78" s="707"/>
      <c r="BU78" s="707"/>
      <c r="BV78" s="707"/>
      <c r="BW78" s="707"/>
      <c r="BX78" s="707"/>
      <c r="BY78" s="1545"/>
    </row>
    <row r="79" spans="1:77">
      <c r="A79" s="64" t="s">
        <v>255</v>
      </c>
      <c r="B79" s="706"/>
      <c r="C79" s="123"/>
      <c r="D79" s="123"/>
      <c r="E79" s="123"/>
      <c r="F79" s="123"/>
      <c r="G79" s="707"/>
      <c r="H79" s="707"/>
      <c r="I79" s="707"/>
      <c r="J79" s="708"/>
      <c r="K79" s="708"/>
      <c r="L79" s="708"/>
      <c r="M79" s="708"/>
      <c r="N79" s="708"/>
      <c r="O79" s="708"/>
      <c r="P79" s="708"/>
      <c r="Q79" s="708"/>
      <c r="R79" s="708"/>
      <c r="S79" s="708"/>
      <c r="T79" s="708"/>
      <c r="U79" s="708"/>
      <c r="V79" s="708"/>
      <c r="W79" s="708"/>
      <c r="X79" s="708"/>
      <c r="Y79" s="708"/>
      <c r="Z79" s="708"/>
      <c r="AA79" s="708"/>
      <c r="AB79" s="708"/>
      <c r="AC79" s="708"/>
      <c r="AD79" s="708"/>
      <c r="AE79" s="708"/>
      <c r="AF79" s="708"/>
      <c r="AG79" s="708"/>
      <c r="AH79" s="708"/>
      <c r="AI79" s="708"/>
      <c r="AJ79" s="708"/>
      <c r="AK79" s="708"/>
      <c r="AL79" s="708"/>
      <c r="AM79" s="708"/>
      <c r="AN79" s="708"/>
      <c r="AO79" s="708"/>
      <c r="AP79" s="708"/>
      <c r="AQ79" s="708"/>
      <c r="AR79" s="708"/>
      <c r="AS79" s="708"/>
      <c r="AT79" s="708"/>
      <c r="AU79" s="708"/>
      <c r="AV79" s="708"/>
      <c r="AW79" s="708"/>
      <c r="AX79" s="708"/>
      <c r="AY79" s="707"/>
      <c r="AZ79" s="707"/>
      <c r="BA79" s="707"/>
      <c r="BB79" s="707"/>
      <c r="BC79" s="707"/>
      <c r="BD79" s="707"/>
      <c r="BE79" s="707"/>
      <c r="BF79" s="707"/>
      <c r="BG79" s="707"/>
      <c r="BH79" s="707"/>
      <c r="BI79" s="707"/>
      <c r="BJ79" s="707"/>
      <c r="BK79" s="707"/>
      <c r="BL79" s="707"/>
      <c r="BM79" s="707"/>
      <c r="BN79" s="707"/>
      <c r="BO79" s="707"/>
      <c r="BP79" s="707"/>
      <c r="BQ79" s="707"/>
      <c r="BR79" s="707"/>
      <c r="BS79" s="707"/>
      <c r="BT79" s="707"/>
      <c r="BU79" s="707"/>
      <c r="BV79" s="707"/>
      <c r="BW79" s="707"/>
      <c r="BX79" s="707"/>
      <c r="BY79" s="1545"/>
    </row>
    <row r="80" spans="1:77">
      <c r="A80" s="64" t="s">
        <v>495</v>
      </c>
      <c r="B80" s="706"/>
      <c r="C80" s="123"/>
      <c r="D80" s="123"/>
      <c r="E80" s="123"/>
      <c r="F80" s="123"/>
      <c r="G80" s="707"/>
      <c r="H80" s="707"/>
      <c r="I80" s="707"/>
      <c r="J80" s="708"/>
      <c r="K80" s="708"/>
      <c r="L80" s="708"/>
      <c r="M80" s="708"/>
      <c r="N80" s="708"/>
      <c r="O80" s="708"/>
      <c r="P80" s="708"/>
      <c r="Q80" s="708"/>
      <c r="R80" s="708"/>
      <c r="S80" s="708"/>
      <c r="T80" s="708"/>
      <c r="U80" s="708"/>
      <c r="V80" s="708"/>
      <c r="W80" s="708"/>
      <c r="X80" s="708"/>
      <c r="Y80" s="708"/>
      <c r="Z80" s="708"/>
      <c r="AA80" s="708"/>
      <c r="AB80" s="708"/>
      <c r="AC80" s="708"/>
      <c r="AD80" s="708"/>
      <c r="AE80" s="708"/>
      <c r="AF80" s="708"/>
      <c r="AG80" s="708"/>
      <c r="AH80" s="708"/>
      <c r="AI80" s="708"/>
      <c r="AJ80" s="708"/>
      <c r="AK80" s="708"/>
      <c r="AL80" s="708"/>
      <c r="AM80" s="708"/>
      <c r="AN80" s="708"/>
      <c r="AO80" s="708"/>
      <c r="AP80" s="708"/>
      <c r="AQ80" s="708"/>
      <c r="AR80" s="708"/>
      <c r="AS80" s="708"/>
      <c r="AT80" s="708"/>
      <c r="AU80" s="708"/>
      <c r="AV80" s="708"/>
      <c r="AW80" s="708"/>
      <c r="AX80" s="708"/>
      <c r="AY80" s="707"/>
      <c r="AZ80" s="707"/>
      <c r="BA80" s="707"/>
      <c r="BB80" s="707"/>
      <c r="BC80" s="707"/>
      <c r="BD80" s="707"/>
      <c r="BE80" s="707"/>
      <c r="BF80" s="707"/>
      <c r="BG80" s="707"/>
      <c r="BH80" s="707"/>
      <c r="BI80" s="707"/>
      <c r="BJ80" s="707"/>
      <c r="BK80" s="707"/>
      <c r="BL80" s="707"/>
      <c r="BM80" s="707"/>
      <c r="BN80" s="707"/>
      <c r="BO80" s="707"/>
      <c r="BP80" s="707"/>
      <c r="BQ80" s="707"/>
      <c r="BR80" s="707"/>
      <c r="BS80" s="707"/>
      <c r="BT80" s="707"/>
      <c r="BU80" s="707"/>
      <c r="BV80" s="707"/>
      <c r="BW80" s="707"/>
      <c r="BX80" s="707"/>
      <c r="BY80" s="1545"/>
    </row>
    <row r="81" spans="1:77">
      <c r="A81" s="64" t="s">
        <v>496</v>
      </c>
      <c r="B81" s="706"/>
      <c r="C81" s="123"/>
      <c r="D81" s="123"/>
      <c r="E81" s="123"/>
      <c r="F81" s="123"/>
      <c r="G81" s="707"/>
      <c r="H81" s="707"/>
      <c r="I81" s="707"/>
      <c r="J81" s="708"/>
      <c r="K81" s="708"/>
      <c r="L81" s="708"/>
      <c r="M81" s="708"/>
      <c r="N81" s="708"/>
      <c r="O81" s="708"/>
      <c r="P81" s="708"/>
      <c r="Q81" s="708"/>
      <c r="R81" s="708"/>
      <c r="S81" s="708"/>
      <c r="T81" s="708"/>
      <c r="U81" s="708"/>
      <c r="V81" s="708"/>
      <c r="W81" s="708"/>
      <c r="X81" s="708"/>
      <c r="Y81" s="708"/>
      <c r="Z81" s="708"/>
      <c r="AA81" s="708"/>
      <c r="AB81" s="708"/>
      <c r="AC81" s="708"/>
      <c r="AD81" s="708"/>
      <c r="AE81" s="708"/>
      <c r="AF81" s="708"/>
      <c r="AG81" s="708"/>
      <c r="AH81" s="708"/>
      <c r="AI81" s="708"/>
      <c r="AJ81" s="708"/>
      <c r="AK81" s="708"/>
      <c r="AL81" s="708"/>
      <c r="AM81" s="708"/>
      <c r="AN81" s="708"/>
      <c r="AO81" s="708"/>
      <c r="AP81" s="708"/>
      <c r="AQ81" s="708"/>
      <c r="AR81" s="708"/>
      <c r="AS81" s="708"/>
      <c r="AT81" s="708"/>
      <c r="AU81" s="708"/>
      <c r="AV81" s="708"/>
      <c r="AW81" s="708"/>
      <c r="AX81" s="708"/>
      <c r="AY81" s="707"/>
      <c r="AZ81" s="707"/>
      <c r="BA81" s="707"/>
      <c r="BB81" s="707"/>
      <c r="BC81" s="707"/>
      <c r="BD81" s="707"/>
      <c r="BE81" s="707"/>
      <c r="BF81" s="707"/>
      <c r="BG81" s="707"/>
      <c r="BH81" s="707"/>
      <c r="BI81" s="707"/>
      <c r="BJ81" s="707"/>
      <c r="BK81" s="707"/>
      <c r="BL81" s="707"/>
      <c r="BM81" s="707"/>
      <c r="BN81" s="707"/>
      <c r="BO81" s="707"/>
      <c r="BP81" s="707"/>
      <c r="BQ81" s="707"/>
      <c r="BR81" s="707"/>
      <c r="BS81" s="707"/>
      <c r="BT81" s="707"/>
      <c r="BU81" s="707"/>
      <c r="BV81" s="707"/>
      <c r="BW81" s="707"/>
      <c r="BX81" s="707"/>
      <c r="BY81" s="1545"/>
    </row>
    <row r="83" spans="1:77">
      <c r="A83" s="273"/>
    </row>
    <row r="85" spans="1:77">
      <c r="Q85" s="261"/>
      <c r="R85" s="261"/>
    </row>
    <row r="86" spans="1:77">
      <c r="Q86" s="262"/>
      <c r="R86" s="262"/>
    </row>
  </sheetData>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2"/>
  </sheetPr>
  <dimension ref="B2:AN270"/>
  <sheetViews>
    <sheetView zoomScale="85" zoomScaleNormal="85" workbookViewId="0">
      <pane xSplit="2" topLeftCell="R1" activePane="topRight" state="frozen"/>
      <selection pane="topRight" activeCell="AE31" sqref="AE31"/>
    </sheetView>
  </sheetViews>
  <sheetFormatPr defaultRowHeight="13.5"/>
  <cols>
    <col min="1" max="1" width="2.81640625" style="4" customWidth="1"/>
    <col min="2" max="2" width="38.08984375" style="4" customWidth="1"/>
    <col min="3" max="11" width="6.81640625" style="4" bestFit="1" customWidth="1"/>
    <col min="12" max="21" width="11.36328125" style="4" bestFit="1" customWidth="1"/>
    <col min="22" max="22" width="10.6328125" style="4" bestFit="1" customWidth="1"/>
    <col min="23" max="25" width="11.36328125" style="4" bestFit="1" customWidth="1"/>
    <col min="26" max="27" width="11" style="4" bestFit="1" customWidth="1"/>
    <col min="28" max="28" width="11.36328125" style="4" bestFit="1" customWidth="1"/>
    <col min="29" max="30" width="11" style="4" bestFit="1" customWidth="1"/>
    <col min="31" max="31" width="11.36328125" style="4" bestFit="1" customWidth="1"/>
    <col min="32" max="32" width="10.6328125" style="4" bestFit="1" customWidth="1"/>
    <col min="33" max="35" width="11.36328125" style="4" bestFit="1" customWidth="1"/>
    <col min="36" max="256" width="9.08984375" style="4"/>
    <col min="257" max="257" width="8" style="4" customWidth="1"/>
    <col min="258" max="258" width="38.08984375" style="4" customWidth="1"/>
    <col min="259" max="263" width="0" style="4" hidden="1" customWidth="1"/>
    <col min="264" max="270" width="8" style="4" customWidth="1"/>
    <col min="271" max="512" width="9.08984375" style="4"/>
    <col min="513" max="513" width="8" style="4" customWidth="1"/>
    <col min="514" max="514" width="38.08984375" style="4" customWidth="1"/>
    <col min="515" max="519" width="0" style="4" hidden="1" customWidth="1"/>
    <col min="520" max="526" width="8" style="4" customWidth="1"/>
    <col min="527" max="768" width="9.08984375" style="4"/>
    <col min="769" max="769" width="8" style="4" customWidth="1"/>
    <col min="770" max="770" width="38.08984375" style="4" customWidth="1"/>
    <col min="771" max="775" width="0" style="4" hidden="1" customWidth="1"/>
    <col min="776" max="782" width="8" style="4" customWidth="1"/>
    <col min="783" max="1024" width="9.08984375" style="4"/>
    <col min="1025" max="1025" width="8" style="4" customWidth="1"/>
    <col min="1026" max="1026" width="38.08984375" style="4" customWidth="1"/>
    <col min="1027" max="1031" width="0" style="4" hidden="1" customWidth="1"/>
    <col min="1032" max="1038" width="8" style="4" customWidth="1"/>
    <col min="1039" max="1280" width="9.08984375" style="4"/>
    <col min="1281" max="1281" width="8" style="4" customWidth="1"/>
    <col min="1282" max="1282" width="38.08984375" style="4" customWidth="1"/>
    <col min="1283" max="1287" width="0" style="4" hidden="1" customWidth="1"/>
    <col min="1288" max="1294" width="8" style="4" customWidth="1"/>
    <col min="1295" max="1536" width="9.08984375" style="4"/>
    <col min="1537" max="1537" width="8" style="4" customWidth="1"/>
    <col min="1538" max="1538" width="38.08984375" style="4" customWidth="1"/>
    <col min="1539" max="1543" width="0" style="4" hidden="1" customWidth="1"/>
    <col min="1544" max="1550" width="8" style="4" customWidth="1"/>
    <col min="1551" max="1792" width="9.08984375" style="4"/>
    <col min="1793" max="1793" width="8" style="4" customWidth="1"/>
    <col min="1794" max="1794" width="38.08984375" style="4" customWidth="1"/>
    <col min="1795" max="1799" width="0" style="4" hidden="1" customWidth="1"/>
    <col min="1800" max="1806" width="8" style="4" customWidth="1"/>
    <col min="1807" max="2048" width="9.08984375" style="4"/>
    <col min="2049" max="2049" width="8" style="4" customWidth="1"/>
    <col min="2050" max="2050" width="38.08984375" style="4" customWidth="1"/>
    <col min="2051" max="2055" width="0" style="4" hidden="1" customWidth="1"/>
    <col min="2056" max="2062" width="8" style="4" customWidth="1"/>
    <col min="2063" max="2304" width="9.08984375" style="4"/>
    <col min="2305" max="2305" width="8" style="4" customWidth="1"/>
    <col min="2306" max="2306" width="38.08984375" style="4" customWidth="1"/>
    <col min="2307" max="2311" width="0" style="4" hidden="1" customWidth="1"/>
    <col min="2312" max="2318" width="8" style="4" customWidth="1"/>
    <col min="2319" max="2560" width="9.08984375" style="4"/>
    <col min="2561" max="2561" width="8" style="4" customWidth="1"/>
    <col min="2562" max="2562" width="38.08984375" style="4" customWidth="1"/>
    <col min="2563" max="2567" width="0" style="4" hidden="1" customWidth="1"/>
    <col min="2568" max="2574" width="8" style="4" customWidth="1"/>
    <col min="2575" max="2816" width="9.08984375" style="4"/>
    <col min="2817" max="2817" width="8" style="4" customWidth="1"/>
    <col min="2818" max="2818" width="38.08984375" style="4" customWidth="1"/>
    <col min="2819" max="2823" width="0" style="4" hidden="1" customWidth="1"/>
    <col min="2824" max="2830" width="8" style="4" customWidth="1"/>
    <col min="2831" max="3072" width="9.08984375" style="4"/>
    <col min="3073" max="3073" width="8" style="4" customWidth="1"/>
    <col min="3074" max="3074" width="38.08984375" style="4" customWidth="1"/>
    <col min="3075" max="3079" width="0" style="4" hidden="1" customWidth="1"/>
    <col min="3080" max="3086" width="8" style="4" customWidth="1"/>
    <col min="3087" max="3328" width="9.08984375" style="4"/>
    <col min="3329" max="3329" width="8" style="4" customWidth="1"/>
    <col min="3330" max="3330" width="38.08984375" style="4" customWidth="1"/>
    <col min="3331" max="3335" width="0" style="4" hidden="1" customWidth="1"/>
    <col min="3336" max="3342" width="8" style="4" customWidth="1"/>
    <col min="3343" max="3584" width="9.08984375" style="4"/>
    <col min="3585" max="3585" width="8" style="4" customWidth="1"/>
    <col min="3586" max="3586" width="38.08984375" style="4" customWidth="1"/>
    <col min="3587" max="3591" width="0" style="4" hidden="1" customWidth="1"/>
    <col min="3592" max="3598" width="8" style="4" customWidth="1"/>
    <col min="3599" max="3840" width="9.08984375" style="4"/>
    <col min="3841" max="3841" width="8" style="4" customWidth="1"/>
    <col min="3842" max="3842" width="38.08984375" style="4" customWidth="1"/>
    <col min="3843" max="3847" width="0" style="4" hidden="1" customWidth="1"/>
    <col min="3848" max="3854" width="8" style="4" customWidth="1"/>
    <col min="3855" max="4096" width="9.08984375" style="4"/>
    <col min="4097" max="4097" width="8" style="4" customWidth="1"/>
    <col min="4098" max="4098" width="38.08984375" style="4" customWidth="1"/>
    <col min="4099" max="4103" width="0" style="4" hidden="1" customWidth="1"/>
    <col min="4104" max="4110" width="8" style="4" customWidth="1"/>
    <col min="4111" max="4352" width="9.08984375" style="4"/>
    <col min="4353" max="4353" width="8" style="4" customWidth="1"/>
    <col min="4354" max="4354" width="38.08984375" style="4" customWidth="1"/>
    <col min="4355" max="4359" width="0" style="4" hidden="1" customWidth="1"/>
    <col min="4360" max="4366" width="8" style="4" customWidth="1"/>
    <col min="4367" max="4608" width="9.08984375" style="4"/>
    <col min="4609" max="4609" width="8" style="4" customWidth="1"/>
    <col min="4610" max="4610" width="38.08984375" style="4" customWidth="1"/>
    <col min="4611" max="4615" width="0" style="4" hidden="1" customWidth="1"/>
    <col min="4616" max="4622" width="8" style="4" customWidth="1"/>
    <col min="4623" max="4864" width="9.08984375" style="4"/>
    <col min="4865" max="4865" width="8" style="4" customWidth="1"/>
    <col min="4866" max="4866" width="38.08984375" style="4" customWidth="1"/>
    <col min="4867" max="4871" width="0" style="4" hidden="1" customWidth="1"/>
    <col min="4872" max="4878" width="8" style="4" customWidth="1"/>
    <col min="4879" max="5120" width="9.08984375" style="4"/>
    <col min="5121" max="5121" width="8" style="4" customWidth="1"/>
    <col min="5122" max="5122" width="38.08984375" style="4" customWidth="1"/>
    <col min="5123" max="5127" width="0" style="4" hidden="1" customWidth="1"/>
    <col min="5128" max="5134" width="8" style="4" customWidth="1"/>
    <col min="5135" max="5376" width="9.08984375" style="4"/>
    <col min="5377" max="5377" width="8" style="4" customWidth="1"/>
    <col min="5378" max="5378" width="38.08984375" style="4" customWidth="1"/>
    <col min="5379" max="5383" width="0" style="4" hidden="1" customWidth="1"/>
    <col min="5384" max="5390" width="8" style="4" customWidth="1"/>
    <col min="5391" max="5632" width="9.08984375" style="4"/>
    <col min="5633" max="5633" width="8" style="4" customWidth="1"/>
    <col min="5634" max="5634" width="38.08984375" style="4" customWidth="1"/>
    <col min="5635" max="5639" width="0" style="4" hidden="1" customWidth="1"/>
    <col min="5640" max="5646" width="8" style="4" customWidth="1"/>
    <col min="5647" max="5888" width="9.08984375" style="4"/>
    <col min="5889" max="5889" width="8" style="4" customWidth="1"/>
    <col min="5890" max="5890" width="38.08984375" style="4" customWidth="1"/>
    <col min="5891" max="5895" width="0" style="4" hidden="1" customWidth="1"/>
    <col min="5896" max="5902" width="8" style="4" customWidth="1"/>
    <col min="5903" max="6144" width="9.08984375" style="4"/>
    <col min="6145" max="6145" width="8" style="4" customWidth="1"/>
    <col min="6146" max="6146" width="38.08984375" style="4" customWidth="1"/>
    <col min="6147" max="6151" width="0" style="4" hidden="1" customWidth="1"/>
    <col min="6152" max="6158" width="8" style="4" customWidth="1"/>
    <col min="6159" max="6400" width="9.08984375" style="4"/>
    <col min="6401" max="6401" width="8" style="4" customWidth="1"/>
    <col min="6402" max="6402" width="38.08984375" style="4" customWidth="1"/>
    <col min="6403" max="6407" width="0" style="4" hidden="1" customWidth="1"/>
    <col min="6408" max="6414" width="8" style="4" customWidth="1"/>
    <col min="6415" max="6656" width="9.08984375" style="4"/>
    <col min="6657" max="6657" width="8" style="4" customWidth="1"/>
    <col min="6658" max="6658" width="38.08984375" style="4" customWidth="1"/>
    <col min="6659" max="6663" width="0" style="4" hidden="1" customWidth="1"/>
    <col min="6664" max="6670" width="8" style="4" customWidth="1"/>
    <col min="6671" max="6912" width="9.08984375" style="4"/>
    <col min="6913" max="6913" width="8" style="4" customWidth="1"/>
    <col min="6914" max="6914" width="38.08984375" style="4" customWidth="1"/>
    <col min="6915" max="6919" width="0" style="4" hidden="1" customWidth="1"/>
    <col min="6920" max="6926" width="8" style="4" customWidth="1"/>
    <col min="6927" max="7168" width="9.08984375" style="4"/>
    <col min="7169" max="7169" width="8" style="4" customWidth="1"/>
    <col min="7170" max="7170" width="38.08984375" style="4" customWidth="1"/>
    <col min="7171" max="7175" width="0" style="4" hidden="1" customWidth="1"/>
    <col min="7176" max="7182" width="8" style="4" customWidth="1"/>
    <col min="7183" max="7424" width="9.08984375" style="4"/>
    <col min="7425" max="7425" width="8" style="4" customWidth="1"/>
    <col min="7426" max="7426" width="38.08984375" style="4" customWidth="1"/>
    <col min="7427" max="7431" width="0" style="4" hidden="1" customWidth="1"/>
    <col min="7432" max="7438" width="8" style="4" customWidth="1"/>
    <col min="7439" max="7680" width="9.08984375" style="4"/>
    <col min="7681" max="7681" width="8" style="4" customWidth="1"/>
    <col min="7682" max="7682" width="38.08984375" style="4" customWidth="1"/>
    <col min="7683" max="7687" width="0" style="4" hidden="1" customWidth="1"/>
    <col min="7688" max="7694" width="8" style="4" customWidth="1"/>
    <col min="7695" max="7936" width="9.08984375" style="4"/>
    <col min="7937" max="7937" width="8" style="4" customWidth="1"/>
    <col min="7938" max="7938" width="38.08984375" style="4" customWidth="1"/>
    <col min="7939" max="7943" width="0" style="4" hidden="1" customWidth="1"/>
    <col min="7944" max="7950" width="8" style="4" customWidth="1"/>
    <col min="7951" max="8192" width="9.08984375" style="4"/>
    <col min="8193" max="8193" width="8" style="4" customWidth="1"/>
    <col min="8194" max="8194" width="38.08984375" style="4" customWidth="1"/>
    <col min="8195" max="8199" width="0" style="4" hidden="1" customWidth="1"/>
    <col min="8200" max="8206" width="8" style="4" customWidth="1"/>
    <col min="8207" max="8448" width="9.08984375" style="4"/>
    <col min="8449" max="8449" width="8" style="4" customWidth="1"/>
    <col min="8450" max="8450" width="38.08984375" style="4" customWidth="1"/>
    <col min="8451" max="8455" width="0" style="4" hidden="1" customWidth="1"/>
    <col min="8456" max="8462" width="8" style="4" customWidth="1"/>
    <col min="8463" max="8704" width="9.08984375" style="4"/>
    <col min="8705" max="8705" width="8" style="4" customWidth="1"/>
    <col min="8706" max="8706" width="38.08984375" style="4" customWidth="1"/>
    <col min="8707" max="8711" width="0" style="4" hidden="1" customWidth="1"/>
    <col min="8712" max="8718" width="8" style="4" customWidth="1"/>
    <col min="8719" max="8960" width="9.08984375" style="4"/>
    <col min="8961" max="8961" width="8" style="4" customWidth="1"/>
    <col min="8962" max="8962" width="38.08984375" style="4" customWidth="1"/>
    <col min="8963" max="8967" width="0" style="4" hidden="1" customWidth="1"/>
    <col min="8968" max="8974" width="8" style="4" customWidth="1"/>
    <col min="8975" max="9216" width="9.08984375" style="4"/>
    <col min="9217" max="9217" width="8" style="4" customWidth="1"/>
    <col min="9218" max="9218" width="38.08984375" style="4" customWidth="1"/>
    <col min="9219" max="9223" width="0" style="4" hidden="1" customWidth="1"/>
    <col min="9224" max="9230" width="8" style="4" customWidth="1"/>
    <col min="9231" max="9472" width="9.08984375" style="4"/>
    <col min="9473" max="9473" width="8" style="4" customWidth="1"/>
    <col min="9474" max="9474" width="38.08984375" style="4" customWidth="1"/>
    <col min="9475" max="9479" width="0" style="4" hidden="1" customWidth="1"/>
    <col min="9480" max="9486" width="8" style="4" customWidth="1"/>
    <col min="9487" max="9728" width="9.08984375" style="4"/>
    <col min="9729" max="9729" width="8" style="4" customWidth="1"/>
    <col min="9730" max="9730" width="38.08984375" style="4" customWidth="1"/>
    <col min="9731" max="9735" width="0" style="4" hidden="1" customWidth="1"/>
    <col min="9736" max="9742" width="8" style="4" customWidth="1"/>
    <col min="9743" max="9984" width="9.08984375" style="4"/>
    <col min="9985" max="9985" width="8" style="4" customWidth="1"/>
    <col min="9986" max="9986" width="38.08984375" style="4" customWidth="1"/>
    <col min="9987" max="9991" width="0" style="4" hidden="1" customWidth="1"/>
    <col min="9992" max="9998" width="8" style="4" customWidth="1"/>
    <col min="9999" max="10240" width="9.08984375" style="4"/>
    <col min="10241" max="10241" width="8" style="4" customWidth="1"/>
    <col min="10242" max="10242" width="38.08984375" style="4" customWidth="1"/>
    <col min="10243" max="10247" width="0" style="4" hidden="1" customWidth="1"/>
    <col min="10248" max="10254" width="8" style="4" customWidth="1"/>
    <col min="10255" max="10496" width="9.08984375" style="4"/>
    <col min="10497" max="10497" width="8" style="4" customWidth="1"/>
    <col min="10498" max="10498" width="38.08984375" style="4" customWidth="1"/>
    <col min="10499" max="10503" width="0" style="4" hidden="1" customWidth="1"/>
    <col min="10504" max="10510" width="8" style="4" customWidth="1"/>
    <col min="10511" max="10752" width="9.08984375" style="4"/>
    <col min="10753" max="10753" width="8" style="4" customWidth="1"/>
    <col min="10754" max="10754" width="38.08984375" style="4" customWidth="1"/>
    <col min="10755" max="10759" width="0" style="4" hidden="1" customWidth="1"/>
    <col min="10760" max="10766" width="8" style="4" customWidth="1"/>
    <col min="10767" max="11008" width="9.08984375" style="4"/>
    <col min="11009" max="11009" width="8" style="4" customWidth="1"/>
    <col min="11010" max="11010" width="38.08984375" style="4" customWidth="1"/>
    <col min="11011" max="11015" width="0" style="4" hidden="1" customWidth="1"/>
    <col min="11016" max="11022" width="8" style="4" customWidth="1"/>
    <col min="11023" max="11264" width="9.08984375" style="4"/>
    <col min="11265" max="11265" width="8" style="4" customWidth="1"/>
    <col min="11266" max="11266" width="38.08984375" style="4" customWidth="1"/>
    <col min="11267" max="11271" width="0" style="4" hidden="1" customWidth="1"/>
    <col min="11272" max="11278" width="8" style="4" customWidth="1"/>
    <col min="11279" max="11520" width="9.08984375" style="4"/>
    <col min="11521" max="11521" width="8" style="4" customWidth="1"/>
    <col min="11522" max="11522" width="38.08984375" style="4" customWidth="1"/>
    <col min="11523" max="11527" width="0" style="4" hidden="1" customWidth="1"/>
    <col min="11528" max="11534" width="8" style="4" customWidth="1"/>
    <col min="11535" max="11776" width="9.08984375" style="4"/>
    <col min="11777" max="11777" width="8" style="4" customWidth="1"/>
    <col min="11778" max="11778" width="38.08984375" style="4" customWidth="1"/>
    <col min="11779" max="11783" width="0" style="4" hidden="1" customWidth="1"/>
    <col min="11784" max="11790" width="8" style="4" customWidth="1"/>
    <col min="11791" max="12032" width="9.08984375" style="4"/>
    <col min="12033" max="12033" width="8" style="4" customWidth="1"/>
    <col min="12034" max="12034" width="38.08984375" style="4" customWidth="1"/>
    <col min="12035" max="12039" width="0" style="4" hidden="1" customWidth="1"/>
    <col min="12040" max="12046" width="8" style="4" customWidth="1"/>
    <col min="12047" max="12288" width="9.08984375" style="4"/>
    <col min="12289" max="12289" width="8" style="4" customWidth="1"/>
    <col min="12290" max="12290" width="38.08984375" style="4" customWidth="1"/>
    <col min="12291" max="12295" width="0" style="4" hidden="1" customWidth="1"/>
    <col min="12296" max="12302" width="8" style="4" customWidth="1"/>
    <col min="12303" max="12544" width="9.08984375" style="4"/>
    <col min="12545" max="12545" width="8" style="4" customWidth="1"/>
    <col min="12546" max="12546" width="38.08984375" style="4" customWidth="1"/>
    <col min="12547" max="12551" width="0" style="4" hidden="1" customWidth="1"/>
    <col min="12552" max="12558" width="8" style="4" customWidth="1"/>
    <col min="12559" max="12800" width="9.08984375" style="4"/>
    <col min="12801" max="12801" width="8" style="4" customWidth="1"/>
    <col min="12802" max="12802" width="38.08984375" style="4" customWidth="1"/>
    <col min="12803" max="12807" width="0" style="4" hidden="1" customWidth="1"/>
    <col min="12808" max="12814" width="8" style="4" customWidth="1"/>
    <col min="12815" max="13056" width="9.08984375" style="4"/>
    <col min="13057" max="13057" width="8" style="4" customWidth="1"/>
    <col min="13058" max="13058" width="38.08984375" style="4" customWidth="1"/>
    <col min="13059" max="13063" width="0" style="4" hidden="1" customWidth="1"/>
    <col min="13064" max="13070" width="8" style="4" customWidth="1"/>
    <col min="13071" max="13312" width="9.08984375" style="4"/>
    <col min="13313" max="13313" width="8" style="4" customWidth="1"/>
    <col min="13314" max="13314" width="38.08984375" style="4" customWidth="1"/>
    <col min="13315" max="13319" width="0" style="4" hidden="1" customWidth="1"/>
    <col min="13320" max="13326" width="8" style="4" customWidth="1"/>
    <col min="13327" max="13568" width="9.08984375" style="4"/>
    <col min="13569" max="13569" width="8" style="4" customWidth="1"/>
    <col min="13570" max="13570" width="38.08984375" style="4" customWidth="1"/>
    <col min="13571" max="13575" width="0" style="4" hidden="1" customWidth="1"/>
    <col min="13576" max="13582" width="8" style="4" customWidth="1"/>
    <col min="13583" max="13824" width="9.08984375" style="4"/>
    <col min="13825" max="13825" width="8" style="4" customWidth="1"/>
    <col min="13826" max="13826" width="38.08984375" style="4" customWidth="1"/>
    <col min="13827" max="13831" width="0" style="4" hidden="1" customWidth="1"/>
    <col min="13832" max="13838" width="8" style="4" customWidth="1"/>
    <col min="13839" max="14080" width="9.08984375" style="4"/>
    <col min="14081" max="14081" width="8" style="4" customWidth="1"/>
    <col min="14082" max="14082" width="38.08984375" style="4" customWidth="1"/>
    <col min="14083" max="14087" width="0" style="4" hidden="1" customWidth="1"/>
    <col min="14088" max="14094" width="8" style="4" customWidth="1"/>
    <col min="14095" max="14336" width="9.08984375" style="4"/>
    <col min="14337" max="14337" width="8" style="4" customWidth="1"/>
    <col min="14338" max="14338" width="38.08984375" style="4" customWidth="1"/>
    <col min="14339" max="14343" width="0" style="4" hidden="1" customWidth="1"/>
    <col min="14344" max="14350" width="8" style="4" customWidth="1"/>
    <col min="14351" max="14592" width="9.08984375" style="4"/>
    <col min="14593" max="14593" width="8" style="4" customWidth="1"/>
    <col min="14594" max="14594" width="38.08984375" style="4" customWidth="1"/>
    <col min="14595" max="14599" width="0" style="4" hidden="1" customWidth="1"/>
    <col min="14600" max="14606" width="8" style="4" customWidth="1"/>
    <col min="14607" max="14848" width="9.08984375" style="4"/>
    <col min="14849" max="14849" width="8" style="4" customWidth="1"/>
    <col min="14850" max="14850" width="38.08984375" style="4" customWidth="1"/>
    <col min="14851" max="14855" width="0" style="4" hidden="1" customWidth="1"/>
    <col min="14856" max="14862" width="8" style="4" customWidth="1"/>
    <col min="14863" max="15104" width="9.08984375" style="4"/>
    <col min="15105" max="15105" width="8" style="4" customWidth="1"/>
    <col min="15106" max="15106" width="38.08984375" style="4" customWidth="1"/>
    <col min="15107" max="15111" width="0" style="4" hidden="1" customWidth="1"/>
    <col min="15112" max="15118" width="8" style="4" customWidth="1"/>
    <col min="15119" max="15360" width="9.08984375" style="4"/>
    <col min="15361" max="15361" width="8" style="4" customWidth="1"/>
    <col min="15362" max="15362" width="38.08984375" style="4" customWidth="1"/>
    <col min="15363" max="15367" width="0" style="4" hidden="1" customWidth="1"/>
    <col min="15368" max="15374" width="8" style="4" customWidth="1"/>
    <col min="15375" max="15616" width="9.08984375" style="4"/>
    <col min="15617" max="15617" width="8" style="4" customWidth="1"/>
    <col min="15618" max="15618" width="38.08984375" style="4" customWidth="1"/>
    <col min="15619" max="15623" width="0" style="4" hidden="1" customWidth="1"/>
    <col min="15624" max="15630" width="8" style="4" customWidth="1"/>
    <col min="15631" max="15872" width="9.08984375" style="4"/>
    <col min="15873" max="15873" width="8" style="4" customWidth="1"/>
    <col min="15874" max="15874" width="38.08984375" style="4" customWidth="1"/>
    <col min="15875" max="15879" width="0" style="4" hidden="1" customWidth="1"/>
    <col min="15880" max="15886" width="8" style="4" customWidth="1"/>
    <col min="15887" max="16128" width="9.08984375" style="4"/>
    <col min="16129" max="16129" width="8" style="4" customWidth="1"/>
    <col min="16130" max="16130" width="38.08984375" style="4" customWidth="1"/>
    <col min="16131" max="16135" width="0" style="4" hidden="1" customWidth="1"/>
    <col min="16136" max="16142" width="8" style="4" customWidth="1"/>
    <col min="16143" max="16384" width="9.08984375" style="4"/>
  </cols>
  <sheetData>
    <row r="2" spans="2:40">
      <c r="B2" s="2" t="s">
        <v>279</v>
      </c>
      <c r="C2" s="3">
        <v>1998</v>
      </c>
      <c r="D2" s="3">
        <f>C2+1</f>
        <v>1999</v>
      </c>
      <c r="E2" s="3">
        <f t="shared" ref="E2:AN2" si="0">D2+1</f>
        <v>2000</v>
      </c>
      <c r="F2" s="3">
        <f t="shared" si="0"/>
        <v>2001</v>
      </c>
      <c r="G2" s="3">
        <f t="shared" si="0"/>
        <v>2002</v>
      </c>
      <c r="H2" s="3">
        <f t="shared" si="0"/>
        <v>2003</v>
      </c>
      <c r="I2" s="3">
        <f t="shared" si="0"/>
        <v>2004</v>
      </c>
      <c r="J2" s="3">
        <f t="shared" si="0"/>
        <v>2005</v>
      </c>
      <c r="K2" s="3">
        <f t="shared" si="0"/>
        <v>2006</v>
      </c>
      <c r="L2" s="3">
        <f t="shared" si="0"/>
        <v>2007</v>
      </c>
      <c r="M2" s="3">
        <f t="shared" si="0"/>
        <v>2008</v>
      </c>
      <c r="N2" s="3">
        <f t="shared" si="0"/>
        <v>2009</v>
      </c>
      <c r="O2" s="3">
        <f t="shared" si="0"/>
        <v>2010</v>
      </c>
      <c r="P2" s="3">
        <f t="shared" si="0"/>
        <v>2011</v>
      </c>
      <c r="Q2" s="3">
        <f t="shared" si="0"/>
        <v>2012</v>
      </c>
      <c r="R2" s="3">
        <f t="shared" si="0"/>
        <v>2013</v>
      </c>
      <c r="S2" s="3">
        <f t="shared" si="0"/>
        <v>2014</v>
      </c>
      <c r="T2" s="3">
        <f t="shared" si="0"/>
        <v>2015</v>
      </c>
      <c r="U2" s="3">
        <f t="shared" si="0"/>
        <v>2016</v>
      </c>
      <c r="V2" s="3">
        <f t="shared" si="0"/>
        <v>2017</v>
      </c>
      <c r="W2" s="3">
        <f t="shared" si="0"/>
        <v>2018</v>
      </c>
      <c r="X2" s="3">
        <f t="shared" si="0"/>
        <v>2019</v>
      </c>
      <c r="Y2" s="3">
        <f t="shared" si="0"/>
        <v>2020</v>
      </c>
      <c r="Z2" s="3">
        <f t="shared" si="0"/>
        <v>2021</v>
      </c>
      <c r="AA2" s="3">
        <f t="shared" si="0"/>
        <v>2022</v>
      </c>
      <c r="AB2" s="3">
        <f t="shared" si="0"/>
        <v>2023</v>
      </c>
      <c r="AC2" s="3">
        <f t="shared" si="0"/>
        <v>2024</v>
      </c>
      <c r="AD2" s="3">
        <f t="shared" si="0"/>
        <v>2025</v>
      </c>
      <c r="AE2" s="3">
        <f t="shared" si="0"/>
        <v>2026</v>
      </c>
      <c r="AF2" s="3">
        <f t="shared" si="0"/>
        <v>2027</v>
      </c>
      <c r="AG2" s="3">
        <f t="shared" si="0"/>
        <v>2028</v>
      </c>
      <c r="AH2" s="3">
        <f t="shared" si="0"/>
        <v>2029</v>
      </c>
      <c r="AI2" s="3">
        <f t="shared" si="0"/>
        <v>2030</v>
      </c>
      <c r="AJ2" s="3">
        <f t="shared" si="0"/>
        <v>2031</v>
      </c>
      <c r="AK2" s="3">
        <f t="shared" si="0"/>
        <v>2032</v>
      </c>
      <c r="AL2" s="3">
        <f t="shared" si="0"/>
        <v>2033</v>
      </c>
      <c r="AM2" s="3">
        <f t="shared" si="0"/>
        <v>2034</v>
      </c>
      <c r="AN2" s="3">
        <f t="shared" si="0"/>
        <v>2035</v>
      </c>
    </row>
    <row r="3" spans="2:40">
      <c r="B3" s="5" t="s">
        <v>716</v>
      </c>
      <c r="C3" s="6"/>
      <c r="D3" s="7"/>
      <c r="E3" s="7"/>
      <c r="F3" s="7"/>
      <c r="G3" s="7"/>
      <c r="H3" s="7"/>
      <c r="I3" s="7"/>
      <c r="J3" s="7"/>
      <c r="K3" s="7"/>
      <c r="L3" s="317">
        <f>L4</f>
        <v>7.09</v>
      </c>
      <c r="M3" s="317">
        <f t="shared" ref="M3:AI3" si="1">M4</f>
        <v>7.09</v>
      </c>
      <c r="N3" s="317">
        <f t="shared" si="1"/>
        <v>8.5079999999999991</v>
      </c>
      <c r="O3" s="317">
        <f t="shared" si="1"/>
        <v>8.5079999999999991</v>
      </c>
      <c r="P3" s="317">
        <f t="shared" si="1"/>
        <v>8.5079999999999991</v>
      </c>
      <c r="Q3" s="317">
        <f t="shared" si="1"/>
        <v>8.5079999999999991</v>
      </c>
      <c r="R3" s="317">
        <f t="shared" si="1"/>
        <v>8.5079999999999991</v>
      </c>
      <c r="S3" s="317">
        <f t="shared" si="1"/>
        <v>8.5079999999999991</v>
      </c>
      <c r="T3" s="317">
        <f t="shared" si="1"/>
        <v>8.5410000000000004</v>
      </c>
      <c r="U3" s="317">
        <f t="shared" si="1"/>
        <v>10.688000000000001</v>
      </c>
      <c r="V3" s="317">
        <f t="shared" si="1"/>
        <v>10.688000000000001</v>
      </c>
      <c r="W3" s="317">
        <f t="shared" si="1"/>
        <v>10.687959999999999</v>
      </c>
      <c r="X3" s="317">
        <f t="shared" si="1"/>
        <v>10.687959999999999</v>
      </c>
      <c r="Y3" s="317">
        <f t="shared" si="1"/>
        <v>10.706010000000001</v>
      </c>
      <c r="Z3" s="317">
        <f t="shared" si="1"/>
        <v>10.72467</v>
      </c>
      <c r="AA3" s="317">
        <f t="shared" si="1"/>
        <v>13.128430665</v>
      </c>
      <c r="AB3" s="317">
        <f t="shared" si="1"/>
        <v>13.128430665</v>
      </c>
      <c r="AC3" s="317">
        <f t="shared" si="1"/>
        <v>13.071942865</v>
      </c>
      <c r="AD3" s="317">
        <f t="shared" si="1"/>
        <v>17.105</v>
      </c>
      <c r="AE3" s="317">
        <f t="shared" si="1"/>
        <v>17.105</v>
      </c>
      <c r="AF3" s="317">
        <f t="shared" si="1"/>
        <v>17.105</v>
      </c>
      <c r="AG3" s="317">
        <f t="shared" si="1"/>
        <v>17.105</v>
      </c>
      <c r="AH3" s="317">
        <f t="shared" si="1"/>
        <v>17.105</v>
      </c>
      <c r="AI3" s="317">
        <f t="shared" si="1"/>
        <v>17.105</v>
      </c>
      <c r="AJ3" s="8"/>
      <c r="AK3" s="8"/>
      <c r="AL3" s="8"/>
      <c r="AM3" s="8"/>
      <c r="AN3" s="8"/>
    </row>
    <row r="4" spans="2:40">
      <c r="B4" s="5" t="s">
        <v>717</v>
      </c>
      <c r="C4" s="6"/>
      <c r="D4" s="7"/>
      <c r="E4" s="7"/>
      <c r="F4" s="7"/>
      <c r="G4" s="7"/>
      <c r="H4" s="7"/>
      <c r="I4" s="7"/>
      <c r="J4" s="7"/>
      <c r="K4" s="7"/>
      <c r="L4" s="317">
        <f>'Balance Sheet and Cflow'!C314/1000</f>
        <v>7.09</v>
      </c>
      <c r="M4" s="317">
        <f>'Balance Sheet and Cflow'!D314/1000</f>
        <v>7.09</v>
      </c>
      <c r="N4" s="317">
        <f>'Balance Sheet and Cflow'!E314/1000</f>
        <v>8.5079999999999991</v>
      </c>
      <c r="O4" s="317">
        <f>'Balance Sheet and Cflow'!F314/1000</f>
        <v>8.5079999999999991</v>
      </c>
      <c r="P4" s="317">
        <f>'Balance Sheet and Cflow'!G314/1000</f>
        <v>8.5079999999999991</v>
      </c>
      <c r="Q4" s="317">
        <f>'Balance Sheet and Cflow'!H314/1000</f>
        <v>8.5079999999999991</v>
      </c>
      <c r="R4" s="317">
        <f>'Balance Sheet and Cflow'!I314/1000</f>
        <v>8.5079999999999991</v>
      </c>
      <c r="S4" s="317">
        <f>'Balance Sheet and Cflow'!J314/1000</f>
        <v>8.5079999999999991</v>
      </c>
      <c r="T4" s="317">
        <f>'Balance Sheet and Cflow'!K314/1000</f>
        <v>8.5410000000000004</v>
      </c>
      <c r="U4" s="317">
        <f>'Balance Sheet and Cflow'!L314/1000</f>
        <v>10.688000000000001</v>
      </c>
      <c r="V4" s="317">
        <f>'Balance Sheet and Cflow'!M314/1000</f>
        <v>10.688000000000001</v>
      </c>
      <c r="W4" s="317">
        <f>'Balance Sheet and Cflow'!N314/1000</f>
        <v>10.687959999999999</v>
      </c>
      <c r="X4" s="317">
        <f>'Balance Sheet and Cflow'!O314/1000</f>
        <v>10.687959999999999</v>
      </c>
      <c r="Y4" s="317">
        <f>'Balance Sheet and Cflow'!P314/1000</f>
        <v>10.706010000000001</v>
      </c>
      <c r="Z4" s="317">
        <f>'Balance Sheet and Cflow'!Q314/1000</f>
        <v>10.72467</v>
      </c>
      <c r="AA4" s="317">
        <f>'Balance Sheet and Cflow'!R314/1000</f>
        <v>13.128430665</v>
      </c>
      <c r="AB4" s="317">
        <f>'Balance Sheet and Cflow'!S314/1000</f>
        <v>13.128430665</v>
      </c>
      <c r="AC4" s="317">
        <f>'Balance Sheet and Cflow'!T314/1000</f>
        <v>13.071942865</v>
      </c>
      <c r="AD4" s="317">
        <f>'Balance Sheet and Cflow'!V314/1000</f>
        <v>17.105</v>
      </c>
      <c r="AE4" s="317">
        <f>'Balance Sheet and Cflow'!W314/1000</f>
        <v>17.105</v>
      </c>
      <c r="AF4" s="317">
        <f>'Balance Sheet and Cflow'!X314/1000</f>
        <v>17.105</v>
      </c>
      <c r="AG4" s="317">
        <f>'Balance Sheet and Cflow'!Y314/1000</f>
        <v>17.105</v>
      </c>
      <c r="AH4" s="317">
        <f>'Balance Sheet and Cflow'!Z314/1000</f>
        <v>17.105</v>
      </c>
      <c r="AI4" s="317">
        <f>'Balance Sheet and Cflow'!AA314/1000</f>
        <v>17.105</v>
      </c>
      <c r="AJ4" s="8"/>
      <c r="AK4" s="8"/>
      <c r="AL4" s="8"/>
      <c r="AM4" s="8"/>
      <c r="AN4" s="8"/>
    </row>
    <row r="5" spans="2:40">
      <c r="B5" s="5" t="s">
        <v>280</v>
      </c>
      <c r="C5" s="6"/>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8"/>
      <c r="AK5" s="8"/>
      <c r="AL5" s="8"/>
      <c r="AM5" s="8"/>
      <c r="AN5" s="8"/>
    </row>
    <row r="6" spans="2:40">
      <c r="B6" s="5" t="s">
        <v>281</v>
      </c>
      <c r="C6" s="6"/>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8"/>
      <c r="AK6" s="8"/>
      <c r="AL6" s="8"/>
      <c r="AM6" s="8"/>
      <c r="AN6" s="8"/>
    </row>
    <row r="7" spans="2:40">
      <c r="B7" s="5" t="s">
        <v>282</v>
      </c>
      <c r="C7" s="6"/>
      <c r="D7" s="7"/>
      <c r="E7" s="7"/>
      <c r="F7" s="7"/>
      <c r="G7" s="7"/>
      <c r="H7" s="7"/>
      <c r="I7" s="7"/>
      <c r="J7" s="7"/>
      <c r="K7" s="7"/>
      <c r="L7" s="7">
        <f>'Balance Sheet and Cflow'!C203</f>
        <v>8857</v>
      </c>
      <c r="M7" s="7">
        <f>'Balance Sheet and Cflow'!D203</f>
        <v>17770</v>
      </c>
      <c r="N7" s="7">
        <f>'Balance Sheet and Cflow'!E203</f>
        <v>13015</v>
      </c>
      <c r="O7" s="7">
        <f>'Balance Sheet and Cflow'!F203</f>
        <v>9812</v>
      </c>
      <c r="P7" s="7">
        <f>'Balance Sheet and Cflow'!G203</f>
        <v>9728</v>
      </c>
      <c r="Q7" s="7">
        <f>'Balance Sheet and Cflow'!H203</f>
        <v>12727</v>
      </c>
      <c r="R7" s="7">
        <f>'Balance Sheet and Cflow'!I203</f>
        <v>16504</v>
      </c>
      <c r="S7" s="7">
        <f>'Balance Sheet and Cflow'!J203</f>
        <v>22678</v>
      </c>
      <c r="T7" s="7">
        <f>'Balance Sheet and Cflow'!K203</f>
        <v>23641</v>
      </c>
      <c r="U7" s="7">
        <f>'Balance Sheet and Cflow'!L203</f>
        <v>13271</v>
      </c>
      <c r="V7" s="7">
        <f>'Balance Sheet and Cflow'!M203</f>
        <v>12296</v>
      </c>
      <c r="W7" s="7">
        <f>'Balance Sheet and Cflow'!N203</f>
        <v>22023.743000000002</v>
      </c>
      <c r="X7" s="7">
        <f>'Balance Sheet and Cflow'!O203</f>
        <v>25325.743999999999</v>
      </c>
      <c r="Y7" s="7">
        <f>'Balance Sheet and Cflow'!P203</f>
        <v>30662.309999999998</v>
      </c>
      <c r="Z7" s="7">
        <f>'Balance Sheet and Cflow'!Q203</f>
        <v>32984.251000000004</v>
      </c>
      <c r="AA7" s="7">
        <f>'Balance Sheet and Cflow'!R203</f>
        <v>38775.660000000003</v>
      </c>
      <c r="AB7" s="7">
        <f>'Balance Sheet and Cflow'!S203</f>
        <v>44952.006999999998</v>
      </c>
      <c r="AC7" s="7">
        <f>'Balance Sheet and Cflow'!T203</f>
        <v>44701.377</v>
      </c>
      <c r="AD7" s="7">
        <f>'Balance Sheet and Cflow'!V203</f>
        <v>71285.34308628444</v>
      </c>
      <c r="AE7" s="7">
        <f>'Balance Sheet and Cflow'!W203</f>
        <v>68233.773515968918</v>
      </c>
      <c r="AF7" s="7">
        <f>'Balance Sheet and Cflow'!X203</f>
        <v>65503.751528435925</v>
      </c>
      <c r="AG7" s="7">
        <f>'Balance Sheet and Cflow'!Y203</f>
        <v>62610.894403656341</v>
      </c>
      <c r="AH7" s="7">
        <f>'Balance Sheet and Cflow'!Z203</f>
        <v>59849.334246644241</v>
      </c>
      <c r="AI7" s="7">
        <f>'Balance Sheet and Cflow'!AA203</f>
        <v>57400.204263660402</v>
      </c>
      <c r="AJ7" s="8"/>
      <c r="AK7" s="8"/>
      <c r="AL7" s="8"/>
      <c r="AM7" s="8"/>
      <c r="AN7" s="8"/>
    </row>
    <row r="8" spans="2:40">
      <c r="B8" s="5" t="s">
        <v>283</v>
      </c>
      <c r="C8" s="6"/>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8"/>
      <c r="AK8" s="8"/>
      <c r="AL8" s="8"/>
      <c r="AM8" s="8"/>
      <c r="AN8" s="8"/>
    </row>
    <row r="9" spans="2:40">
      <c r="B9" s="5" t="s">
        <v>284</v>
      </c>
      <c r="C9" s="6"/>
      <c r="D9" s="9"/>
      <c r="E9" s="9"/>
      <c r="F9" s="9"/>
      <c r="G9" s="9"/>
      <c r="H9" s="9"/>
      <c r="I9" s="9"/>
      <c r="J9" s="9"/>
      <c r="K9" s="9"/>
      <c r="L9" s="9"/>
      <c r="M9" s="9"/>
      <c r="N9" s="9"/>
      <c r="O9" s="9"/>
      <c r="P9" s="9"/>
      <c r="Q9" s="9"/>
      <c r="R9" s="9"/>
      <c r="S9" s="9"/>
      <c r="T9" s="9"/>
      <c r="U9" s="9"/>
      <c r="V9" s="7"/>
      <c r="W9" s="7"/>
      <c r="X9" s="7"/>
      <c r="Y9" s="7"/>
      <c r="Z9" s="7"/>
      <c r="AA9" s="7"/>
      <c r="AB9" s="7"/>
      <c r="AC9" s="7"/>
      <c r="AD9" s="7"/>
      <c r="AE9" s="7"/>
      <c r="AF9" s="7"/>
      <c r="AG9" s="7"/>
      <c r="AH9" s="7"/>
      <c r="AI9" s="7"/>
      <c r="AJ9" s="8"/>
      <c r="AK9" s="8"/>
      <c r="AL9" s="8"/>
      <c r="AM9" s="8"/>
      <c r="AN9" s="8"/>
    </row>
    <row r="10" spans="2:40">
      <c r="B10" s="5" t="s">
        <v>285</v>
      </c>
      <c r="C10" s="6"/>
      <c r="D10" s="9"/>
      <c r="E10" s="9"/>
      <c r="F10" s="9"/>
      <c r="G10" s="9"/>
      <c r="H10" s="9"/>
      <c r="I10" s="9"/>
      <c r="J10" s="9"/>
      <c r="K10" s="9"/>
      <c r="L10" s="9"/>
      <c r="M10" s="9"/>
      <c r="N10" s="9"/>
      <c r="O10" s="9"/>
      <c r="P10" s="9"/>
      <c r="Q10" s="9"/>
      <c r="R10" s="9"/>
      <c r="S10" s="9"/>
      <c r="T10" s="9"/>
      <c r="U10" s="9"/>
      <c r="V10" s="7"/>
      <c r="W10" s="7"/>
      <c r="X10" s="7"/>
      <c r="Y10" s="7"/>
      <c r="Z10" s="7"/>
      <c r="AA10" s="7"/>
      <c r="AB10" s="7"/>
      <c r="AC10" s="7"/>
      <c r="AD10" s="7"/>
      <c r="AE10" s="7"/>
      <c r="AF10" s="7"/>
      <c r="AG10" s="7"/>
      <c r="AH10" s="7"/>
      <c r="AI10" s="7"/>
      <c r="AJ10" s="8"/>
      <c r="AK10" s="8"/>
      <c r="AL10" s="8"/>
      <c r="AM10" s="8"/>
      <c r="AN10" s="8"/>
    </row>
    <row r="11" spans="2:40">
      <c r="B11" s="5" t="s">
        <v>286</v>
      </c>
      <c r="C11" s="6"/>
      <c r="D11" s="9"/>
      <c r="E11" s="9"/>
      <c r="F11" s="9"/>
      <c r="G11" s="9"/>
      <c r="H11" s="9"/>
      <c r="I11" s="9"/>
      <c r="J11" s="9"/>
      <c r="K11" s="9"/>
      <c r="L11" s="9"/>
      <c r="M11" s="9"/>
      <c r="N11" s="9"/>
      <c r="O11" s="9"/>
      <c r="P11" s="9"/>
      <c r="Q11" s="9"/>
      <c r="R11" s="9"/>
      <c r="S11" s="9"/>
      <c r="T11" s="9"/>
      <c r="U11" s="9"/>
      <c r="V11" s="7">
        <f>-DCF!E66</f>
        <v>0</v>
      </c>
      <c r="W11" s="7">
        <f>-DCF!F66</f>
        <v>0</v>
      </c>
      <c r="X11" s="7">
        <f>-DCF!G66</f>
        <v>0</v>
      </c>
      <c r="Y11" s="7">
        <f>-DCF!H66</f>
        <v>0</v>
      </c>
      <c r="Z11" s="7">
        <f>-DCF!I66</f>
        <v>0</v>
      </c>
      <c r="AA11" s="7">
        <f>-DCF!J66</f>
        <v>0</v>
      </c>
      <c r="AB11" s="7">
        <f>-DCF!K66</f>
        <v>0</v>
      </c>
      <c r="AC11" s="7">
        <f>-DCF!L66</f>
        <v>0</v>
      </c>
      <c r="AD11" s="7">
        <f>-DCF!M66</f>
        <v>0</v>
      </c>
      <c r="AE11" s="7">
        <f>-DCF!N66</f>
        <v>0</v>
      </c>
      <c r="AF11" s="7">
        <f>-DCF!O66</f>
        <v>1101.2652651680201</v>
      </c>
      <c r="AG11" s="7">
        <f>-DCF!P66</f>
        <v>3281.2672989572602</v>
      </c>
      <c r="AH11" s="7">
        <f>-DCF!Q66</f>
        <v>6066.3001126373192</v>
      </c>
      <c r="AI11" s="7">
        <f>-DCF!R66</f>
        <v>9416.9279113316679</v>
      </c>
      <c r="AJ11" s="8"/>
      <c r="AK11" s="8"/>
      <c r="AL11" s="8"/>
      <c r="AM11" s="8"/>
      <c r="AN11" s="8"/>
    </row>
    <row r="12" spans="2:40">
      <c r="B12" s="5" t="s">
        <v>287</v>
      </c>
      <c r="C12" s="6"/>
      <c r="D12" s="7"/>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8"/>
      <c r="AK12" s="8"/>
      <c r="AL12" s="8"/>
      <c r="AM12" s="8"/>
      <c r="AN12" s="8"/>
    </row>
    <row r="13" spans="2:40">
      <c r="B13" s="5" t="s">
        <v>288</v>
      </c>
      <c r="C13" s="6"/>
      <c r="D13" s="10"/>
      <c r="E13" s="10"/>
      <c r="F13" s="10"/>
      <c r="G13" s="10"/>
      <c r="H13" s="10"/>
      <c r="I13" s="10"/>
      <c r="J13" s="10"/>
      <c r="K13" s="10"/>
      <c r="L13" s="10">
        <f>'Income Statement'!C284</f>
        <v>9.4700000000000006</v>
      </c>
      <c r="M13" s="10">
        <f>'Income Statement'!H284</f>
        <v>20</v>
      </c>
      <c r="N13" s="10">
        <f>'Income Statement'!M284</f>
        <v>0</v>
      </c>
      <c r="O13" s="10">
        <f>'Income Statement'!R284</f>
        <v>107</v>
      </c>
      <c r="P13" s="10">
        <f>'Income Statement'!W284</f>
        <v>129.88</v>
      </c>
      <c r="Q13" s="10">
        <f>'Income Statement'!AB284</f>
        <v>135</v>
      </c>
      <c r="R13" s="10">
        <f>'Income Statement'!AG284</f>
        <v>65</v>
      </c>
      <c r="S13" s="10">
        <f>'Income Statement'!AL284</f>
        <v>0</v>
      </c>
      <c r="T13" s="10">
        <f>'Income Statement'!AQ284</f>
        <v>0</v>
      </c>
      <c r="U13" s="10">
        <f>'Income Statement'!AV284</f>
        <v>0</v>
      </c>
      <c r="V13" s="10">
        <f>'Income Statement'!BA284</f>
        <v>0</v>
      </c>
      <c r="W13" s="10">
        <f>'Income Statement'!BF284</f>
        <v>0</v>
      </c>
      <c r="X13" s="10">
        <f>'Income Statement'!BK284</f>
        <v>20</v>
      </c>
      <c r="Y13" s="10">
        <f>'Income Statement'!BP284</f>
        <v>31.7</v>
      </c>
      <c r="Z13" s="10">
        <f>'Income Statement'!BU284</f>
        <v>51</v>
      </c>
      <c r="AA13" s="10">
        <f>'Income Statement'!BZ284</f>
        <v>42</v>
      </c>
      <c r="AB13" s="10">
        <f>'Income Statement'!CE284</f>
        <v>48.6</v>
      </c>
      <c r="AC13" s="10">
        <f>'Income Statement'!CJ284</f>
        <v>85.7</v>
      </c>
      <c r="AD13" s="10">
        <f>'Income Statement'!CO284</f>
        <v>0</v>
      </c>
      <c r="AE13" s="10">
        <f>'Income Statement'!CP284</f>
        <v>0</v>
      </c>
      <c r="AF13" s="10">
        <f>'Income Statement'!CQ284</f>
        <v>64.382652158317455</v>
      </c>
      <c r="AG13" s="10">
        <f>'Income Statement'!CR284</f>
        <v>127.44823348665538</v>
      </c>
      <c r="AH13" s="10">
        <f>'Income Statement'!CS284</f>
        <v>162.81980787372459</v>
      </c>
      <c r="AI13" s="10">
        <f>'Income Statement'!CT284</f>
        <v>195.88586955243196</v>
      </c>
      <c r="AJ13" s="8"/>
      <c r="AK13" s="8"/>
      <c r="AL13" s="8"/>
      <c r="AM13" s="8"/>
      <c r="AN13" s="8"/>
    </row>
    <row r="14" spans="2:40">
      <c r="B14" s="5" t="s">
        <v>100</v>
      </c>
      <c r="C14" s="6"/>
      <c r="D14" s="10"/>
      <c r="E14" s="10"/>
      <c r="F14" s="10"/>
      <c r="G14" s="10"/>
      <c r="H14" s="10"/>
      <c r="I14" s="10"/>
      <c r="J14" s="10"/>
      <c r="K14" s="10"/>
      <c r="L14" s="10">
        <f>'Income Statement'!C282</f>
        <v>29.561851134963927</v>
      </c>
      <c r="M14" s="10">
        <f>'Income Statement'!H282</f>
        <v>-1.6423250630535515</v>
      </c>
      <c r="N14" s="10">
        <f>'Income Statement'!M282</f>
        <v>200.53962109214621</v>
      </c>
      <c r="O14" s="10">
        <f>'Income Statement'!R282</f>
        <v>339.25743445363366</v>
      </c>
      <c r="P14" s="10">
        <f>'Income Statement'!W282</f>
        <v>331.98428060296794</v>
      </c>
      <c r="Q14" s="10">
        <f>'Income Statement'!AB282</f>
        <v>318.72837116546424</v>
      </c>
      <c r="R14" s="10">
        <f>'Income Statement'!AG282</f>
        <v>121.0628189336618</v>
      </c>
      <c r="S14" s="10">
        <f>'Income Statement'!AL282</f>
        <v>-104.52225937005103</v>
      </c>
      <c r="T14" s="10">
        <f>'Income Statement'!AQ282</f>
        <v>-2.9327233268813422</v>
      </c>
      <c r="U14" s="10">
        <f>'Income Statement'!AV282</f>
        <v>38.899578761246033</v>
      </c>
      <c r="V14" s="10">
        <f>'Income Statement'!BA282</f>
        <v>35</v>
      </c>
      <c r="W14" s="10">
        <f>'Income Statement'!BF282</f>
        <v>-308.00000000000006</v>
      </c>
      <c r="X14" s="10">
        <f>'Income Statement'!BK282</f>
        <v>67</v>
      </c>
      <c r="Y14" s="10">
        <f>'Income Statement'!BP282</f>
        <v>35</v>
      </c>
      <c r="Z14" s="10">
        <f>'Income Statement'!BU282</f>
        <v>120.31697851775394</v>
      </c>
      <c r="AA14" s="10">
        <f>'Income Statement'!BZ282</f>
        <v>85.401525026830015</v>
      </c>
      <c r="AB14" s="10">
        <f>'Income Statement'!CE282</f>
        <v>98.259915397817181</v>
      </c>
      <c r="AC14" s="10">
        <f>'Income Statement'!CJ282</f>
        <v>141.34325854093302</v>
      </c>
      <c r="AD14" s="10">
        <f>'Income Statement'!CO282</f>
        <v>-133.5418489493571</v>
      </c>
      <c r="AE14" s="10">
        <f>'Income Statement'!CP282</f>
        <v>43.047102525388894</v>
      </c>
      <c r="AF14" s="10">
        <f>'Income Statement'!CQ282</f>
        <v>128.76530431663491</v>
      </c>
      <c r="AG14" s="10">
        <f>'Income Statement'!CR282</f>
        <v>254.89646697331077</v>
      </c>
      <c r="AH14" s="10">
        <f>'Income Statement'!CS282</f>
        <v>325.63961574744917</v>
      </c>
      <c r="AI14" s="10">
        <f>'Income Statement'!CT282</f>
        <v>391.77173910486391</v>
      </c>
      <c r="AJ14" s="8"/>
      <c r="AK14" s="8"/>
      <c r="AL14" s="8"/>
      <c r="AM14" s="8"/>
      <c r="AN14" s="8"/>
    </row>
    <row r="15" spans="2:40">
      <c r="B15" s="5" t="s">
        <v>289</v>
      </c>
      <c r="C15" s="6"/>
      <c r="D15" s="10"/>
      <c r="E15" s="10"/>
      <c r="F15" s="10"/>
      <c r="G15" s="10"/>
      <c r="H15" s="10"/>
      <c r="I15" s="10"/>
      <c r="J15" s="10"/>
      <c r="K15" s="10"/>
      <c r="L15" s="10">
        <f>'Balance Sheet and Cflow'!C362*1000/'Balance Sheet and Cflow'!C314</f>
        <v>88.798307475317344</v>
      </c>
      <c r="M15" s="10">
        <f>'Balance Sheet and Cflow'!D362*1000/'Balance Sheet and Cflow'!D314</f>
        <v>38.267983074753175</v>
      </c>
      <c r="N15" s="10">
        <f>'Balance Sheet and Cflow'!E362*1000/'Balance Sheet and Cflow'!E314</f>
        <v>113.41090738128821</v>
      </c>
      <c r="O15" s="10">
        <f>'Balance Sheet and Cflow'!F362*1000/'Balance Sheet and Cflow'!F314</f>
        <v>359.54395862717445</v>
      </c>
      <c r="P15" s="10">
        <f>'Balance Sheet and Cflow'!G362*1000/'Balance Sheet and Cflow'!G314</f>
        <v>342.61871180065822</v>
      </c>
      <c r="Q15" s="10">
        <f>'Balance Sheet and Cflow'!H362*1000/'Balance Sheet and Cflow'!H314</f>
        <v>354.48989186647862</v>
      </c>
      <c r="R15" s="10">
        <f>'Balance Sheet and Cflow'!I362*1000/'Balance Sheet and Cflow'!I314</f>
        <v>240.36201222378938</v>
      </c>
      <c r="S15" s="10">
        <f>'Balance Sheet and Cflow'!J362*1000/'Balance Sheet and Cflow'!J314</f>
        <v>53.361542078044195</v>
      </c>
      <c r="T15" s="10">
        <f>'Balance Sheet and Cflow'!K362*1000/'Balance Sheet and Cflow'!K314</f>
        <v>247.04367170120594</v>
      </c>
      <c r="U15" s="10">
        <f>'Balance Sheet and Cflow'!L362*1000/'Balance Sheet and Cflow'!L314</f>
        <v>-3.181137724550898</v>
      </c>
      <c r="V15" s="10">
        <f>'Balance Sheet and Cflow'!M362*1000/'Balance Sheet and Cflow'!M314</f>
        <v>27.226796407185628</v>
      </c>
      <c r="W15" s="10">
        <f>'Balance Sheet and Cflow'!N362*1000/'Balance Sheet and Cflow'!N314</f>
        <v>-298.80444911844728</v>
      </c>
      <c r="X15" s="10">
        <f>'Balance Sheet and Cflow'!O362*1000/'Balance Sheet and Cflow'!O314</f>
        <v>148.909427056239</v>
      </c>
      <c r="Y15" s="10">
        <f>'Balance Sheet and Cflow'!P362*1000/'Balance Sheet and Cflow'!P314</f>
        <v>-197.44349201990289</v>
      </c>
      <c r="Z15" s="10">
        <f>'Balance Sheet and Cflow'!Q362*1000/'Balance Sheet and Cflow'!Q314</f>
        <v>119.192571892655</v>
      </c>
      <c r="AA15" s="10">
        <f>'Balance Sheet and Cflow'!R362*1000/'Balance Sheet and Cflow'!R314</f>
        <v>90.069485848939422</v>
      </c>
      <c r="AB15" s="10">
        <f>'Balance Sheet and Cflow'!S362*1000/'Balance Sheet and Cflow'!S314</f>
        <v>97.542732461846768</v>
      </c>
      <c r="AC15" s="10">
        <f>'Balance Sheet and Cflow'!T362*1000/'Balance Sheet and Cflow'!T314</f>
        <v>141.69010828215548</v>
      </c>
      <c r="AD15" s="10">
        <f>'Balance Sheet and Cflow'!V362*1000/'Balance Sheet and Cflow'!V314</f>
        <v>71.076683643452014</v>
      </c>
      <c r="AE15" s="10">
        <f>'Balance Sheet and Cflow'!W362*1000/'Balance Sheet and Cflow'!W314</f>
        <v>101.50954040904864</v>
      </c>
      <c r="AF15" s="10">
        <f>'Balance Sheet and Cflow'!X362*1000/'Balance Sheet and Cflow'!X314</f>
        <v>172.61213272937971</v>
      </c>
      <c r="AG15" s="10">
        <f>'Balance Sheet and Cflow'!Y362*1000/'Balance Sheet and Cflow'!Y314</f>
        <v>254.89646697331077</v>
      </c>
      <c r="AH15" s="10">
        <f>'Balance Sheet and Cflow'!Z362*1000/'Balance Sheet and Cflow'!Z314</f>
        <v>325.63961574744917</v>
      </c>
      <c r="AI15" s="10">
        <f>'Balance Sheet and Cflow'!AA362*1000/'Balance Sheet and Cflow'!AA314</f>
        <v>391.77173910486391</v>
      </c>
      <c r="AJ15" s="8"/>
      <c r="AK15" s="8"/>
      <c r="AL15" s="8"/>
      <c r="AM15" s="8"/>
      <c r="AN15" s="8"/>
    </row>
    <row r="16" spans="2:40">
      <c r="C16" s="11"/>
      <c r="D16" s="12"/>
      <c r="E16" s="12"/>
      <c r="F16" s="12"/>
      <c r="G16" s="12"/>
      <c r="H16" s="12"/>
      <c r="I16" s="12"/>
      <c r="J16" s="12"/>
      <c r="K16" s="12"/>
      <c r="L16" s="12"/>
      <c r="M16" s="12"/>
      <c r="N16" s="12"/>
      <c r="O16" s="12"/>
      <c r="P16" s="12"/>
      <c r="Q16" s="12"/>
      <c r="R16" s="12"/>
      <c r="S16" s="12"/>
      <c r="T16" s="12"/>
      <c r="U16" s="12"/>
      <c r="V16" s="12"/>
      <c r="W16" s="12"/>
      <c r="X16" s="11"/>
      <c r="Y16" s="11"/>
      <c r="Z16" s="11"/>
      <c r="AA16" s="11"/>
      <c r="AB16" s="11"/>
    </row>
    <row r="17" spans="2:40">
      <c r="B17" s="2" t="s">
        <v>290</v>
      </c>
      <c r="C17" s="30">
        <f>C$2</f>
        <v>1998</v>
      </c>
      <c r="D17" s="30">
        <f t="shared" ref="D17:AN17" si="2">D$2</f>
        <v>1999</v>
      </c>
      <c r="E17" s="30">
        <f t="shared" si="2"/>
        <v>2000</v>
      </c>
      <c r="F17" s="30">
        <f t="shared" si="2"/>
        <v>2001</v>
      </c>
      <c r="G17" s="30">
        <f t="shared" si="2"/>
        <v>2002</v>
      </c>
      <c r="H17" s="30">
        <f t="shared" si="2"/>
        <v>2003</v>
      </c>
      <c r="I17" s="30">
        <f t="shared" si="2"/>
        <v>2004</v>
      </c>
      <c r="J17" s="30">
        <f t="shared" si="2"/>
        <v>2005</v>
      </c>
      <c r="K17" s="30">
        <f t="shared" si="2"/>
        <v>2006</v>
      </c>
      <c r="L17" s="30">
        <f t="shared" si="2"/>
        <v>2007</v>
      </c>
      <c r="M17" s="30">
        <f t="shared" si="2"/>
        <v>2008</v>
      </c>
      <c r="N17" s="30">
        <f t="shared" si="2"/>
        <v>2009</v>
      </c>
      <c r="O17" s="30">
        <f t="shared" si="2"/>
        <v>2010</v>
      </c>
      <c r="P17" s="30">
        <f t="shared" si="2"/>
        <v>2011</v>
      </c>
      <c r="Q17" s="30">
        <f t="shared" si="2"/>
        <v>2012</v>
      </c>
      <c r="R17" s="30">
        <f t="shared" si="2"/>
        <v>2013</v>
      </c>
      <c r="S17" s="30">
        <f t="shared" si="2"/>
        <v>2014</v>
      </c>
      <c r="T17" s="30">
        <f t="shared" si="2"/>
        <v>2015</v>
      </c>
      <c r="U17" s="30">
        <f t="shared" si="2"/>
        <v>2016</v>
      </c>
      <c r="V17" s="30">
        <f t="shared" si="2"/>
        <v>2017</v>
      </c>
      <c r="W17" s="30">
        <f t="shared" si="2"/>
        <v>2018</v>
      </c>
      <c r="X17" s="30">
        <f t="shared" si="2"/>
        <v>2019</v>
      </c>
      <c r="Y17" s="30">
        <f t="shared" si="2"/>
        <v>2020</v>
      </c>
      <c r="Z17" s="30">
        <f t="shared" si="2"/>
        <v>2021</v>
      </c>
      <c r="AA17" s="30">
        <f t="shared" si="2"/>
        <v>2022</v>
      </c>
      <c r="AB17" s="30">
        <f t="shared" si="2"/>
        <v>2023</v>
      </c>
      <c r="AC17" s="30">
        <f t="shared" si="2"/>
        <v>2024</v>
      </c>
      <c r="AD17" s="30">
        <f t="shared" si="2"/>
        <v>2025</v>
      </c>
      <c r="AE17" s="30">
        <f t="shared" si="2"/>
        <v>2026</v>
      </c>
      <c r="AF17" s="30">
        <f t="shared" si="2"/>
        <v>2027</v>
      </c>
      <c r="AG17" s="30">
        <f t="shared" si="2"/>
        <v>2028</v>
      </c>
      <c r="AH17" s="30">
        <f t="shared" si="2"/>
        <v>2029</v>
      </c>
      <c r="AI17" s="30">
        <f t="shared" si="2"/>
        <v>2030</v>
      </c>
      <c r="AJ17" s="30">
        <f t="shared" si="2"/>
        <v>2031</v>
      </c>
      <c r="AK17" s="30">
        <f t="shared" si="2"/>
        <v>2032</v>
      </c>
      <c r="AL17" s="30">
        <f t="shared" si="2"/>
        <v>2033</v>
      </c>
      <c r="AM17" s="30">
        <f t="shared" si="2"/>
        <v>2034</v>
      </c>
      <c r="AN17" s="30">
        <f t="shared" si="2"/>
        <v>2035</v>
      </c>
    </row>
    <row r="18" spans="2:40">
      <c r="B18" s="5" t="s">
        <v>291</v>
      </c>
      <c r="C18" s="6"/>
      <c r="D18" s="7"/>
      <c r="E18" s="7"/>
      <c r="F18" s="7"/>
      <c r="G18" s="7"/>
      <c r="H18" s="7"/>
      <c r="I18" s="7"/>
      <c r="J18" s="7"/>
      <c r="K18" s="7"/>
      <c r="L18" s="7">
        <f>'Income Statement'!C5</f>
        <v>7990</v>
      </c>
      <c r="M18" s="7">
        <f>'Income Statement'!H5</f>
        <v>12061.33</v>
      </c>
      <c r="N18" s="7">
        <f>'Income Statement'!M5</f>
        <v>13707</v>
      </c>
      <c r="O18" s="7">
        <f>'Income Statement'!R5</f>
        <v>17460</v>
      </c>
      <c r="P18" s="7">
        <f>'Income Statement'!W5</f>
        <v>18262</v>
      </c>
      <c r="Q18" s="7">
        <f>'Income Statement'!AB5</f>
        <v>20969</v>
      </c>
      <c r="R18" s="7">
        <f>'Income Statement'!AG5</f>
        <v>21266</v>
      </c>
      <c r="S18" s="7">
        <f>'Income Statement'!AL5</f>
        <v>23460</v>
      </c>
      <c r="T18" s="7">
        <f>'Income Statement'!AQ5</f>
        <v>22895</v>
      </c>
      <c r="U18" s="7">
        <f>'Income Statement'!AV5</f>
        <v>21341</v>
      </c>
      <c r="V18" s="7">
        <f>'Income Statement'!BA5</f>
        <v>22901</v>
      </c>
      <c r="W18" s="7">
        <f>'Income Statement'!BF5</f>
        <v>22938.811999999998</v>
      </c>
      <c r="X18" s="7">
        <f>'Income Statement'!BK5</f>
        <v>25132.851999999999</v>
      </c>
      <c r="Y18" s="7">
        <f>'Income Statement'!BP5</f>
        <v>26009.095000000001</v>
      </c>
      <c r="Z18" s="7">
        <f>'Income Statement'!BU5</f>
        <v>26754.050000000003</v>
      </c>
      <c r="AA18" s="7">
        <f>'Income Statement'!BZ5</f>
        <v>29141.994000000002</v>
      </c>
      <c r="AB18" s="7">
        <f>'Income Statement'!CE5</f>
        <v>32322.651000000005</v>
      </c>
      <c r="AC18" s="7">
        <f>'Income Statement'!CJ5</f>
        <v>34391.597000000002</v>
      </c>
      <c r="AD18" s="7">
        <f>'Income Statement'!CO5</f>
        <v>42474.105831966364</v>
      </c>
      <c r="AE18" s="7">
        <f>'Income Statement'!CP5</f>
        <v>47281.52542977938</v>
      </c>
      <c r="AF18" s="7">
        <f>'Income Statement'!CQ5</f>
        <v>49342.820741226758</v>
      </c>
      <c r="AG18" s="7">
        <f>'Income Statement'!CR5</f>
        <v>51491.024704882409</v>
      </c>
      <c r="AH18" s="7">
        <f>'Income Statement'!CS5</f>
        <v>53729.794804044934</v>
      </c>
      <c r="AI18" s="7">
        <f>'Income Statement'!CT5</f>
        <v>56062.943842146051</v>
      </c>
      <c r="AJ18" s="8"/>
      <c r="AK18" s="8"/>
      <c r="AL18" s="8"/>
      <c r="AM18" s="8"/>
      <c r="AN18" s="8"/>
    </row>
    <row r="19" spans="2:40">
      <c r="B19" s="5" t="s">
        <v>292</v>
      </c>
      <c r="C19" s="6"/>
      <c r="D19" s="7"/>
      <c r="E19" s="7"/>
      <c r="F19" s="7"/>
      <c r="G19" s="7"/>
      <c r="H19" s="7"/>
      <c r="I19" s="7"/>
      <c r="J19" s="7"/>
      <c r="K19" s="7"/>
      <c r="L19" s="153">
        <f>'Income Statement'!C12</f>
        <v>3509</v>
      </c>
      <c r="M19" s="153">
        <f>'Income Statement'!H12</f>
        <v>5132</v>
      </c>
      <c r="N19" s="153">
        <f>'Income Statement'!M12</f>
        <v>6205</v>
      </c>
      <c r="O19" s="153">
        <f>'Income Statement'!R12</f>
        <v>9287</v>
      </c>
      <c r="P19" s="153">
        <f>'Income Statement'!W12</f>
        <v>9348</v>
      </c>
      <c r="Q19" s="153">
        <f>'Income Statement'!AB12</f>
        <v>9745</v>
      </c>
      <c r="R19" s="153">
        <f>'Income Statement'!AG12</f>
        <v>8659</v>
      </c>
      <c r="S19" s="153">
        <f>'Income Statement'!AL12</f>
        <v>8623</v>
      </c>
      <c r="T19" s="153">
        <f>'Income Statement'!AQ12</f>
        <v>8393</v>
      </c>
      <c r="U19" s="153">
        <f>'Income Statement'!AV12</f>
        <v>8057</v>
      </c>
      <c r="V19" s="153">
        <f>'Income Statement'!BA12</f>
        <v>8321</v>
      </c>
      <c r="W19" s="153">
        <f>'Income Statement'!BF12</f>
        <v>8513</v>
      </c>
      <c r="X19" s="153">
        <f>'Income Statement'!BK12</f>
        <v>9966</v>
      </c>
      <c r="Y19" s="153">
        <f>'Income Statement'!BP12</f>
        <v>13060</v>
      </c>
      <c r="Z19" s="153">
        <f>'Income Statement'!BU12</f>
        <v>13287</v>
      </c>
      <c r="AA19" s="153">
        <f>'Income Statement'!BZ12</f>
        <v>14235</v>
      </c>
      <c r="AB19" s="153">
        <f>'Income Statement'!CE12</f>
        <v>15885</v>
      </c>
      <c r="AC19" s="153">
        <f>'Income Statement'!CJ12</f>
        <v>17879</v>
      </c>
      <c r="AD19" s="153">
        <f>'Income Statement'!CO12</f>
        <v>18547.777952688124</v>
      </c>
      <c r="AE19" s="153">
        <f>'Income Statement'!CP12</f>
        <v>22026.102884302556</v>
      </c>
      <c r="AF19" s="153">
        <f>'Income Statement'!CQ12</f>
        <v>24266.810115801967</v>
      </c>
      <c r="AG19" s="153">
        <f>'Income Statement'!CR12</f>
        <v>26620.859772424206</v>
      </c>
      <c r="AH19" s="153">
        <f>'Income Statement'!CS12</f>
        <v>27939.493298103363</v>
      </c>
      <c r="AI19" s="153">
        <f>'Income Statement'!CT12</f>
        <v>29320.919629442382</v>
      </c>
      <c r="AJ19" s="8"/>
      <c r="AK19" s="8"/>
      <c r="AL19" s="8"/>
      <c r="AM19" s="8"/>
      <c r="AN19" s="8"/>
    </row>
    <row r="20" spans="2:40">
      <c r="B20" s="4" t="s">
        <v>293</v>
      </c>
      <c r="C20" s="6"/>
      <c r="D20" s="7"/>
      <c r="E20" s="7"/>
      <c r="F20" s="7"/>
      <c r="G20" s="7"/>
      <c r="H20" s="7"/>
      <c r="I20" s="7"/>
      <c r="J20" s="7"/>
      <c r="K20" s="7"/>
      <c r="L20" s="7">
        <f>'Balance Sheet and Cflow'!C130</f>
        <v>1749</v>
      </c>
      <c r="M20" s="7">
        <f>'Balance Sheet and Cflow'!D130</f>
        <v>3379</v>
      </c>
      <c r="N20" s="7">
        <f>'Balance Sheet and Cflow'!E130</f>
        <v>3741</v>
      </c>
      <c r="O20" s="7">
        <f>'Balance Sheet and Cflow'!F130</f>
        <v>4122</v>
      </c>
      <c r="P20" s="7">
        <f>'Balance Sheet and Cflow'!G130</f>
        <v>4683</v>
      </c>
      <c r="Q20" s="7">
        <f>'Balance Sheet and Cflow'!H130</f>
        <v>5066</v>
      </c>
      <c r="R20" s="7">
        <f>'Balance Sheet and Cflow'!I130</f>
        <v>5759</v>
      </c>
      <c r="S20" s="7">
        <f>'Balance Sheet and Cflow'!J130</f>
        <v>6958</v>
      </c>
      <c r="T20" s="7">
        <f>'Balance Sheet and Cflow'!K130</f>
        <v>7135</v>
      </c>
      <c r="U20" s="7">
        <f>'Balance Sheet and Cflow'!L130</f>
        <v>8046</v>
      </c>
      <c r="V20" s="7">
        <f>'Balance Sheet and Cflow'!M130</f>
        <v>6951</v>
      </c>
      <c r="W20" s="7">
        <f>'Balance Sheet and Cflow'!N130</f>
        <v>11621</v>
      </c>
      <c r="X20" s="7">
        <f>'Balance Sheet and Cflow'!O130</f>
        <v>6983</v>
      </c>
      <c r="Y20" s="7">
        <f>'Balance Sheet and Cflow'!P130</f>
        <v>12074.688</v>
      </c>
      <c r="Z20" s="7">
        <f>'Balance Sheet and Cflow'!Q130</f>
        <v>9956.2270000000008</v>
      </c>
      <c r="AA20" s="7">
        <f>'Balance Sheet and Cflow'!R130</f>
        <v>10564.296</v>
      </c>
      <c r="AB20" s="7">
        <f>'Balance Sheet and Cflow'!S130</f>
        <v>11347.758</v>
      </c>
      <c r="AC20" s="7">
        <f>'Balance Sheet and Cflow'!T130</f>
        <v>12139.18626</v>
      </c>
      <c r="AD20" s="7">
        <f>'Balance Sheet and Cflow'!V130</f>
        <v>11235.320870599999</v>
      </c>
      <c r="AE20" s="7">
        <f>'Balance Sheet and Cflow'!W130</f>
        <v>12974.248357061337</v>
      </c>
      <c r="AF20" s="7">
        <f>'Balance Sheet and Cflow'!X130</f>
        <v>12485.508932184464</v>
      </c>
      <c r="AG20" s="7">
        <f>'Balance Sheet and Cflow'!Y130</f>
        <v>12082.040782644366</v>
      </c>
      <c r="AH20" s="7">
        <f>'Balance Sheet and Cflow'!Z130</f>
        <v>11840.944919666748</v>
      </c>
      <c r="AI20" s="7">
        <f>'Balance Sheet and Cflow'!AA130</f>
        <v>11734.98419761146</v>
      </c>
      <c r="AJ20" s="8"/>
      <c r="AK20" s="8"/>
      <c r="AL20" s="8"/>
      <c r="AM20" s="8"/>
      <c r="AN20" s="8"/>
    </row>
    <row r="21" spans="2:40">
      <c r="B21" s="4" t="s">
        <v>294</v>
      </c>
      <c r="C21" s="6"/>
      <c r="D21" s="7"/>
      <c r="E21" s="7"/>
      <c r="F21" s="7"/>
      <c r="G21" s="7"/>
      <c r="H21" s="7"/>
      <c r="I21" s="7"/>
      <c r="J21" s="7"/>
      <c r="K21" s="7"/>
      <c r="L21" s="7">
        <f>'Balance Sheet and Cflow'!C150</f>
        <v>0</v>
      </c>
      <c r="M21" s="7">
        <f>'Balance Sheet and Cflow'!D150</f>
        <v>0</v>
      </c>
      <c r="N21" s="7">
        <f>'Balance Sheet and Cflow'!E150</f>
        <v>0</v>
      </c>
      <c r="O21" s="7">
        <f>'Balance Sheet and Cflow'!F150</f>
        <v>0</v>
      </c>
      <c r="P21" s="7">
        <f>'Balance Sheet and Cflow'!G150</f>
        <v>0</v>
      </c>
      <c r="Q21" s="7">
        <f>'Balance Sheet and Cflow'!H150</f>
        <v>0</v>
      </c>
      <c r="R21" s="7">
        <f>'Balance Sheet and Cflow'!I150</f>
        <v>0</v>
      </c>
      <c r="S21" s="7">
        <f>'Balance Sheet and Cflow'!J150</f>
        <v>0</v>
      </c>
      <c r="T21" s="7">
        <f>'Balance Sheet and Cflow'!K150</f>
        <v>0</v>
      </c>
      <c r="U21" s="7">
        <f>'Balance Sheet and Cflow'!L150</f>
        <v>0</v>
      </c>
      <c r="V21" s="7">
        <f>'Balance Sheet and Cflow'!M150</f>
        <v>381.7</v>
      </c>
      <c r="W21" s="7">
        <f>'Balance Sheet and Cflow'!N150</f>
        <v>381.69740000000002</v>
      </c>
      <c r="X21" s="7">
        <f>'Balance Sheet and Cflow'!O150</f>
        <v>381.69740000000002</v>
      </c>
      <c r="Y21" s="7">
        <f>'Balance Sheet and Cflow'!P150</f>
        <v>382.54245000000003</v>
      </c>
      <c r="Z21" s="7">
        <f>'Balance Sheet and Cflow'!Q150</f>
        <v>382.55065000000002</v>
      </c>
      <c r="AA21" s="7">
        <f>'Balance Sheet and Cflow'!R150</f>
        <v>397.6832</v>
      </c>
      <c r="AB21" s="7">
        <f>'Balance Sheet and Cflow'!S150</f>
        <v>357.42034999999998</v>
      </c>
      <c r="AC21" s="7">
        <f>'Balance Sheet and Cflow'!T150</f>
        <v>402.32585</v>
      </c>
      <c r="AD21" s="7">
        <f>'Balance Sheet and Cflow'!V150</f>
        <v>402.32585</v>
      </c>
      <c r="AE21" s="7">
        <f>'Balance Sheet and Cflow'!W150</f>
        <v>402.32585</v>
      </c>
      <c r="AF21" s="7">
        <f>'Balance Sheet and Cflow'!X150</f>
        <v>439.43857727272723</v>
      </c>
      <c r="AG21" s="7">
        <f>'Balance Sheet and Cflow'!Y150</f>
        <v>476.55130454545451</v>
      </c>
      <c r="AH21" s="7">
        <f>'Balance Sheet and Cflow'!Z150</f>
        <v>513.6640318181818</v>
      </c>
      <c r="AI21" s="7">
        <f>'Balance Sheet and Cflow'!AA150</f>
        <v>550.77675909090908</v>
      </c>
      <c r="AJ21" s="8"/>
      <c r="AK21" s="8"/>
      <c r="AL21" s="8"/>
      <c r="AM21" s="8"/>
      <c r="AN21" s="8"/>
    </row>
    <row r="22" spans="2:40">
      <c r="B22" s="5" t="s">
        <v>295</v>
      </c>
      <c r="C22" s="6"/>
      <c r="D22" s="7"/>
      <c r="E22" s="7"/>
      <c r="F22" s="7"/>
      <c r="G22" s="7"/>
      <c r="H22" s="7"/>
      <c r="I22" s="7"/>
      <c r="J22" s="7"/>
      <c r="K22" s="7"/>
      <c r="L22" s="7">
        <f>'Income Statement'!C27</f>
        <v>6868</v>
      </c>
      <c r="M22" s="7">
        <f>'Income Statement'!H27</f>
        <v>11382</v>
      </c>
      <c r="N22" s="7">
        <f>'Income Statement'!M27</f>
        <v>5282.7</v>
      </c>
      <c r="O22" s="7">
        <f>'Income Statement'!R27</f>
        <v>4848</v>
      </c>
      <c r="P22" s="7">
        <f>'Income Statement'!W27</f>
        <v>6522</v>
      </c>
      <c r="Q22" s="7">
        <f>'Income Statement'!AB27</f>
        <v>10176</v>
      </c>
      <c r="R22" s="7">
        <f>'Income Statement'!AG27</f>
        <v>7394</v>
      </c>
      <c r="S22" s="7">
        <f>'Income Statement'!AL27</f>
        <v>7095</v>
      </c>
      <c r="T22" s="7">
        <f>'Income Statement'!AQ27</f>
        <v>4146</v>
      </c>
      <c r="U22" s="7">
        <f>'Income Statement'!AV27</f>
        <v>5584</v>
      </c>
      <c r="V22" s="7">
        <f>'Income Statement'!BA27</f>
        <v>6697</v>
      </c>
      <c r="W22" s="7">
        <f>'Income Statement'!BF27</f>
        <v>6792</v>
      </c>
      <c r="X22" s="7">
        <f>'Income Statement'!BK27</f>
        <v>7996</v>
      </c>
      <c r="Y22" s="7">
        <f>'Income Statement'!BP27</f>
        <v>6155</v>
      </c>
      <c r="Z22" s="7">
        <f>'Income Statement'!BU27</f>
        <v>9921</v>
      </c>
      <c r="AA22" s="7">
        <f>'Income Statement'!BZ27</f>
        <v>9063</v>
      </c>
      <c r="AB22" s="7">
        <f>'Income Statement'!CE27</f>
        <v>7158</v>
      </c>
      <c r="AC22" s="7">
        <f>'Income Statement'!CJ27</f>
        <v>7382</v>
      </c>
      <c r="AD22" s="7">
        <f>'Income Statement'!CO27</f>
        <v>20387.570799343855</v>
      </c>
      <c r="AE22" s="7">
        <f>'Income Statement'!CP27</f>
        <v>10401.935594551464</v>
      </c>
      <c r="AF22" s="7">
        <f>'Income Statement'!CQ27</f>
        <v>10361.99235565762</v>
      </c>
      <c r="AG22" s="7">
        <f>'Income Statement'!CR27</f>
        <v>10813.115188025306</v>
      </c>
      <c r="AH22" s="7">
        <f>'Income Statement'!CS27</f>
        <v>11283.256908849437</v>
      </c>
      <c r="AI22" s="7">
        <f>'Income Statement'!CT27</f>
        <v>12053.5329260614</v>
      </c>
      <c r="AJ22" s="8"/>
      <c r="AK22" s="8"/>
      <c r="AL22" s="8"/>
      <c r="AM22" s="8"/>
      <c r="AN22" s="8"/>
    </row>
    <row r="23" spans="2:40">
      <c r="B23" s="5" t="s">
        <v>296</v>
      </c>
      <c r="C23" s="6"/>
      <c r="D23" s="7"/>
      <c r="E23" s="7"/>
      <c r="F23" s="7"/>
      <c r="G23" s="7"/>
      <c r="H23" s="7"/>
      <c r="I23" s="7"/>
      <c r="J23" s="7"/>
      <c r="K23" s="7"/>
      <c r="L23" s="7">
        <f>L19-L22</f>
        <v>-3359</v>
      </c>
      <c r="M23" s="7">
        <f>M19-M22</f>
        <v>-6250</v>
      </c>
      <c r="N23" s="7">
        <f t="shared" ref="N23:Y23" si="3">N19-N22</f>
        <v>922.30000000000018</v>
      </c>
      <c r="O23" s="7">
        <f t="shared" si="3"/>
        <v>4439</v>
      </c>
      <c r="P23" s="7">
        <f t="shared" si="3"/>
        <v>2826</v>
      </c>
      <c r="Q23" s="7">
        <f t="shared" si="3"/>
        <v>-431</v>
      </c>
      <c r="R23" s="7">
        <f t="shared" si="3"/>
        <v>1265</v>
      </c>
      <c r="S23" s="7">
        <f t="shared" si="3"/>
        <v>1528</v>
      </c>
      <c r="T23" s="7">
        <f t="shared" si="3"/>
        <v>4247</v>
      </c>
      <c r="U23" s="7">
        <f t="shared" si="3"/>
        <v>2473</v>
      </c>
      <c r="V23" s="7">
        <f t="shared" si="3"/>
        <v>1624</v>
      </c>
      <c r="W23" s="7">
        <f t="shared" si="3"/>
        <v>1721</v>
      </c>
      <c r="X23" s="7">
        <f t="shared" si="3"/>
        <v>1970</v>
      </c>
      <c r="Y23" s="7">
        <f t="shared" si="3"/>
        <v>6905</v>
      </c>
      <c r="Z23" s="7">
        <f t="shared" ref="Z23:AG23" si="4">Z19-Z22</f>
        <v>3366</v>
      </c>
      <c r="AA23" s="7">
        <f t="shared" si="4"/>
        <v>5172</v>
      </c>
      <c r="AB23" s="7">
        <f t="shared" si="4"/>
        <v>8727</v>
      </c>
      <c r="AC23" s="7">
        <f t="shared" si="4"/>
        <v>10497</v>
      </c>
      <c r="AD23" s="7">
        <f t="shared" si="4"/>
        <v>-1839.7928466557314</v>
      </c>
      <c r="AE23" s="7">
        <f t="shared" si="4"/>
        <v>11624.167289751093</v>
      </c>
      <c r="AF23" s="7">
        <f t="shared" si="4"/>
        <v>13904.817760144348</v>
      </c>
      <c r="AG23" s="7">
        <f t="shared" si="4"/>
        <v>15807.744584398901</v>
      </c>
      <c r="AH23" s="7">
        <f t="shared" ref="AH23:AI23" si="5">AH19-AH22</f>
        <v>16656.236389253929</v>
      </c>
      <c r="AI23" s="7">
        <f t="shared" si="5"/>
        <v>17267.38670338098</v>
      </c>
      <c r="AJ23" s="8"/>
      <c r="AK23" s="8"/>
      <c r="AL23" s="8"/>
      <c r="AM23" s="8"/>
      <c r="AN23" s="8"/>
    </row>
    <row r="24" spans="2:40">
      <c r="B24" s="5" t="s">
        <v>297</v>
      </c>
      <c r="C24" s="6"/>
      <c r="D24" s="7"/>
      <c r="E24" s="7"/>
      <c r="F24" s="7"/>
      <c r="G24" s="7"/>
      <c r="H24" s="7"/>
      <c r="I24" s="7"/>
      <c r="J24" s="7"/>
      <c r="K24" s="7"/>
      <c r="L24" s="7">
        <f>L23*(1-DCF!$B40)</f>
        <v>-2620.02</v>
      </c>
      <c r="M24" s="7">
        <f>M23*(1-DCF!$B40)</f>
        <v>-4875</v>
      </c>
      <c r="N24" s="7">
        <f>N23*(1-DCF!$B40)</f>
        <v>719.39400000000012</v>
      </c>
      <c r="O24" s="7">
        <f>O23*(1-DCF!$B40)</f>
        <v>3462.42</v>
      </c>
      <c r="P24" s="7">
        <f>P23*(1-DCF!$B40)</f>
        <v>2204.2800000000002</v>
      </c>
      <c r="Q24" s="7">
        <f>Q23*(1-DCF!$B40)</f>
        <v>-336.18</v>
      </c>
      <c r="R24" s="7">
        <f>R23*(1-DCF!$B40)</f>
        <v>986.7</v>
      </c>
      <c r="S24" s="7">
        <f>S23*(1-DCF!$B40)</f>
        <v>1191.8400000000001</v>
      </c>
      <c r="T24" s="7">
        <f>T23*(1-DCF!$B40)</f>
        <v>3312.6600000000003</v>
      </c>
      <c r="U24" s="7">
        <f>U23*(1-DCF!$B40)</f>
        <v>1928.94</v>
      </c>
      <c r="V24" s="7">
        <f>V23*(1-DCF!$B40)</f>
        <v>1266.72</v>
      </c>
      <c r="W24" s="7">
        <f>W23*(1-DCF!$B40)</f>
        <v>1342.38</v>
      </c>
      <c r="X24" s="7">
        <f>X23*(1-DCF!$B40)</f>
        <v>1536.6000000000001</v>
      </c>
      <c r="Y24" s="7">
        <f>Y23*(1-DCF!$B40)</f>
        <v>5385.9000000000005</v>
      </c>
      <c r="Z24" s="7">
        <f>Z23*(1-DCF!$B40)</f>
        <v>2625.48</v>
      </c>
      <c r="AA24" s="7">
        <f>AA23*(1-DCF!$B40)</f>
        <v>4034.1600000000003</v>
      </c>
      <c r="AB24" s="7">
        <f>AB23*(1-DCF!$B40)</f>
        <v>6807.06</v>
      </c>
      <c r="AC24" s="7">
        <f>AC23*(1-DCF!$B40)</f>
        <v>8187.66</v>
      </c>
      <c r="AD24" s="7">
        <f>AD23*(1-DCF!$B40)</f>
        <v>-1435.0384203914705</v>
      </c>
      <c r="AE24" s="7">
        <f>AE23*(1-DCF!$B40)</f>
        <v>9066.8504860058529</v>
      </c>
      <c r="AF24" s="7">
        <f>AF23*(1-DCF!$B40)</f>
        <v>10845.757852912591</v>
      </c>
      <c r="AG24" s="7">
        <f>AG23*(1-DCF!$B40)</f>
        <v>12330.040775831143</v>
      </c>
      <c r="AH24" s="7">
        <f>AH23*(1-DCF!$B40)</f>
        <v>12991.864383618065</v>
      </c>
      <c r="AI24" s="7">
        <f>AI23*(1-DCF!$B40)</f>
        <v>13468.561628637164</v>
      </c>
      <c r="AJ24" s="8"/>
      <c r="AK24" s="8"/>
      <c r="AL24" s="8"/>
      <c r="AM24" s="8"/>
      <c r="AN24" s="8"/>
    </row>
    <row r="25" spans="2:40">
      <c r="B25" s="5" t="s">
        <v>282</v>
      </c>
      <c r="C25" s="6"/>
      <c r="D25" s="7"/>
      <c r="E25" s="7"/>
      <c r="F25" s="7"/>
      <c r="G25" s="7"/>
      <c r="H25" s="7"/>
      <c r="I25" s="7"/>
      <c r="J25" s="7"/>
      <c r="K25" s="7"/>
      <c r="L25" s="7">
        <f>L7</f>
        <v>8857</v>
      </c>
      <c r="M25" s="7">
        <f>M7</f>
        <v>17770</v>
      </c>
      <c r="N25" s="7">
        <f t="shared" ref="N25:Y25" si="6">N7</f>
        <v>13015</v>
      </c>
      <c r="O25" s="7">
        <f t="shared" si="6"/>
        <v>9812</v>
      </c>
      <c r="P25" s="7">
        <f t="shared" si="6"/>
        <v>9728</v>
      </c>
      <c r="Q25" s="7">
        <f t="shared" si="6"/>
        <v>12727</v>
      </c>
      <c r="R25" s="7">
        <f t="shared" si="6"/>
        <v>16504</v>
      </c>
      <c r="S25" s="7">
        <f t="shared" si="6"/>
        <v>22678</v>
      </c>
      <c r="T25" s="7">
        <f t="shared" si="6"/>
        <v>23641</v>
      </c>
      <c r="U25" s="7">
        <f t="shared" si="6"/>
        <v>13271</v>
      </c>
      <c r="V25" s="7">
        <f t="shared" si="6"/>
        <v>12296</v>
      </c>
      <c r="W25" s="7">
        <f t="shared" si="6"/>
        <v>22023.743000000002</v>
      </c>
      <c r="X25" s="7">
        <f t="shared" si="6"/>
        <v>25325.743999999999</v>
      </c>
      <c r="Y25" s="7">
        <f t="shared" si="6"/>
        <v>30662.309999999998</v>
      </c>
      <c r="Z25" s="7">
        <f t="shared" ref="Z25:AG25" si="7">Z7</f>
        <v>32984.251000000004</v>
      </c>
      <c r="AA25" s="7">
        <f t="shared" si="7"/>
        <v>38775.660000000003</v>
      </c>
      <c r="AB25" s="7">
        <f t="shared" si="7"/>
        <v>44952.006999999998</v>
      </c>
      <c r="AC25" s="7">
        <f t="shared" si="7"/>
        <v>44701.377</v>
      </c>
      <c r="AD25" s="7">
        <f t="shared" si="7"/>
        <v>71285.34308628444</v>
      </c>
      <c r="AE25" s="7">
        <f t="shared" si="7"/>
        <v>68233.773515968918</v>
      </c>
      <c r="AF25" s="7">
        <f t="shared" si="7"/>
        <v>65503.751528435925</v>
      </c>
      <c r="AG25" s="7">
        <f t="shared" si="7"/>
        <v>62610.894403656341</v>
      </c>
      <c r="AH25" s="7">
        <f t="shared" ref="AH25:AI25" si="8">AH7</f>
        <v>59849.334246644241</v>
      </c>
      <c r="AI25" s="7">
        <f t="shared" si="8"/>
        <v>57400.204263660402</v>
      </c>
      <c r="AJ25" s="8"/>
      <c r="AK25" s="8"/>
      <c r="AL25" s="8"/>
      <c r="AM25" s="8"/>
      <c r="AN25" s="8"/>
    </row>
    <row r="26" spans="2:40">
      <c r="B26" s="5" t="s">
        <v>298</v>
      </c>
      <c r="C26" s="6"/>
      <c r="D26" s="7"/>
      <c r="E26" s="7"/>
      <c r="F26" s="7"/>
      <c r="G26" s="7"/>
      <c r="H26" s="7"/>
      <c r="I26" s="7"/>
      <c r="J26" s="7"/>
      <c r="K26" s="7"/>
      <c r="L26" s="7">
        <v>0</v>
      </c>
      <c r="M26" s="7">
        <v>0</v>
      </c>
      <c r="N26" s="7">
        <v>0</v>
      </c>
      <c r="O26" s="7">
        <v>0</v>
      </c>
      <c r="P26" s="7">
        <v>0</v>
      </c>
      <c r="Q26" s="7">
        <v>0</v>
      </c>
      <c r="R26" s="7">
        <v>0</v>
      </c>
      <c r="S26" s="7">
        <v>0</v>
      </c>
      <c r="T26" s="7">
        <v>0</v>
      </c>
      <c r="U26" s="7">
        <v>0</v>
      </c>
      <c r="V26" s="7">
        <v>0</v>
      </c>
      <c r="W26" s="7">
        <v>0</v>
      </c>
      <c r="X26" s="7">
        <v>0</v>
      </c>
      <c r="Y26" s="7">
        <v>0</v>
      </c>
      <c r="Z26" s="7">
        <v>0</v>
      </c>
      <c r="AA26" s="7">
        <v>0</v>
      </c>
      <c r="AB26" s="7">
        <v>0</v>
      </c>
      <c r="AC26" s="7">
        <v>0</v>
      </c>
      <c r="AD26" s="7">
        <v>0</v>
      </c>
      <c r="AE26" s="7">
        <v>0</v>
      </c>
      <c r="AF26" s="7">
        <v>0</v>
      </c>
      <c r="AG26" s="7">
        <v>0</v>
      </c>
      <c r="AH26" s="7">
        <v>0</v>
      </c>
      <c r="AI26" s="7">
        <v>0</v>
      </c>
      <c r="AJ26" s="8"/>
      <c r="AK26" s="8"/>
      <c r="AL26" s="8"/>
      <c r="AM26" s="8"/>
      <c r="AN26" s="8"/>
    </row>
    <row r="27" spans="2:40">
      <c r="B27" s="5" t="s">
        <v>299</v>
      </c>
      <c r="C27" s="6"/>
      <c r="D27" s="7"/>
      <c r="E27" s="7"/>
      <c r="F27" s="7"/>
      <c r="G27" s="7"/>
      <c r="H27" s="7"/>
      <c r="I27" s="7"/>
      <c r="J27" s="7"/>
      <c r="K27" s="7"/>
      <c r="L27" s="7">
        <f>'Balance Sheet and Cflow'!C40</f>
        <v>4464</v>
      </c>
      <c r="M27" s="7">
        <f>'Balance Sheet and Cflow'!D40</f>
        <v>4309</v>
      </c>
      <c r="N27" s="7">
        <f>'Balance Sheet and Cflow'!E40</f>
        <v>8802</v>
      </c>
      <c r="O27" s="7">
        <f>'Balance Sheet and Cflow'!F40</f>
        <v>11715</v>
      </c>
      <c r="P27" s="7">
        <f>'Balance Sheet and Cflow'!G40</f>
        <v>13693</v>
      </c>
      <c r="Q27" s="7">
        <f>'Balance Sheet and Cflow'!H40</f>
        <v>15370</v>
      </c>
      <c r="R27" s="7">
        <f>'Balance Sheet and Cflow'!I40</f>
        <v>20980</v>
      </c>
      <c r="S27" s="7">
        <f>'Balance Sheet and Cflow'!J40</f>
        <v>13960</v>
      </c>
      <c r="T27" s="7">
        <f>'Balance Sheet and Cflow'!K40</f>
        <v>14092.1</v>
      </c>
      <c r="U27" s="7">
        <f>'Balance Sheet and Cflow'!L40</f>
        <v>21206.799999999999</v>
      </c>
      <c r="V27" s="7">
        <f>'Balance Sheet and Cflow'!M40</f>
        <v>21630.799999999999</v>
      </c>
      <c r="W27" s="7">
        <f>'Balance Sheet and Cflow'!N40</f>
        <v>18343.097999999998</v>
      </c>
      <c r="X27" s="7">
        <f>'Balance Sheet and Cflow'!O40</f>
        <v>19121.965999999997</v>
      </c>
      <c r="Y27" s="7">
        <f>'Balance Sheet and Cflow'!P40</f>
        <v>19137.365999999998</v>
      </c>
      <c r="Z27" s="7">
        <f>'Balance Sheet and Cflow'!Q40</f>
        <v>20088.745000000003</v>
      </c>
      <c r="AA27" s="7">
        <f>'Balance Sheet and Cflow'!R40</f>
        <v>25774.225999999999</v>
      </c>
      <c r="AB27" s="7">
        <f>'Balance Sheet and Cflow'!S40</f>
        <v>26504.775999999998</v>
      </c>
      <c r="AC27" s="7">
        <f>'Balance Sheet and Cflow'!T40</f>
        <v>26222.371999999999</v>
      </c>
      <c r="AD27" s="7">
        <f>'Balance Sheet and Cflow'!V40</f>
        <v>23938.138673721245</v>
      </c>
      <c r="AE27" s="7">
        <f>'Balance Sheet and Cflow'!W40</f>
        <v>24674.459362418023</v>
      </c>
      <c r="AF27" s="7">
        <f>'Balance Sheet and Cflow'!X40</f>
        <v>25775.724627586042</v>
      </c>
      <c r="AG27" s="7">
        <f>'Balance Sheet and Cflow'!Y40</f>
        <v>27955.726661375284</v>
      </c>
      <c r="AH27" s="7">
        <f>'Balance Sheet and Cflow'!Z40</f>
        <v>30740.759475055344</v>
      </c>
      <c r="AI27" s="7">
        <f>'Balance Sheet and Cflow'!AA40</f>
        <v>34091.387273749693</v>
      </c>
      <c r="AJ27" s="8"/>
      <c r="AK27" s="8"/>
      <c r="AL27" s="8"/>
      <c r="AM27" s="8"/>
      <c r="AN27" s="8"/>
    </row>
    <row r="28" spans="2:40">
      <c r="B28" s="5" t="s">
        <v>300</v>
      </c>
      <c r="C28" s="6"/>
      <c r="D28" s="7"/>
      <c r="E28" s="7"/>
      <c r="F28" s="7"/>
      <c r="G28" s="7"/>
      <c r="H28" s="7"/>
      <c r="I28" s="7"/>
      <c r="J28" s="7"/>
      <c r="K28" s="7"/>
      <c r="L28" s="7">
        <f>'Balance Sheet and Cflow'!C193</f>
        <v>-643</v>
      </c>
      <c r="M28" s="7">
        <f>'Balance Sheet and Cflow'!D193</f>
        <v>-1094</v>
      </c>
      <c r="N28" s="7">
        <f>'Balance Sheet and Cflow'!E193</f>
        <v>-1218.3</v>
      </c>
      <c r="O28" s="7">
        <f>'Balance Sheet and Cflow'!F193</f>
        <v>-780</v>
      </c>
      <c r="P28" s="7">
        <f>'Balance Sheet and Cflow'!G193</f>
        <v>-580</v>
      </c>
      <c r="Q28" s="7">
        <f>'Balance Sheet and Cflow'!H193</f>
        <v>-601</v>
      </c>
      <c r="R28" s="7">
        <f>'Balance Sheet and Cflow'!I193</f>
        <v>-293</v>
      </c>
      <c r="S28" s="7">
        <f>'Balance Sheet and Cflow'!J193</f>
        <v>-1346</v>
      </c>
      <c r="T28" s="7">
        <f>'Balance Sheet and Cflow'!K193</f>
        <v>-1466</v>
      </c>
      <c r="U28" s="7">
        <f>'Balance Sheet and Cflow'!L193</f>
        <v>-1080</v>
      </c>
      <c r="V28" s="7">
        <f>'Balance Sheet and Cflow'!M193</f>
        <v>-1295</v>
      </c>
      <c r="W28" s="7">
        <f>'Balance Sheet and Cflow'!N193</f>
        <v>-1258.701</v>
      </c>
      <c r="X28" s="7">
        <f>'Balance Sheet and Cflow'!O193</f>
        <v>-2131.413</v>
      </c>
      <c r="Y28" s="7">
        <f>'Balance Sheet and Cflow'!P193</f>
        <v>-2485.2670000000003</v>
      </c>
      <c r="Z28" s="7">
        <f>'Balance Sheet and Cflow'!Q193</f>
        <v>-2290.471</v>
      </c>
      <c r="AA28" s="7">
        <f>'Balance Sheet and Cflow'!R193</f>
        <v>-2664.9569999999999</v>
      </c>
      <c r="AB28" s="7">
        <f>'Balance Sheet and Cflow'!S193</f>
        <v>-2839.8829999999998</v>
      </c>
      <c r="AC28" s="7">
        <f>'Balance Sheet and Cflow'!T193</f>
        <v>-3032.5460000000003</v>
      </c>
      <c r="AD28" s="7">
        <f>'Balance Sheet and Cflow'!V193</f>
        <v>-3085.2438688735665</v>
      </c>
      <c r="AE28" s="7">
        <f>'Balance Sheet and Cflow'!W193</f>
        <v>-4102.6764453690657</v>
      </c>
      <c r="AF28" s="7">
        <f>'Balance Sheet and Cflow'!X193</f>
        <v>-4815.4847906609348</v>
      </c>
      <c r="AG28" s="7">
        <f>'Balance Sheet and Cflow'!Y193</f>
        <v>-4633.3604535720533</v>
      </c>
      <c r="AH28" s="7">
        <f>'Balance Sheet and Cflow'!Z193</f>
        <v>-4454.8104787029542</v>
      </c>
      <c r="AI28" s="7">
        <f>'Balance Sheet and Cflow'!AA193</f>
        <v>-4276.9060807905635</v>
      </c>
      <c r="AJ28" s="8"/>
      <c r="AK28" s="8"/>
      <c r="AL28" s="8"/>
      <c r="AM28" s="8"/>
      <c r="AN28" s="8"/>
    </row>
    <row r="29" spans="2:40">
      <c r="B29" s="5" t="s">
        <v>301</v>
      </c>
      <c r="C29" s="6"/>
      <c r="D29" s="7"/>
      <c r="E29" s="7"/>
      <c r="F29" s="7"/>
      <c r="G29" s="7"/>
      <c r="H29" s="7"/>
      <c r="I29" s="7"/>
      <c r="J29" s="7"/>
      <c r="K29" s="7"/>
      <c r="L29" s="7">
        <f>'Income Statement'!C271</f>
        <v>252</v>
      </c>
      <c r="M29" s="7">
        <f>'Income Statement'!H271</f>
        <v>-14</v>
      </c>
      <c r="N29" s="7">
        <f>'Income Statement'!M271</f>
        <v>1709.5000000000002</v>
      </c>
      <c r="O29" s="7">
        <f>'Income Statement'!R271</f>
        <v>2892</v>
      </c>
      <c r="P29" s="7">
        <f>'Income Statement'!W271</f>
        <v>2830</v>
      </c>
      <c r="Q29" s="7">
        <f>'Income Statement'!AB271</f>
        <v>2717</v>
      </c>
      <c r="R29" s="7">
        <f>'Income Statement'!AG271</f>
        <v>1032</v>
      </c>
      <c r="S29" s="7">
        <f>'Income Statement'!AL271</f>
        <v>-891</v>
      </c>
      <c r="T29" s="7">
        <f>'Income Statement'!AQ271</f>
        <v>-25</v>
      </c>
      <c r="U29" s="7">
        <f>'Income Statement'!AV271</f>
        <v>374</v>
      </c>
      <c r="V29" s="7">
        <f>'Income Statement'!BA271</f>
        <v>361</v>
      </c>
      <c r="W29" s="7">
        <f>'Income Statement'!BF271</f>
        <v>-3294</v>
      </c>
      <c r="X29" s="7">
        <f>'Income Statement'!BK271</f>
        <v>711</v>
      </c>
      <c r="Y29" s="7">
        <f>'Income Statement'!BP271</f>
        <v>-1654.7730000000001</v>
      </c>
      <c r="Z29" s="7">
        <f>'Income Statement'!BU271</f>
        <v>1287.8070000000002</v>
      </c>
      <c r="AA29" s="7">
        <f>'Income Statement'!BZ271</f>
        <v>1121.1880000000001</v>
      </c>
      <c r="AB29" s="7">
        <f>'Income Statement'!CE271</f>
        <v>1284.4479999999999</v>
      </c>
      <c r="AC29" s="7">
        <f>'Income Statement'!CJ271</f>
        <v>1847.6309999999999</v>
      </c>
      <c r="AD29" s="7">
        <f>'Income Statement'!CO271</f>
        <v>-2284.2333262787533</v>
      </c>
      <c r="AE29" s="7">
        <f>'Income Statement'!CP271</f>
        <v>736.32068869677698</v>
      </c>
      <c r="AF29" s="7">
        <f>'Income Statement'!CQ271</f>
        <v>2202.5305303360401</v>
      </c>
      <c r="AG29" s="7">
        <f>'Income Statement'!CR271</f>
        <v>4360.0040675784803</v>
      </c>
      <c r="AH29" s="7">
        <f>'Income Statement'!CS271</f>
        <v>5570.065627360118</v>
      </c>
      <c r="AI29" s="7">
        <f>'Income Statement'!CT271</f>
        <v>6701.2555973886965</v>
      </c>
      <c r="AJ29" s="8"/>
      <c r="AK29" s="8"/>
      <c r="AL29" s="8"/>
      <c r="AM29" s="8"/>
      <c r="AN29" s="8"/>
    </row>
    <row r="30" spans="2:40">
      <c r="B30" s="5" t="s">
        <v>228</v>
      </c>
      <c r="C30" s="6"/>
      <c r="D30" s="7"/>
      <c r="E30" s="7"/>
      <c r="F30" s="7"/>
      <c r="G30" s="7"/>
      <c r="H30" s="7"/>
      <c r="I30" s="7"/>
      <c r="J30" s="7"/>
      <c r="K30" s="7"/>
      <c r="L30" s="7">
        <f>'Balance Sheet and Cflow'!C362</f>
        <v>629.58000000000004</v>
      </c>
      <c r="M30" s="7">
        <f>'Balance Sheet and Cflow'!D362</f>
        <v>271.32</v>
      </c>
      <c r="N30" s="7">
        <f>'Balance Sheet and Cflow'!E362</f>
        <v>964.90000000000009</v>
      </c>
      <c r="O30" s="7">
        <f>'Balance Sheet and Cflow'!F362</f>
        <v>3059</v>
      </c>
      <c r="P30" s="7">
        <f>'Balance Sheet and Cflow'!G362</f>
        <v>2915</v>
      </c>
      <c r="Q30" s="7">
        <f>'Balance Sheet and Cflow'!H362</f>
        <v>3016</v>
      </c>
      <c r="R30" s="7">
        <f>'Balance Sheet and Cflow'!I362</f>
        <v>2045</v>
      </c>
      <c r="S30" s="7">
        <f>'Balance Sheet and Cflow'!J362</f>
        <v>454</v>
      </c>
      <c r="T30" s="7">
        <f>'Balance Sheet and Cflow'!K362</f>
        <v>2110</v>
      </c>
      <c r="U30" s="7">
        <f>'Balance Sheet and Cflow'!L362</f>
        <v>-34</v>
      </c>
      <c r="V30" s="7">
        <f>'Balance Sheet and Cflow'!M362</f>
        <v>291</v>
      </c>
      <c r="W30" s="7">
        <f>'Balance Sheet and Cflow'!N362</f>
        <v>-3193.6099999999997</v>
      </c>
      <c r="X30" s="7">
        <f>'Balance Sheet and Cflow'!O362</f>
        <v>1591.538</v>
      </c>
      <c r="Y30" s="7">
        <f>'Balance Sheet and Cflow'!P362</f>
        <v>-2113.8320000000003</v>
      </c>
      <c r="Z30" s="7">
        <f>'Balance Sheet and Cflow'!Q362</f>
        <v>1278.3010000000002</v>
      </c>
      <c r="AA30" s="7">
        <f>'Balance Sheet and Cflow'!R362</f>
        <v>1182.4709999999998</v>
      </c>
      <c r="AB30" s="7">
        <f>'Balance Sheet and Cflow'!S362</f>
        <v>1280.5830000000001</v>
      </c>
      <c r="AC30" s="7">
        <f>'Balance Sheet and Cflow'!T362</f>
        <v>1852.165</v>
      </c>
      <c r="AD30" s="7">
        <f>'Balance Sheet and Cflow'!V362</f>
        <v>1215.7666737212467</v>
      </c>
      <c r="AE30" s="7">
        <f>'Balance Sheet and Cflow'!W362</f>
        <v>1736.3206886967769</v>
      </c>
      <c r="AF30" s="7">
        <f>'Balance Sheet and Cflow'!X362</f>
        <v>2952.5305303360401</v>
      </c>
      <c r="AG30" s="7">
        <f>'Balance Sheet and Cflow'!Y362</f>
        <v>4360.0040675784803</v>
      </c>
      <c r="AH30" s="7">
        <f>'Balance Sheet and Cflow'!Z362</f>
        <v>5570.065627360118</v>
      </c>
      <c r="AI30" s="7">
        <f>'Balance Sheet and Cflow'!AA362</f>
        <v>6701.2555973886965</v>
      </c>
      <c r="AJ30" s="8"/>
      <c r="AK30" s="8"/>
      <c r="AL30" s="8"/>
      <c r="AM30" s="8"/>
      <c r="AN30" s="8"/>
    </row>
    <row r="31" spans="2:40">
      <c r="B31" s="5" t="s">
        <v>302</v>
      </c>
      <c r="C31" s="6"/>
      <c r="D31" s="7"/>
      <c r="E31" s="7"/>
      <c r="F31" s="7"/>
      <c r="G31" s="7"/>
      <c r="H31" s="7"/>
      <c r="I31" s="7"/>
      <c r="J31" s="7"/>
      <c r="K31" s="7"/>
      <c r="L31" s="7">
        <f>'Balance Sheet and Cflow'!C390</f>
        <v>-4002</v>
      </c>
      <c r="M31" s="7">
        <f>'Balance Sheet and Cflow'!D390</f>
        <v>-7344</v>
      </c>
      <c r="N31" s="7">
        <f>'Balance Sheet and Cflow'!E390</f>
        <v>-295.99999999999977</v>
      </c>
      <c r="O31" s="7">
        <f>'Balance Sheet and Cflow'!F390</f>
        <v>2623</v>
      </c>
      <c r="P31" s="7">
        <f>'Balance Sheet and Cflow'!G390</f>
        <v>2077</v>
      </c>
      <c r="Q31" s="7">
        <f>'Balance Sheet and Cflow'!H390</f>
        <v>-2729</v>
      </c>
      <c r="R31" s="7">
        <f>'Balance Sheet and Cflow'!I390</f>
        <v>-456</v>
      </c>
      <c r="S31" s="7">
        <f>'Balance Sheet and Cflow'!J390</f>
        <v>11491</v>
      </c>
      <c r="T31" s="7">
        <f>'Balance Sheet and Cflow'!K390</f>
        <v>-7012</v>
      </c>
      <c r="U31" s="7">
        <f>'Balance Sheet and Cflow'!L390</f>
        <v>1425</v>
      </c>
      <c r="V31" s="7">
        <f>'Balance Sheet and Cflow'!M390</f>
        <v>2636</v>
      </c>
      <c r="W31" s="7">
        <f>'Balance Sheet and Cflow'!N390</f>
        <v>2936.4439999999995</v>
      </c>
      <c r="X31" s="7">
        <f>'Balance Sheet and Cflow'!O390</f>
        <v>-2919.9019999999996</v>
      </c>
      <c r="Y31" s="7">
        <f>'Balance Sheet and Cflow'!P390</f>
        <v>4113.9030000000002</v>
      </c>
      <c r="Z31" s="7">
        <f>'Balance Sheet and Cflow'!Q390</f>
        <v>-130.00200000000177</v>
      </c>
      <c r="AA31" s="7">
        <f>'Balance Sheet and Cflow'!R390</f>
        <v>-1563.7849999999994</v>
      </c>
      <c r="AB31" s="7">
        <f>'Balance Sheet and Cflow'!S390</f>
        <v>-1565.815999999998</v>
      </c>
      <c r="AC31" s="7">
        <f>'Balance Sheet and Cflow'!T390</f>
        <v>382.18099999999868</v>
      </c>
      <c r="AD31" s="7">
        <f>'Balance Sheet and Cflow'!V390</f>
        <v>-9591.9753277703021</v>
      </c>
      <c r="AE31" s="7">
        <f>'Balance Sheet and Cflow'!W390</f>
        <v>306.31330466965107</v>
      </c>
      <c r="AF31" s="7">
        <f>'Balance Sheet and Cflow'!X390</f>
        <v>966.34821841220207</v>
      </c>
      <c r="AG31" s="7">
        <f>'Balance Sheet and Cflow'!Y390</f>
        <v>2083.1912722071611</v>
      </c>
      <c r="AH31" s="7">
        <f>'Balance Sheet and Cflow'!Z390</f>
        <v>2426.9377883157958</v>
      </c>
      <c r="AI31" s="7">
        <f>'Balance Sheet and Cflow'!AA390</f>
        <v>2544.6354806479403</v>
      </c>
      <c r="AJ31" s="8"/>
      <c r="AK31" s="8"/>
      <c r="AL31" s="8"/>
      <c r="AM31" s="8"/>
      <c r="AN31" s="8"/>
    </row>
    <row r="32" spans="2:40">
      <c r="B32" s="4" t="s">
        <v>303</v>
      </c>
      <c r="C32" s="6"/>
      <c r="D32" s="7"/>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8"/>
      <c r="AK32" s="8"/>
      <c r="AL32" s="8"/>
      <c r="AM32" s="8"/>
      <c r="AN32" s="8"/>
    </row>
    <row r="33" spans="2:40">
      <c r="B33" s="5" t="s">
        <v>304</v>
      </c>
      <c r="C33" s="6"/>
      <c r="D33" s="7"/>
      <c r="E33" s="7"/>
      <c r="F33" s="7"/>
      <c r="G33" s="7"/>
      <c r="H33" s="7"/>
      <c r="I33" s="7"/>
      <c r="J33" s="7"/>
      <c r="K33" s="7"/>
      <c r="L33" s="7">
        <f>'Balance Sheet and Cflow'!C142</f>
        <v>15810</v>
      </c>
      <c r="M33" s="7">
        <f>'Balance Sheet and Cflow'!D142</f>
        <v>23180</v>
      </c>
      <c r="N33" s="7">
        <f>'Balance Sheet and Cflow'!E142</f>
        <v>23616</v>
      </c>
      <c r="O33" s="7">
        <f>'Balance Sheet and Cflow'!F142</f>
        <v>23197</v>
      </c>
      <c r="P33" s="7">
        <f>'Balance Sheet and Cflow'!G142</f>
        <v>25615</v>
      </c>
      <c r="Q33" s="7">
        <f>'Balance Sheet and Cflow'!H142</f>
        <v>29643</v>
      </c>
      <c r="R33" s="7">
        <f>'Balance Sheet and Cflow'!I142</f>
        <v>31278</v>
      </c>
      <c r="S33" s="7">
        <f>'Balance Sheet and Cflow'!J142</f>
        <v>35859</v>
      </c>
      <c r="T33" s="7">
        <f>'Balance Sheet and Cflow'!K142</f>
        <v>33426.699999999997</v>
      </c>
      <c r="U33" s="7">
        <f>'Balance Sheet and Cflow'!L142</f>
        <v>33182</v>
      </c>
      <c r="V33" s="7">
        <f>'Balance Sheet and Cflow'!M142</f>
        <v>34934</v>
      </c>
      <c r="W33" s="7">
        <f>'Balance Sheet and Cflow'!N142</f>
        <v>36759.529999999992</v>
      </c>
      <c r="X33" s="7">
        <f>'Balance Sheet and Cflow'!O142</f>
        <v>42081.680000000008</v>
      </c>
      <c r="Y33" s="7">
        <f>'Balance Sheet and Cflow'!P142</f>
        <v>47162</v>
      </c>
      <c r="Z33" s="7">
        <f>'Balance Sheet and Cflow'!Q142</f>
        <v>51912.214000000007</v>
      </c>
      <c r="AA33" s="7">
        <f>'Balance Sheet and Cflow'!R142</f>
        <v>60473.629000000001</v>
      </c>
      <c r="AB33" s="7">
        <f>'Balance Sheet and Cflow'!S142</f>
        <v>63890.453999999998</v>
      </c>
      <c r="AC33" s="7">
        <f>'Balance Sheet and Cflow'!T142</f>
        <v>59133.267739999996</v>
      </c>
      <c r="AD33" s="7">
        <f>'Balance Sheet and Cflow'!V142</f>
        <v>68285.51766874388</v>
      </c>
      <c r="AE33" s="7">
        <f>'Balance Sheet and Cflow'!W142</f>
        <v>65713.204906234023</v>
      </c>
      <c r="AF33" s="7">
        <f>'Balance Sheet and Cflow'!X142</f>
        <v>63589.688329707191</v>
      </c>
      <c r="AG33" s="7">
        <f>'Balance Sheet and Cflow'!Y142</f>
        <v>62320.762735088152</v>
      </c>
      <c r="AH33" s="7">
        <f>'Balance Sheet and Cflow'!Z142</f>
        <v>61763.074724270846</v>
      </c>
      <c r="AI33" s="7">
        <f>'Balance Sheet and Cflow'!AA142</f>
        <v>62081.623452720785</v>
      </c>
      <c r="AJ33" s="8"/>
      <c r="AK33" s="8"/>
      <c r="AL33" s="8"/>
      <c r="AM33" s="8"/>
      <c r="AN33" s="8"/>
    </row>
    <row r="34" spans="2:40">
      <c r="B34" s="4" t="s">
        <v>305</v>
      </c>
      <c r="C34" s="6"/>
      <c r="D34" s="6"/>
      <c r="E34" s="13"/>
      <c r="F34" s="13"/>
      <c r="G34" s="13"/>
      <c r="H34" s="13"/>
      <c r="I34" s="13"/>
      <c r="J34" s="13"/>
      <c r="K34" s="13"/>
      <c r="L34" s="13"/>
      <c r="M34" s="13"/>
      <c r="N34" s="13"/>
      <c r="O34" s="6"/>
      <c r="P34" s="6"/>
      <c r="Q34" s="6"/>
      <c r="R34" s="6"/>
      <c r="S34" s="6"/>
      <c r="T34" s="6"/>
      <c r="U34" s="6"/>
      <c r="V34" s="6"/>
      <c r="W34" s="6"/>
      <c r="X34" s="6"/>
      <c r="Y34" s="6"/>
      <c r="Z34" s="6"/>
      <c r="AA34" s="6"/>
      <c r="AB34" s="6"/>
      <c r="AC34" s="6"/>
      <c r="AD34" s="6"/>
      <c r="AE34" s="6"/>
      <c r="AF34" s="6"/>
      <c r="AG34" s="6"/>
      <c r="AH34" s="6"/>
      <c r="AI34" s="6"/>
      <c r="AJ34" s="8"/>
      <c r="AK34" s="8"/>
      <c r="AL34" s="8"/>
      <c r="AM34" s="8"/>
      <c r="AN34" s="8"/>
    </row>
    <row r="35" spans="2:40">
      <c r="B35" s="4" t="s">
        <v>306</v>
      </c>
      <c r="C35" s="6"/>
      <c r="D35" s="6"/>
      <c r="E35" s="13"/>
      <c r="F35" s="13"/>
      <c r="G35" s="13"/>
      <c r="H35" s="13"/>
      <c r="I35" s="13"/>
      <c r="J35" s="13"/>
      <c r="K35" s="13"/>
      <c r="L35" s="13"/>
      <c r="M35" s="13"/>
      <c r="N35" s="13"/>
      <c r="O35" s="6"/>
      <c r="P35" s="6"/>
      <c r="Q35" s="6"/>
      <c r="R35" s="6"/>
      <c r="S35" s="6"/>
      <c r="T35" s="6"/>
      <c r="U35" s="6"/>
      <c r="V35" s="6"/>
      <c r="W35" s="6"/>
      <c r="X35" s="6"/>
      <c r="Y35" s="6"/>
      <c r="Z35" s="6"/>
      <c r="AA35" s="6"/>
      <c r="AB35" s="6"/>
      <c r="AC35" s="6"/>
      <c r="AD35" s="6"/>
      <c r="AE35" s="6"/>
      <c r="AF35" s="6"/>
      <c r="AG35" s="6"/>
      <c r="AH35" s="6"/>
      <c r="AI35" s="6"/>
      <c r="AJ35" s="8"/>
      <c r="AK35" s="8"/>
      <c r="AL35" s="8"/>
      <c r="AM35" s="8"/>
      <c r="AN35" s="8"/>
    </row>
    <row r="36" spans="2:40">
      <c r="B36" s="4" t="s">
        <v>307</v>
      </c>
      <c r="C36" s="6"/>
      <c r="D36" s="6"/>
      <c r="E36" s="13"/>
      <c r="F36" s="13"/>
      <c r="G36" s="13"/>
      <c r="H36" s="13"/>
      <c r="I36" s="13"/>
      <c r="J36" s="13"/>
      <c r="K36" s="13"/>
      <c r="L36" s="13"/>
      <c r="M36" s="13"/>
      <c r="N36" s="13"/>
      <c r="O36" s="6"/>
      <c r="P36" s="6"/>
      <c r="Q36" s="6"/>
      <c r="R36" s="6"/>
      <c r="S36" s="6"/>
      <c r="T36" s="6"/>
      <c r="U36" s="6"/>
      <c r="V36" s="6"/>
      <c r="W36" s="6"/>
      <c r="X36" s="6"/>
      <c r="Y36" s="6"/>
      <c r="Z36" s="6"/>
      <c r="AA36" s="6"/>
      <c r="AB36" s="6"/>
      <c r="AC36" s="6"/>
      <c r="AD36" s="6"/>
      <c r="AE36" s="6"/>
      <c r="AF36" s="6"/>
      <c r="AG36" s="6"/>
      <c r="AH36" s="6"/>
      <c r="AI36" s="6"/>
      <c r="AJ36" s="8"/>
      <c r="AK36" s="8"/>
      <c r="AL36" s="8"/>
      <c r="AM36" s="8"/>
      <c r="AN36" s="8"/>
    </row>
    <row r="37" spans="2:40">
      <c r="B37" s="4" t="s">
        <v>308</v>
      </c>
      <c r="C37" s="6"/>
      <c r="D37" s="6"/>
      <c r="E37" s="13"/>
      <c r="F37" s="13"/>
      <c r="G37" s="13"/>
      <c r="H37" s="13"/>
      <c r="I37" s="13"/>
      <c r="J37" s="13"/>
      <c r="K37" s="13"/>
      <c r="L37" s="13"/>
      <c r="M37" s="13"/>
      <c r="N37" s="13"/>
      <c r="O37" s="6"/>
      <c r="P37" s="6"/>
      <c r="Q37" s="6"/>
      <c r="R37" s="6"/>
      <c r="S37" s="6"/>
      <c r="T37" s="6"/>
      <c r="U37" s="6"/>
      <c r="V37" s="6"/>
      <c r="W37" s="6"/>
      <c r="X37" s="6"/>
      <c r="Y37" s="6"/>
      <c r="Z37" s="6"/>
      <c r="AA37" s="6"/>
      <c r="AB37" s="6"/>
      <c r="AC37" s="6"/>
      <c r="AD37" s="6"/>
      <c r="AE37" s="6"/>
      <c r="AF37" s="6"/>
      <c r="AG37" s="6"/>
      <c r="AH37" s="6"/>
      <c r="AI37" s="6"/>
      <c r="AJ37" s="8"/>
      <c r="AK37" s="8"/>
      <c r="AL37" s="8"/>
      <c r="AM37" s="8"/>
      <c r="AN37" s="8"/>
    </row>
    <row r="38" spans="2:40">
      <c r="B38" s="4" t="s">
        <v>309</v>
      </c>
      <c r="C38" s="6"/>
      <c r="D38" s="6"/>
      <c r="E38" s="13"/>
      <c r="F38" s="13"/>
      <c r="G38" s="13"/>
      <c r="H38" s="13"/>
      <c r="I38" s="13"/>
      <c r="J38" s="13"/>
      <c r="K38" s="13"/>
      <c r="L38" s="13"/>
      <c r="M38" s="13"/>
      <c r="N38" s="13"/>
      <c r="O38" s="6"/>
      <c r="P38" s="6"/>
      <c r="Q38" s="6"/>
      <c r="R38" s="6"/>
      <c r="S38" s="6"/>
      <c r="T38" s="6"/>
      <c r="U38" s="6"/>
      <c r="V38" s="6"/>
      <c r="W38" s="6"/>
      <c r="X38" s="6"/>
      <c r="Y38" s="6"/>
      <c r="Z38" s="6"/>
      <c r="AA38" s="6"/>
      <c r="AB38" s="6"/>
      <c r="AC38" s="6"/>
      <c r="AD38" s="6"/>
      <c r="AE38" s="6"/>
      <c r="AF38" s="6"/>
      <c r="AG38" s="6"/>
      <c r="AH38" s="6"/>
      <c r="AI38" s="6"/>
      <c r="AJ38" s="8"/>
      <c r="AK38" s="8"/>
      <c r="AL38" s="8"/>
      <c r="AM38" s="8"/>
      <c r="AN38" s="8"/>
    </row>
    <row r="39" spans="2:40">
      <c r="B39" s="4" t="s">
        <v>310</v>
      </c>
      <c r="C39" s="6"/>
      <c r="D39" s="6"/>
      <c r="E39" s="13"/>
      <c r="F39" s="13"/>
      <c r="G39" s="13"/>
      <c r="H39" s="13"/>
      <c r="I39" s="13"/>
      <c r="J39" s="13"/>
      <c r="K39" s="13"/>
      <c r="L39" s="13"/>
      <c r="M39" s="13"/>
      <c r="N39" s="13"/>
      <c r="O39" s="6"/>
      <c r="P39" s="6"/>
      <c r="Q39" s="6"/>
      <c r="R39" s="6"/>
      <c r="S39" s="6"/>
      <c r="T39" s="6"/>
      <c r="U39" s="6"/>
      <c r="V39" s="6"/>
      <c r="W39" s="6"/>
      <c r="X39" s="6"/>
      <c r="Y39" s="6"/>
      <c r="Z39" s="6"/>
      <c r="AA39" s="6"/>
      <c r="AB39" s="6"/>
      <c r="AC39" s="6"/>
      <c r="AD39" s="6"/>
      <c r="AE39" s="6"/>
      <c r="AF39" s="6"/>
      <c r="AG39" s="6"/>
      <c r="AH39" s="6"/>
      <c r="AI39" s="6"/>
      <c r="AJ39" s="8"/>
      <c r="AK39" s="8"/>
      <c r="AL39" s="8"/>
      <c r="AM39" s="8"/>
      <c r="AN39" s="8"/>
    </row>
    <row r="40" spans="2:40">
      <c r="B40" s="4" t="s">
        <v>311</v>
      </c>
      <c r="C40" s="6"/>
      <c r="D40" s="6"/>
      <c r="E40" s="13"/>
      <c r="F40" s="13"/>
      <c r="G40" s="13"/>
      <c r="H40" s="13"/>
      <c r="I40" s="13"/>
      <c r="J40" s="13"/>
      <c r="K40" s="13"/>
      <c r="L40" s="13"/>
      <c r="M40" s="13"/>
      <c r="N40" s="13"/>
      <c r="O40" s="6"/>
      <c r="P40" s="6"/>
      <c r="Q40" s="6"/>
      <c r="R40" s="6"/>
      <c r="S40" s="6"/>
      <c r="T40" s="6"/>
      <c r="U40" s="6"/>
      <c r="V40" s="6"/>
      <c r="W40" s="6"/>
      <c r="X40" s="6"/>
      <c r="Y40" s="6"/>
      <c r="Z40" s="6"/>
      <c r="AA40" s="6"/>
      <c r="AB40" s="6"/>
      <c r="AC40" s="6"/>
      <c r="AD40" s="6"/>
      <c r="AE40" s="6"/>
      <c r="AF40" s="6"/>
      <c r="AG40" s="6"/>
      <c r="AH40" s="6"/>
      <c r="AI40" s="6"/>
      <c r="AJ40" s="8"/>
      <c r="AK40" s="8"/>
      <c r="AL40" s="8"/>
      <c r="AM40" s="8"/>
      <c r="AN40" s="8"/>
    </row>
    <row r="41" spans="2:40">
      <c r="B41" s="4" t="s">
        <v>312</v>
      </c>
      <c r="C41" s="6"/>
      <c r="D41" s="6"/>
      <c r="E41" s="13"/>
      <c r="F41" s="13"/>
      <c r="G41" s="13"/>
      <c r="H41" s="13"/>
      <c r="I41" s="13"/>
      <c r="J41" s="13"/>
      <c r="K41" s="13"/>
      <c r="L41" s="13"/>
      <c r="M41" s="13"/>
      <c r="N41" s="13"/>
      <c r="O41" s="6"/>
      <c r="P41" s="6"/>
      <c r="Q41" s="6"/>
      <c r="R41" s="6"/>
      <c r="S41" s="6"/>
      <c r="T41" s="6"/>
      <c r="U41" s="6"/>
      <c r="V41" s="6"/>
      <c r="W41" s="6"/>
      <c r="X41" s="6"/>
      <c r="Y41" s="6"/>
      <c r="Z41" s="6"/>
      <c r="AA41" s="6"/>
      <c r="AB41" s="6"/>
      <c r="AC41" s="6"/>
      <c r="AD41" s="6"/>
      <c r="AE41" s="6"/>
      <c r="AF41" s="6"/>
      <c r="AG41" s="6"/>
      <c r="AH41" s="6"/>
      <c r="AI41" s="6"/>
      <c r="AJ41" s="8"/>
      <c r="AK41" s="8"/>
      <c r="AL41" s="8"/>
      <c r="AM41" s="8"/>
      <c r="AN41" s="8"/>
    </row>
    <row r="42" spans="2:40">
      <c r="B42" s="4" t="s">
        <v>313</v>
      </c>
      <c r="C42" s="6"/>
      <c r="D42" s="6"/>
      <c r="E42" s="13"/>
      <c r="F42" s="13"/>
      <c r="G42" s="13"/>
      <c r="H42" s="13"/>
      <c r="I42" s="13"/>
      <c r="J42" s="13"/>
      <c r="K42" s="13"/>
      <c r="L42" s="13"/>
      <c r="M42" s="13"/>
      <c r="N42" s="13"/>
      <c r="O42" s="6"/>
      <c r="P42" s="6"/>
      <c r="Q42" s="6"/>
      <c r="R42" s="6"/>
      <c r="S42" s="6"/>
      <c r="T42" s="6"/>
      <c r="U42" s="6"/>
      <c r="V42" s="6"/>
      <c r="W42" s="6"/>
      <c r="X42" s="6"/>
      <c r="Y42" s="6"/>
      <c r="Z42" s="6"/>
      <c r="AA42" s="6"/>
      <c r="AB42" s="6"/>
      <c r="AC42" s="6"/>
      <c r="AD42" s="6"/>
      <c r="AE42" s="6"/>
      <c r="AF42" s="6"/>
      <c r="AG42" s="6"/>
      <c r="AH42" s="6"/>
      <c r="AI42" s="6"/>
      <c r="AJ42" s="8"/>
      <c r="AK42" s="8"/>
      <c r="AL42" s="8"/>
      <c r="AM42" s="8"/>
      <c r="AN42" s="8"/>
    </row>
    <row r="43" spans="2:40">
      <c r="B43" s="4" t="s">
        <v>314</v>
      </c>
      <c r="C43" s="6"/>
      <c r="D43" s="6"/>
      <c r="E43" s="13"/>
      <c r="F43" s="13"/>
      <c r="G43" s="13"/>
      <c r="H43" s="13"/>
      <c r="I43" s="13"/>
      <c r="J43" s="13"/>
      <c r="K43" s="13"/>
      <c r="L43" s="13"/>
      <c r="M43" s="13"/>
      <c r="N43" s="13"/>
      <c r="O43" s="6"/>
      <c r="P43" s="6"/>
      <c r="Q43" s="6"/>
      <c r="R43" s="6"/>
      <c r="S43" s="6"/>
      <c r="T43" s="6"/>
      <c r="U43" s="6"/>
      <c r="V43" s="6"/>
      <c r="W43" s="6"/>
      <c r="X43" s="6"/>
      <c r="Y43" s="6"/>
      <c r="Z43" s="6"/>
      <c r="AA43" s="6"/>
      <c r="AB43" s="6"/>
      <c r="AC43" s="6"/>
      <c r="AD43" s="6"/>
      <c r="AE43" s="6"/>
      <c r="AF43" s="6"/>
      <c r="AG43" s="6"/>
      <c r="AH43" s="6"/>
      <c r="AI43" s="6"/>
      <c r="AJ43" s="8"/>
      <c r="AK43" s="8"/>
      <c r="AL43" s="8"/>
      <c r="AM43" s="8"/>
      <c r="AN43" s="8"/>
    </row>
    <row r="44" spans="2:40">
      <c r="B44" s="4" t="s">
        <v>315</v>
      </c>
      <c r="C44" s="6"/>
      <c r="D44" s="6"/>
      <c r="E44" s="13"/>
      <c r="F44" s="13"/>
      <c r="G44" s="13"/>
      <c r="H44" s="13"/>
      <c r="I44" s="13"/>
      <c r="J44" s="13"/>
      <c r="K44" s="13"/>
      <c r="L44" s="13"/>
      <c r="M44" s="13"/>
      <c r="N44" s="13"/>
      <c r="O44" s="6"/>
      <c r="P44" s="6"/>
      <c r="Q44" s="6"/>
      <c r="R44" s="6"/>
      <c r="S44" s="6"/>
      <c r="T44" s="6"/>
      <c r="U44" s="6"/>
      <c r="V44" s="6"/>
      <c r="W44" s="6"/>
      <c r="X44" s="6"/>
      <c r="Y44" s="6"/>
      <c r="Z44" s="6"/>
      <c r="AA44" s="6"/>
      <c r="AB44" s="6"/>
      <c r="AC44" s="6"/>
      <c r="AD44" s="6"/>
      <c r="AE44" s="6"/>
      <c r="AF44" s="6"/>
      <c r="AG44" s="6"/>
      <c r="AH44" s="6"/>
      <c r="AI44" s="6"/>
      <c r="AJ44" s="8"/>
      <c r="AK44" s="8"/>
      <c r="AL44" s="8"/>
      <c r="AM44" s="8"/>
      <c r="AN44" s="8"/>
    </row>
    <row r="45" spans="2:40">
      <c r="B45" s="4" t="s">
        <v>316</v>
      </c>
      <c r="C45" s="6"/>
      <c r="D45" s="6"/>
      <c r="E45" s="13"/>
      <c r="F45" s="13"/>
      <c r="G45" s="13"/>
      <c r="H45" s="13"/>
      <c r="I45" s="13"/>
      <c r="J45" s="13"/>
      <c r="K45" s="13"/>
      <c r="L45" s="13"/>
      <c r="M45" s="13"/>
      <c r="N45" s="13"/>
      <c r="O45" s="6"/>
      <c r="P45" s="6"/>
      <c r="Q45" s="6"/>
      <c r="R45" s="6"/>
      <c r="S45" s="6"/>
      <c r="T45" s="6"/>
      <c r="U45" s="6"/>
      <c r="V45" s="6"/>
      <c r="W45" s="6"/>
      <c r="X45" s="6"/>
      <c r="Y45" s="6"/>
      <c r="Z45" s="6"/>
      <c r="AA45" s="6"/>
      <c r="AB45" s="6"/>
      <c r="AC45" s="6"/>
      <c r="AD45" s="6"/>
      <c r="AE45" s="6"/>
      <c r="AF45" s="6"/>
      <c r="AG45" s="6"/>
      <c r="AH45" s="6"/>
      <c r="AI45" s="6"/>
      <c r="AJ45" s="8"/>
      <c r="AK45" s="8"/>
      <c r="AL45" s="8"/>
      <c r="AM45" s="8"/>
      <c r="AN45" s="8"/>
    </row>
    <row r="46" spans="2:40">
      <c r="B46" s="4" t="s">
        <v>317</v>
      </c>
      <c r="C46" s="6"/>
      <c r="D46" s="6"/>
      <c r="E46" s="13"/>
      <c r="F46" s="13"/>
      <c r="G46" s="13"/>
      <c r="H46" s="13"/>
      <c r="I46" s="13"/>
      <c r="J46" s="13"/>
      <c r="K46" s="13"/>
      <c r="L46" s="13"/>
      <c r="M46" s="13"/>
      <c r="N46" s="13"/>
      <c r="O46" s="6"/>
      <c r="P46" s="6"/>
      <c r="Q46" s="6"/>
      <c r="R46" s="6"/>
      <c r="S46" s="6"/>
      <c r="T46" s="6"/>
      <c r="U46" s="6"/>
      <c r="V46" s="6"/>
      <c r="W46" s="6"/>
      <c r="X46" s="6"/>
      <c r="Y46" s="6"/>
      <c r="Z46" s="6"/>
      <c r="AA46" s="6"/>
      <c r="AB46" s="6"/>
      <c r="AC46" s="6"/>
      <c r="AD46" s="6"/>
      <c r="AE46" s="6"/>
      <c r="AF46" s="6"/>
      <c r="AG46" s="6"/>
      <c r="AH46" s="6"/>
      <c r="AI46" s="6"/>
      <c r="AJ46" s="8"/>
      <c r="AK46" s="8"/>
      <c r="AL46" s="8"/>
      <c r="AM46" s="8"/>
      <c r="AN46" s="8"/>
    </row>
    <row r="47" spans="2:40">
      <c r="B47" s="4" t="s">
        <v>318</v>
      </c>
      <c r="C47" s="6"/>
      <c r="D47" s="6"/>
      <c r="E47" s="13"/>
      <c r="F47" s="13"/>
      <c r="G47" s="13"/>
      <c r="H47" s="13"/>
      <c r="I47" s="13"/>
      <c r="J47" s="13"/>
      <c r="K47" s="13"/>
      <c r="L47" s="13"/>
      <c r="M47" s="13"/>
      <c r="N47" s="13"/>
      <c r="O47" s="6"/>
      <c r="P47" s="6"/>
      <c r="Q47" s="6"/>
      <c r="R47" s="6"/>
      <c r="S47" s="6"/>
      <c r="T47" s="6"/>
      <c r="U47" s="6"/>
      <c r="V47" s="6"/>
      <c r="W47" s="6"/>
      <c r="X47" s="6"/>
      <c r="Y47" s="6"/>
      <c r="Z47" s="6"/>
      <c r="AA47" s="6"/>
      <c r="AB47" s="6"/>
      <c r="AC47" s="6"/>
      <c r="AD47" s="6"/>
      <c r="AE47" s="6"/>
      <c r="AF47" s="6"/>
      <c r="AG47" s="6"/>
      <c r="AH47" s="6"/>
      <c r="AI47" s="6"/>
      <c r="AJ47" s="8"/>
      <c r="AK47" s="8"/>
      <c r="AL47" s="8"/>
      <c r="AM47" s="8"/>
      <c r="AN47" s="8"/>
    </row>
    <row r="48" spans="2:40">
      <c r="B48" s="4" t="s">
        <v>319</v>
      </c>
      <c r="C48" s="6"/>
      <c r="D48" s="6"/>
      <c r="E48" s="13"/>
      <c r="F48" s="13"/>
      <c r="G48" s="13"/>
      <c r="H48" s="13"/>
      <c r="I48" s="13"/>
      <c r="J48" s="13"/>
      <c r="K48" s="13"/>
      <c r="L48" s="13"/>
      <c r="M48" s="13"/>
      <c r="N48" s="13"/>
      <c r="O48" s="6"/>
      <c r="P48" s="6"/>
      <c r="Q48" s="6"/>
      <c r="R48" s="6"/>
      <c r="S48" s="6"/>
      <c r="T48" s="6"/>
      <c r="U48" s="6"/>
      <c r="V48" s="6"/>
      <c r="W48" s="6"/>
      <c r="X48" s="6"/>
      <c r="Y48" s="6"/>
      <c r="Z48" s="6"/>
      <c r="AA48" s="6"/>
      <c r="AB48" s="6"/>
      <c r="AC48" s="6"/>
      <c r="AD48" s="6"/>
      <c r="AE48" s="6"/>
      <c r="AF48" s="6"/>
      <c r="AG48" s="6"/>
      <c r="AH48" s="6"/>
      <c r="AI48" s="6"/>
      <c r="AJ48" s="8"/>
      <c r="AK48" s="8"/>
      <c r="AL48" s="8"/>
      <c r="AM48" s="8"/>
      <c r="AN48" s="8"/>
    </row>
    <row r="49" spans="2:40">
      <c r="B49" s="4" t="s">
        <v>320</v>
      </c>
      <c r="C49" s="6"/>
      <c r="D49" s="6"/>
      <c r="E49" s="13"/>
      <c r="F49" s="13"/>
      <c r="G49" s="13"/>
      <c r="H49" s="13"/>
      <c r="I49" s="13"/>
      <c r="J49" s="13"/>
      <c r="K49" s="13"/>
      <c r="L49" s="13"/>
      <c r="M49" s="13"/>
      <c r="N49" s="13"/>
      <c r="O49" s="6"/>
      <c r="P49" s="6"/>
      <c r="Q49" s="6"/>
      <c r="R49" s="6"/>
      <c r="S49" s="6"/>
      <c r="T49" s="6"/>
      <c r="U49" s="6"/>
      <c r="V49" s="6"/>
      <c r="W49" s="6"/>
      <c r="X49" s="6"/>
      <c r="Y49" s="6"/>
      <c r="Z49" s="6"/>
      <c r="AA49" s="6"/>
      <c r="AB49" s="6"/>
      <c r="AC49" s="6"/>
      <c r="AD49" s="6"/>
      <c r="AE49" s="6"/>
      <c r="AF49" s="6"/>
      <c r="AG49" s="6"/>
      <c r="AH49" s="6"/>
      <c r="AI49" s="6"/>
      <c r="AJ49" s="8"/>
      <c r="AK49" s="8"/>
      <c r="AL49" s="8"/>
      <c r="AM49" s="8"/>
      <c r="AN49" s="8"/>
    </row>
    <row r="50" spans="2:40">
      <c r="B50" s="4" t="s">
        <v>321</v>
      </c>
      <c r="C50" s="6"/>
      <c r="D50" s="6"/>
      <c r="E50" s="13"/>
      <c r="F50" s="13"/>
      <c r="G50" s="13"/>
      <c r="H50" s="13"/>
      <c r="I50" s="13"/>
      <c r="J50" s="13"/>
      <c r="K50" s="13"/>
      <c r="L50" s="13"/>
      <c r="M50" s="13"/>
      <c r="N50" s="13"/>
      <c r="O50" s="6"/>
      <c r="P50" s="6"/>
      <c r="Q50" s="6"/>
      <c r="R50" s="6"/>
      <c r="S50" s="6"/>
      <c r="T50" s="6"/>
      <c r="U50" s="6"/>
      <c r="V50" s="6"/>
      <c r="W50" s="6"/>
      <c r="X50" s="6"/>
      <c r="Y50" s="6"/>
      <c r="Z50" s="6"/>
      <c r="AA50" s="6"/>
      <c r="AB50" s="6"/>
      <c r="AC50" s="6"/>
      <c r="AD50" s="6"/>
      <c r="AE50" s="6"/>
      <c r="AF50" s="6"/>
      <c r="AG50" s="6"/>
      <c r="AH50" s="6"/>
      <c r="AI50" s="6"/>
      <c r="AJ50" s="8"/>
      <c r="AK50" s="8"/>
      <c r="AL50" s="8"/>
      <c r="AM50" s="8"/>
      <c r="AN50" s="8"/>
    </row>
    <row r="51" spans="2:40">
      <c r="B51" s="5" t="s">
        <v>322</v>
      </c>
      <c r="C51" s="6"/>
      <c r="D51" s="7"/>
      <c r="E51" s="7"/>
      <c r="F51" s="7"/>
      <c r="G51" s="7"/>
      <c r="H51" s="7"/>
      <c r="I51" s="7"/>
      <c r="J51" s="7"/>
      <c r="K51" s="7"/>
      <c r="L51" s="7">
        <f>'Income Statement'!C96</f>
        <v>15469</v>
      </c>
      <c r="M51" s="7">
        <f>'Income Statement'!H96</f>
        <v>26016</v>
      </c>
      <c r="N51" s="7">
        <f>'Income Statement'!M96</f>
        <v>31100</v>
      </c>
      <c r="O51" s="7">
        <f>'Income Statement'!R96</f>
        <v>40400</v>
      </c>
      <c r="P51" s="7">
        <f>'Income Statement'!W96</f>
        <v>46400</v>
      </c>
      <c r="Q51" s="7">
        <f>'Income Statement'!AB96</f>
        <v>45800</v>
      </c>
      <c r="R51" s="7">
        <f>'Income Statement'!AG96</f>
        <v>60500</v>
      </c>
      <c r="S51" s="7">
        <f>'Income Statement'!AL96</f>
        <v>59600</v>
      </c>
      <c r="T51" s="7">
        <f>'Income Statement'!AQ96</f>
        <v>42000</v>
      </c>
      <c r="U51" s="7">
        <f>'Income Statement'!AV96</f>
        <v>46500</v>
      </c>
      <c r="V51" s="7">
        <f>'Income Statement'!BA96</f>
        <v>53500</v>
      </c>
      <c r="W51" s="7">
        <f>'Income Statement'!BF96</f>
        <v>54900</v>
      </c>
      <c r="X51" s="7">
        <f>'Income Statement'!BK96</f>
        <v>56700</v>
      </c>
      <c r="Y51" s="7">
        <f>'Income Statement'!BP96</f>
        <v>57890</v>
      </c>
      <c r="Z51" s="7">
        <f>'Income Statement'!BU96</f>
        <v>57910</v>
      </c>
      <c r="AA51" s="7">
        <f>'Income Statement'!BZ96</f>
        <v>57500</v>
      </c>
      <c r="AB51" s="7">
        <f>'Income Statement'!CE96</f>
        <v>57500</v>
      </c>
      <c r="AC51" s="7">
        <f>'Income Statement'!CJ96</f>
        <v>58800</v>
      </c>
      <c r="AD51" s="7">
        <f>'Income Statement'!CO96</f>
        <v>82771.271720245146</v>
      </c>
      <c r="AE51" s="7">
        <f>'Income Statement'!CP96</f>
        <v>83969.257163598711</v>
      </c>
      <c r="AF51" s="7">
        <f>'Income Statement'!CQ96</f>
        <v>85182.942914061918</v>
      </c>
      <c r="AG51" s="7">
        <f>'Income Statement'!CR96</f>
        <v>86412.523357124315</v>
      </c>
      <c r="AH51" s="7">
        <f>'Income Statement'!CS96</f>
        <v>87658.195197739857</v>
      </c>
      <c r="AI51" s="7">
        <f>'Income Statement'!CT96</f>
        <v>88920.15748729551</v>
      </c>
      <c r="AJ51" s="8"/>
      <c r="AK51" s="8"/>
      <c r="AL51" s="8"/>
      <c r="AM51" s="8"/>
      <c r="AN51" s="8"/>
    </row>
    <row r="52" spans="2:40">
      <c r="B52" s="4" t="s">
        <v>323</v>
      </c>
      <c r="C52" s="6"/>
      <c r="D52" s="6"/>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8"/>
      <c r="AK52" s="8"/>
      <c r="AL52" s="8"/>
      <c r="AM52" s="8"/>
      <c r="AN52" s="8"/>
    </row>
    <row r="53" spans="2:40">
      <c r="B53" s="4" t="s">
        <v>324</v>
      </c>
      <c r="C53" s="6"/>
      <c r="D53" s="6"/>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8"/>
      <c r="AK53" s="8"/>
      <c r="AL53" s="8"/>
      <c r="AM53" s="8"/>
      <c r="AN53" s="8"/>
    </row>
    <row r="54" spans="2:40">
      <c r="B54" s="4" t="s">
        <v>325</v>
      </c>
      <c r="C54" s="6"/>
      <c r="D54" s="6"/>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8"/>
      <c r="AK54" s="8"/>
      <c r="AL54" s="8"/>
      <c r="AM54" s="8"/>
      <c r="AN54" s="8"/>
    </row>
    <row r="55" spans="2:40">
      <c r="B55" s="5" t="s">
        <v>326</v>
      </c>
      <c r="C55" s="6"/>
      <c r="D55" s="7"/>
      <c r="E55" s="7"/>
      <c r="F55" s="7"/>
      <c r="G55" s="7"/>
      <c r="H55" s="7"/>
      <c r="I55" s="7"/>
      <c r="J55" s="7"/>
      <c r="K55" s="7"/>
      <c r="L55" s="7">
        <f>'Income Statement'!C47</f>
        <v>236242.19999999998</v>
      </c>
      <c r="M55" s="7">
        <f>'Income Statement'!H47</f>
        <v>239077.10639999999</v>
      </c>
      <c r="N55" s="7">
        <f>'Income Statement'!M47</f>
        <v>241946.03167679999</v>
      </c>
      <c r="O55" s="7">
        <f>'Income Statement'!R47</f>
        <v>244849.38405692158</v>
      </c>
      <c r="P55" s="7">
        <f>'Income Statement'!W47</f>
        <v>247787.57666560463</v>
      </c>
      <c r="Q55" s="7">
        <f>'Income Statement'!AB47</f>
        <v>248452</v>
      </c>
      <c r="R55" s="7">
        <f>'Income Statement'!AG47</f>
        <v>251806</v>
      </c>
      <c r="S55" s="7">
        <f>'Income Statement'!AL47</f>
        <v>255129</v>
      </c>
      <c r="T55" s="7">
        <f>'Income Statement'!AQ47</f>
        <v>258383</v>
      </c>
      <c r="U55" s="7">
        <f>'Income Statement'!AV47</f>
        <v>261554</v>
      </c>
      <c r="V55" s="7">
        <f>'Income Statement'!BA47</f>
        <v>264645</v>
      </c>
      <c r="W55" s="7">
        <f>'Income Statement'!BF47</f>
        <v>267663</v>
      </c>
      <c r="X55" s="7">
        <f>'Income Statement'!BK47</f>
        <v>269582.87800000003</v>
      </c>
      <c r="Y55" s="7">
        <f>'Income Statement'!BP47</f>
        <v>271857.96999999997</v>
      </c>
      <c r="Z55" s="7">
        <f>'Income Statement'!BU47</f>
        <v>273753.19099999999</v>
      </c>
      <c r="AA55" s="7">
        <f>'Income Statement'!BZ47</f>
        <v>275501.33899999998</v>
      </c>
      <c r="AB55" s="7">
        <f>'Income Statement'!CE47</f>
        <v>277154.34703399998</v>
      </c>
      <c r="AC55" s="7">
        <f>'Income Statement'!CJ47</f>
        <v>279798.049</v>
      </c>
      <c r="AD55" s="7">
        <f>'Income Statement'!CO47</f>
        <v>281476.83729400003</v>
      </c>
      <c r="AE55" s="7">
        <f>'Income Statement'!CP47</f>
        <v>283165.69831776404</v>
      </c>
      <c r="AF55" s="7">
        <f>'Income Statement'!CQ47</f>
        <v>284864.69250767061</v>
      </c>
      <c r="AG55" s="7">
        <f>'Income Statement'!CR47</f>
        <v>286573.88066271663</v>
      </c>
      <c r="AH55" s="7">
        <f>'Income Statement'!CS47</f>
        <v>288293.32394669292</v>
      </c>
      <c r="AI55" s="7">
        <f>'Income Statement'!CT47</f>
        <v>290023.08389037306</v>
      </c>
      <c r="AJ55" s="8"/>
      <c r="AK55" s="8"/>
      <c r="AL55" s="8"/>
      <c r="AM55" s="8"/>
      <c r="AN55" s="8"/>
    </row>
    <row r="56" spans="2:40">
      <c r="B56" s="4" t="s">
        <v>327</v>
      </c>
      <c r="C56" s="6"/>
      <c r="D56" s="6"/>
      <c r="E56" s="13"/>
      <c r="F56" s="13"/>
      <c r="G56" s="13"/>
      <c r="H56" s="13"/>
      <c r="I56" s="13"/>
      <c r="J56" s="13"/>
      <c r="K56" s="13"/>
      <c r="L56" s="13"/>
      <c r="M56" s="13"/>
      <c r="N56" s="13"/>
      <c r="O56" s="6"/>
      <c r="P56" s="6"/>
      <c r="Q56" s="6"/>
      <c r="R56" s="6"/>
      <c r="S56" s="6"/>
      <c r="T56" s="6"/>
      <c r="U56" s="6"/>
      <c r="V56" s="6"/>
      <c r="W56" s="6"/>
      <c r="X56" s="6"/>
      <c r="Y56" s="6"/>
      <c r="Z56" s="6"/>
      <c r="AA56" s="6"/>
      <c r="AB56" s="6"/>
      <c r="AC56" s="8"/>
      <c r="AD56" s="8"/>
      <c r="AE56" s="8"/>
      <c r="AF56" s="8"/>
      <c r="AG56" s="8"/>
      <c r="AH56" s="8"/>
      <c r="AI56" s="8"/>
      <c r="AJ56" s="8"/>
      <c r="AK56" s="8"/>
      <c r="AL56" s="8"/>
      <c r="AM56" s="8"/>
      <c r="AN56" s="8"/>
    </row>
    <row r="57" spans="2:40">
      <c r="B57" s="4" t="s">
        <v>328</v>
      </c>
      <c r="C57" s="6"/>
      <c r="D57" s="6"/>
      <c r="E57" s="13"/>
      <c r="F57" s="13"/>
      <c r="G57" s="13"/>
      <c r="H57" s="13"/>
      <c r="I57" s="13"/>
      <c r="J57" s="13"/>
      <c r="K57" s="13"/>
      <c r="L57" s="13"/>
      <c r="M57" s="13"/>
      <c r="N57" s="13"/>
      <c r="O57" s="6"/>
      <c r="P57" s="6"/>
      <c r="Q57" s="6"/>
      <c r="R57" s="6"/>
      <c r="S57" s="6"/>
      <c r="T57" s="6"/>
      <c r="U57" s="6"/>
      <c r="V57" s="6"/>
      <c r="W57" s="6"/>
      <c r="X57" s="6"/>
      <c r="Y57" s="6"/>
      <c r="Z57" s="6"/>
      <c r="AA57" s="6"/>
      <c r="AB57" s="6"/>
      <c r="AC57" s="8"/>
      <c r="AD57" s="8"/>
      <c r="AE57" s="8"/>
      <c r="AF57" s="8"/>
      <c r="AG57" s="8"/>
      <c r="AH57" s="8"/>
      <c r="AI57" s="8"/>
      <c r="AJ57" s="8"/>
      <c r="AK57" s="8"/>
      <c r="AL57" s="8"/>
      <c r="AM57" s="8"/>
      <c r="AN57" s="8"/>
    </row>
    <row r="58" spans="2:40">
      <c r="B58" s="4" t="s">
        <v>329</v>
      </c>
      <c r="C58" s="6"/>
      <c r="D58" s="6"/>
      <c r="E58" s="13"/>
      <c r="F58" s="13"/>
      <c r="G58" s="13"/>
      <c r="H58" s="13"/>
      <c r="I58" s="13"/>
      <c r="J58" s="13"/>
      <c r="K58" s="13"/>
      <c r="L58" s="13"/>
      <c r="M58" s="13"/>
      <c r="N58" s="13"/>
      <c r="O58" s="6"/>
      <c r="P58" s="6"/>
      <c r="Q58" s="6"/>
      <c r="R58" s="6"/>
      <c r="S58" s="6"/>
      <c r="T58" s="6"/>
      <c r="U58" s="6"/>
      <c r="V58" s="6"/>
      <c r="W58" s="6"/>
      <c r="X58" s="6"/>
      <c r="Y58" s="6"/>
      <c r="Z58" s="6"/>
      <c r="AA58" s="6"/>
      <c r="AB58" s="6"/>
      <c r="AC58" s="8"/>
      <c r="AD58" s="8"/>
      <c r="AE58" s="8"/>
      <c r="AF58" s="8"/>
      <c r="AG58" s="8"/>
      <c r="AH58" s="8"/>
      <c r="AI58" s="8"/>
      <c r="AJ58" s="8"/>
      <c r="AK58" s="8"/>
      <c r="AL58" s="8"/>
      <c r="AM58" s="8"/>
      <c r="AN58" s="8"/>
    </row>
    <row r="59" spans="2:40">
      <c r="B59" s="4" t="s">
        <v>330</v>
      </c>
      <c r="C59" s="6"/>
      <c r="D59" s="6"/>
      <c r="E59" s="13"/>
      <c r="F59" s="13"/>
      <c r="G59" s="13"/>
      <c r="H59" s="13"/>
      <c r="I59" s="13"/>
      <c r="J59" s="13"/>
      <c r="K59" s="13"/>
      <c r="L59" s="13"/>
      <c r="M59" s="13"/>
      <c r="N59" s="13"/>
      <c r="O59" s="6"/>
      <c r="P59" s="6"/>
      <c r="Q59" s="6"/>
      <c r="R59" s="6"/>
      <c r="S59" s="6"/>
      <c r="T59" s="6"/>
      <c r="U59" s="6"/>
      <c r="V59" s="6"/>
      <c r="W59" s="6"/>
      <c r="X59" s="6"/>
      <c r="Y59" s="6"/>
      <c r="Z59" s="6"/>
      <c r="AA59" s="6"/>
      <c r="AB59" s="6"/>
      <c r="AC59" s="8"/>
      <c r="AD59" s="8"/>
      <c r="AE59" s="8"/>
      <c r="AF59" s="8"/>
      <c r="AG59" s="8"/>
      <c r="AH59" s="8"/>
      <c r="AI59" s="8"/>
      <c r="AJ59" s="8"/>
      <c r="AK59" s="8"/>
      <c r="AL59" s="8"/>
      <c r="AM59" s="8"/>
      <c r="AN59" s="8"/>
    </row>
    <row r="60" spans="2:40">
      <c r="B60" s="4" t="s">
        <v>331</v>
      </c>
      <c r="C60" s="6"/>
      <c r="D60" s="6"/>
      <c r="E60" s="13"/>
      <c r="F60" s="13"/>
      <c r="G60" s="13"/>
      <c r="H60" s="13"/>
      <c r="I60" s="13"/>
      <c r="J60" s="13"/>
      <c r="K60" s="13"/>
      <c r="L60" s="13"/>
      <c r="M60" s="13"/>
      <c r="N60" s="13"/>
      <c r="O60" s="6"/>
      <c r="P60" s="6"/>
      <c r="Q60" s="6"/>
      <c r="R60" s="6"/>
      <c r="S60" s="6"/>
      <c r="T60" s="6"/>
      <c r="U60" s="6"/>
      <c r="V60" s="6"/>
      <c r="W60" s="6"/>
      <c r="X60" s="6"/>
      <c r="Y60" s="6"/>
      <c r="Z60" s="6"/>
      <c r="AA60" s="6"/>
      <c r="AB60" s="6"/>
      <c r="AC60" s="8"/>
      <c r="AD60" s="8"/>
      <c r="AE60" s="8"/>
      <c r="AF60" s="8"/>
      <c r="AG60" s="8"/>
      <c r="AH60" s="8"/>
      <c r="AI60" s="8"/>
      <c r="AJ60" s="8"/>
      <c r="AK60" s="8"/>
      <c r="AL60" s="8"/>
      <c r="AM60" s="8"/>
      <c r="AN60" s="8"/>
    </row>
    <row r="61" spans="2:40">
      <c r="B61" s="4" t="s">
        <v>332</v>
      </c>
      <c r="C61" s="6"/>
      <c r="D61" s="6"/>
      <c r="E61" s="13"/>
      <c r="F61" s="13"/>
      <c r="G61" s="13"/>
      <c r="H61" s="13"/>
      <c r="I61" s="13"/>
      <c r="J61" s="13"/>
      <c r="K61" s="13"/>
      <c r="L61" s="13"/>
      <c r="M61" s="13"/>
      <c r="N61" s="13"/>
      <c r="O61" s="6"/>
      <c r="P61" s="6"/>
      <c r="Q61" s="6"/>
      <c r="R61" s="6"/>
      <c r="S61" s="6"/>
      <c r="T61" s="6"/>
      <c r="U61" s="6"/>
      <c r="V61" s="6"/>
      <c r="W61" s="6"/>
      <c r="X61" s="6"/>
      <c r="Y61" s="6"/>
      <c r="Z61" s="6"/>
      <c r="AA61" s="6"/>
      <c r="AB61" s="6"/>
      <c r="AC61" s="8"/>
      <c r="AD61" s="8"/>
      <c r="AE61" s="8"/>
      <c r="AF61" s="8"/>
      <c r="AG61" s="8"/>
      <c r="AH61" s="8"/>
      <c r="AI61" s="8"/>
      <c r="AJ61" s="8"/>
      <c r="AK61" s="8"/>
      <c r="AL61" s="8"/>
      <c r="AM61" s="8"/>
      <c r="AN61" s="8"/>
    </row>
    <row r="62" spans="2:40">
      <c r="B62" s="4" t="s">
        <v>333</v>
      </c>
      <c r="C62" s="6"/>
      <c r="D62" s="6"/>
      <c r="E62" s="13"/>
      <c r="F62" s="13"/>
      <c r="G62" s="13"/>
      <c r="H62" s="13"/>
      <c r="I62" s="13"/>
      <c r="J62" s="13"/>
      <c r="K62" s="13"/>
      <c r="L62" s="13"/>
      <c r="M62" s="13"/>
      <c r="N62" s="13"/>
      <c r="O62" s="6"/>
      <c r="P62" s="6"/>
      <c r="Q62" s="6"/>
      <c r="R62" s="6"/>
      <c r="S62" s="6"/>
      <c r="T62" s="6"/>
      <c r="U62" s="6"/>
      <c r="V62" s="6"/>
      <c r="W62" s="6"/>
      <c r="X62" s="6"/>
      <c r="Y62" s="6"/>
      <c r="Z62" s="6"/>
      <c r="AA62" s="6"/>
      <c r="AB62" s="6"/>
      <c r="AC62" s="8"/>
      <c r="AD62" s="8"/>
      <c r="AE62" s="8"/>
      <c r="AF62" s="8"/>
      <c r="AG62" s="8"/>
      <c r="AH62" s="8"/>
      <c r="AI62" s="8"/>
      <c r="AJ62" s="8"/>
      <c r="AK62" s="8"/>
      <c r="AL62" s="8"/>
      <c r="AM62" s="8"/>
      <c r="AN62" s="8"/>
    </row>
    <row r="63" spans="2:40">
      <c r="B63" s="4" t="s">
        <v>334</v>
      </c>
      <c r="C63" s="6"/>
      <c r="D63" s="6"/>
      <c r="E63" s="13"/>
      <c r="F63" s="13"/>
      <c r="G63" s="13"/>
      <c r="H63" s="13"/>
      <c r="I63" s="13"/>
      <c r="J63" s="13"/>
      <c r="K63" s="13"/>
      <c r="L63" s="13"/>
      <c r="M63" s="13"/>
      <c r="N63" s="13"/>
      <c r="O63" s="6"/>
      <c r="P63" s="6"/>
      <c r="Q63" s="6"/>
      <c r="R63" s="6"/>
      <c r="S63" s="6"/>
      <c r="T63" s="6"/>
      <c r="U63" s="6"/>
      <c r="V63" s="6"/>
      <c r="W63" s="6"/>
      <c r="X63" s="6"/>
      <c r="Y63" s="6"/>
      <c r="Z63" s="6"/>
      <c r="AA63" s="6"/>
      <c r="AB63" s="6"/>
      <c r="AC63" s="8"/>
      <c r="AD63" s="8"/>
      <c r="AE63" s="8"/>
      <c r="AF63" s="8"/>
      <c r="AG63" s="8"/>
      <c r="AH63" s="8"/>
      <c r="AI63" s="8"/>
      <c r="AJ63" s="8"/>
      <c r="AK63" s="8"/>
      <c r="AL63" s="8"/>
      <c r="AM63" s="8"/>
      <c r="AN63" s="8"/>
    </row>
    <row r="64" spans="2:40">
      <c r="B64" s="4" t="s">
        <v>335</v>
      </c>
      <c r="C64" s="6"/>
      <c r="D64" s="6"/>
      <c r="E64" s="13"/>
      <c r="F64" s="13"/>
      <c r="G64" s="13"/>
      <c r="H64" s="13"/>
      <c r="I64" s="13"/>
      <c r="J64" s="13"/>
      <c r="K64" s="13"/>
      <c r="L64" s="13"/>
      <c r="M64" s="13"/>
      <c r="N64" s="13"/>
      <c r="O64" s="6"/>
      <c r="P64" s="6"/>
      <c r="Q64" s="6"/>
      <c r="R64" s="6"/>
      <c r="S64" s="6"/>
      <c r="T64" s="6"/>
      <c r="U64" s="6"/>
      <c r="V64" s="6"/>
      <c r="W64" s="6"/>
      <c r="X64" s="6"/>
      <c r="Y64" s="6"/>
      <c r="Z64" s="6"/>
      <c r="AA64" s="6"/>
      <c r="AB64" s="6"/>
      <c r="AC64" s="8"/>
      <c r="AD64" s="8"/>
      <c r="AE64" s="8"/>
      <c r="AF64" s="8"/>
      <c r="AG64" s="8"/>
      <c r="AH64" s="8"/>
      <c r="AI64" s="8"/>
      <c r="AJ64" s="8"/>
      <c r="AK64" s="8"/>
      <c r="AL64" s="8"/>
      <c r="AM64" s="8"/>
      <c r="AN64" s="8"/>
    </row>
    <row r="65" spans="2:40">
      <c r="B65" s="4" t="s">
        <v>336</v>
      </c>
      <c r="C65" s="6"/>
      <c r="D65" s="6"/>
      <c r="E65" s="13"/>
      <c r="F65" s="13"/>
      <c r="G65" s="13"/>
      <c r="H65" s="13"/>
      <c r="I65" s="13"/>
      <c r="J65" s="13"/>
      <c r="K65" s="13"/>
      <c r="L65" s="13"/>
      <c r="M65" s="13"/>
      <c r="N65" s="13"/>
      <c r="O65" s="6"/>
      <c r="P65" s="6"/>
      <c r="Q65" s="6"/>
      <c r="R65" s="6"/>
      <c r="S65" s="6"/>
      <c r="T65" s="6"/>
      <c r="U65" s="6"/>
      <c r="V65" s="6"/>
      <c r="W65" s="6"/>
      <c r="X65" s="6"/>
      <c r="Y65" s="6"/>
      <c r="Z65" s="6"/>
      <c r="AA65" s="6"/>
      <c r="AB65" s="6"/>
      <c r="AC65" s="8"/>
      <c r="AD65" s="8"/>
      <c r="AE65" s="8"/>
      <c r="AF65" s="8"/>
      <c r="AG65" s="8"/>
      <c r="AH65" s="8"/>
      <c r="AI65" s="8"/>
      <c r="AJ65" s="8"/>
      <c r="AK65" s="8"/>
      <c r="AL65" s="8"/>
      <c r="AM65" s="8"/>
      <c r="AN65" s="8"/>
    </row>
    <row r="66" spans="2:40">
      <c r="B66" s="4" t="s">
        <v>337</v>
      </c>
      <c r="C66" s="6"/>
      <c r="D66" s="6"/>
      <c r="E66" s="13"/>
      <c r="F66" s="13"/>
      <c r="G66" s="13"/>
      <c r="H66" s="13"/>
      <c r="I66" s="13"/>
      <c r="J66" s="13"/>
      <c r="K66" s="13"/>
      <c r="L66" s="13"/>
      <c r="M66" s="13"/>
      <c r="N66" s="13"/>
      <c r="O66" s="6"/>
      <c r="P66" s="6"/>
      <c r="Q66" s="6"/>
      <c r="R66" s="6"/>
      <c r="S66" s="6"/>
      <c r="T66" s="6"/>
      <c r="U66" s="6"/>
      <c r="V66" s="6"/>
      <c r="W66" s="6"/>
      <c r="X66" s="6"/>
      <c r="Y66" s="6"/>
      <c r="Z66" s="6"/>
      <c r="AA66" s="6"/>
      <c r="AB66" s="6"/>
      <c r="AC66" s="8"/>
      <c r="AD66" s="8"/>
      <c r="AE66" s="8"/>
      <c r="AF66" s="8"/>
      <c r="AG66" s="8"/>
      <c r="AH66" s="8"/>
      <c r="AI66" s="8"/>
      <c r="AJ66" s="8"/>
      <c r="AK66" s="8"/>
      <c r="AL66" s="8"/>
      <c r="AM66" s="8"/>
      <c r="AN66" s="8"/>
    </row>
    <row r="67" spans="2:40">
      <c r="B67" s="4" t="s">
        <v>338</v>
      </c>
      <c r="C67" s="6"/>
      <c r="D67" s="6"/>
      <c r="E67" s="13"/>
      <c r="F67" s="13"/>
      <c r="G67" s="13"/>
      <c r="H67" s="13"/>
      <c r="I67" s="13"/>
      <c r="J67" s="13"/>
      <c r="K67" s="13"/>
      <c r="L67" s="13"/>
      <c r="M67" s="13"/>
      <c r="N67" s="13"/>
      <c r="O67" s="6"/>
      <c r="P67" s="6"/>
      <c r="Q67" s="6"/>
      <c r="R67" s="6"/>
      <c r="S67" s="6"/>
      <c r="T67" s="6"/>
      <c r="U67" s="6"/>
      <c r="V67" s="6"/>
      <c r="W67" s="6"/>
      <c r="X67" s="6"/>
      <c r="Y67" s="6"/>
      <c r="Z67" s="6"/>
      <c r="AA67" s="6"/>
      <c r="AB67" s="6"/>
      <c r="AC67" s="8"/>
      <c r="AD67" s="8"/>
      <c r="AE67" s="8"/>
      <c r="AF67" s="8"/>
      <c r="AG67" s="8"/>
      <c r="AH67" s="8"/>
      <c r="AI67" s="8"/>
      <c r="AJ67" s="8"/>
      <c r="AK67" s="8"/>
      <c r="AL67" s="8"/>
      <c r="AM67" s="8"/>
      <c r="AN67" s="8"/>
    </row>
    <row r="68" spans="2:40">
      <c r="B68" s="4" t="s">
        <v>339</v>
      </c>
      <c r="C68" s="6"/>
      <c r="D68" s="6"/>
      <c r="E68" s="13"/>
      <c r="F68" s="13"/>
      <c r="G68" s="13"/>
      <c r="H68" s="13"/>
      <c r="I68" s="13"/>
      <c r="J68" s="13"/>
      <c r="K68" s="13"/>
      <c r="L68" s="13"/>
      <c r="M68" s="13"/>
      <c r="N68" s="13"/>
      <c r="O68" s="6"/>
      <c r="P68" s="6"/>
      <c r="Q68" s="6"/>
      <c r="R68" s="6"/>
      <c r="S68" s="6"/>
      <c r="T68" s="6"/>
      <c r="U68" s="6"/>
      <c r="V68" s="6"/>
      <c r="W68" s="6"/>
      <c r="X68" s="6"/>
      <c r="Y68" s="6"/>
      <c r="Z68" s="6"/>
      <c r="AA68" s="6"/>
      <c r="AB68" s="6"/>
      <c r="AC68" s="8"/>
      <c r="AD68" s="8"/>
      <c r="AE68" s="8"/>
      <c r="AF68" s="8"/>
      <c r="AG68" s="8"/>
      <c r="AH68" s="8"/>
      <c r="AI68" s="8"/>
      <c r="AJ68" s="8"/>
      <c r="AK68" s="8"/>
      <c r="AL68" s="8"/>
      <c r="AM68" s="8"/>
      <c r="AN68" s="8"/>
    </row>
    <row r="69" spans="2:40">
      <c r="B69" s="4" t="s">
        <v>340</v>
      </c>
      <c r="C69" s="6"/>
      <c r="D69" s="6"/>
      <c r="E69" s="13"/>
      <c r="F69" s="13"/>
      <c r="G69" s="13"/>
      <c r="H69" s="13"/>
      <c r="I69" s="13"/>
      <c r="J69" s="13"/>
      <c r="K69" s="13"/>
      <c r="L69" s="13"/>
      <c r="M69" s="13"/>
      <c r="N69" s="13"/>
      <c r="O69" s="6"/>
      <c r="P69" s="6"/>
      <c r="Q69" s="6"/>
      <c r="R69" s="6"/>
      <c r="S69" s="6"/>
      <c r="T69" s="6"/>
      <c r="U69" s="6"/>
      <c r="V69" s="6"/>
      <c r="W69" s="6"/>
      <c r="X69" s="6"/>
      <c r="Y69" s="6"/>
      <c r="Z69" s="6"/>
      <c r="AA69" s="6"/>
      <c r="AB69" s="6"/>
      <c r="AC69" s="8"/>
      <c r="AD69" s="8"/>
      <c r="AE69" s="8"/>
      <c r="AF69" s="8"/>
      <c r="AG69" s="8"/>
      <c r="AH69" s="8"/>
      <c r="AI69" s="8"/>
      <c r="AJ69" s="8"/>
      <c r="AK69" s="8"/>
      <c r="AL69" s="8"/>
      <c r="AM69" s="8"/>
      <c r="AN69" s="8"/>
    </row>
    <row r="70" spans="2:40" s="1049" customFormat="1">
      <c r="C70" s="1050"/>
      <c r="D70" s="1050"/>
      <c r="E70" s="1051"/>
      <c r="F70" s="1051"/>
      <c r="G70" s="1051"/>
      <c r="H70" s="1051"/>
      <c r="I70" s="1051"/>
      <c r="J70" s="1051"/>
      <c r="K70" s="1051"/>
      <c r="L70" s="1051"/>
      <c r="M70" s="1051"/>
      <c r="N70" s="1051"/>
      <c r="O70" s="1050"/>
      <c r="P70" s="1050"/>
      <c r="Q70" s="1050"/>
      <c r="R70" s="1050"/>
      <c r="S70" s="1050"/>
      <c r="T70" s="1050"/>
      <c r="U70" s="1050"/>
      <c r="V70" s="1050"/>
      <c r="W70" s="1050"/>
      <c r="X70" s="1050"/>
      <c r="Y70" s="1050"/>
      <c r="Z70" s="1050"/>
      <c r="AA70" s="1050"/>
      <c r="AB70" s="1050"/>
    </row>
    <row r="71" spans="2:40" customFormat="1" ht="14.5">
      <c r="B71" s="1037" t="s">
        <v>1267</v>
      </c>
      <c r="C71" s="1038">
        <v>1998</v>
      </c>
      <c r="D71" s="1038">
        <f t="shared" ref="D71:I71" si="9">C71+1</f>
        <v>1999</v>
      </c>
      <c r="E71" s="1038">
        <f t="shared" si="9"/>
        <v>2000</v>
      </c>
      <c r="F71" s="1038">
        <f t="shared" si="9"/>
        <v>2001</v>
      </c>
      <c r="G71" s="1038">
        <f t="shared" si="9"/>
        <v>2002</v>
      </c>
      <c r="H71" s="1038">
        <f t="shared" si="9"/>
        <v>2003</v>
      </c>
      <c r="I71" s="1038">
        <f t="shared" si="9"/>
        <v>2004</v>
      </c>
      <c r="J71" s="1038">
        <f>I71+1</f>
        <v>2005</v>
      </c>
      <c r="K71" s="1038">
        <f>J71+1</f>
        <v>2006</v>
      </c>
      <c r="L71" s="1038">
        <f>K71+1</f>
        <v>2007</v>
      </c>
      <c r="M71" s="1038">
        <f t="shared" ref="M71:AG71" si="10">L71+1</f>
        <v>2008</v>
      </c>
      <c r="N71" s="1038">
        <f t="shared" si="10"/>
        <v>2009</v>
      </c>
      <c r="O71" s="1038">
        <f t="shared" si="10"/>
        <v>2010</v>
      </c>
      <c r="P71" s="1038">
        <f t="shared" si="10"/>
        <v>2011</v>
      </c>
      <c r="Q71" s="1038">
        <f t="shared" si="10"/>
        <v>2012</v>
      </c>
      <c r="R71" s="1038">
        <f t="shared" si="10"/>
        <v>2013</v>
      </c>
      <c r="S71" s="1038">
        <f t="shared" si="10"/>
        <v>2014</v>
      </c>
      <c r="T71" s="1038">
        <f t="shared" si="10"/>
        <v>2015</v>
      </c>
      <c r="U71" s="1038">
        <f t="shared" si="10"/>
        <v>2016</v>
      </c>
      <c r="V71" s="1038">
        <f t="shared" si="10"/>
        <v>2017</v>
      </c>
      <c r="W71" s="1038">
        <f t="shared" si="10"/>
        <v>2018</v>
      </c>
      <c r="X71" s="1038">
        <f t="shared" si="10"/>
        <v>2019</v>
      </c>
      <c r="Y71" s="1038">
        <f t="shared" si="10"/>
        <v>2020</v>
      </c>
      <c r="Z71" s="1038">
        <f t="shared" si="10"/>
        <v>2021</v>
      </c>
      <c r="AA71" s="1038">
        <f t="shared" si="10"/>
        <v>2022</v>
      </c>
      <c r="AB71" s="1038">
        <f t="shared" si="10"/>
        <v>2023</v>
      </c>
      <c r="AC71" s="1038">
        <f t="shared" si="10"/>
        <v>2024</v>
      </c>
      <c r="AD71" s="1038">
        <f t="shared" si="10"/>
        <v>2025</v>
      </c>
      <c r="AE71" s="1038">
        <f t="shared" si="10"/>
        <v>2026</v>
      </c>
      <c r="AF71" s="1038">
        <f t="shared" si="10"/>
        <v>2027</v>
      </c>
      <c r="AG71" s="1038">
        <f t="shared" si="10"/>
        <v>2028</v>
      </c>
      <c r="AH71" s="1038">
        <f>AG71+1</f>
        <v>2029</v>
      </c>
      <c r="AI71" s="1038">
        <f>AH71+1</f>
        <v>2030</v>
      </c>
      <c r="AJ71" s="39"/>
    </row>
    <row r="72" spans="2:40" customFormat="1" ht="14.5">
      <c r="B72" s="1039" t="s">
        <v>2</v>
      </c>
      <c r="C72" s="1040"/>
      <c r="D72" s="1040"/>
      <c r="E72" s="1040"/>
      <c r="F72" s="1040"/>
      <c r="G72" s="1040"/>
      <c r="H72" s="1040"/>
      <c r="I72" s="1040"/>
      <c r="J72" s="1040"/>
      <c r="K72" s="1040"/>
      <c r="L72" s="7">
        <f>'Balance Sheet and Cflow'!C378</f>
        <v>3509</v>
      </c>
      <c r="M72" s="7">
        <f>'Balance Sheet and Cflow'!D378</f>
        <v>5132</v>
      </c>
      <c r="N72" s="7">
        <f>'Balance Sheet and Cflow'!E378</f>
        <v>6205</v>
      </c>
      <c r="O72" s="7">
        <f>'Balance Sheet and Cflow'!F378</f>
        <v>9287</v>
      </c>
      <c r="P72" s="7">
        <f>'Balance Sheet and Cflow'!G378</f>
        <v>9348</v>
      </c>
      <c r="Q72" s="7">
        <f>'Balance Sheet and Cflow'!H378</f>
        <v>9745</v>
      </c>
      <c r="R72" s="7">
        <f>'Balance Sheet and Cflow'!I378</f>
        <v>8659</v>
      </c>
      <c r="S72" s="7">
        <f>'Balance Sheet and Cflow'!J378</f>
        <v>8623</v>
      </c>
      <c r="T72" s="7">
        <f>'Balance Sheet and Cflow'!K378</f>
        <v>8393</v>
      </c>
      <c r="U72" s="7">
        <f>'Balance Sheet and Cflow'!L378</f>
        <v>8057</v>
      </c>
      <c r="V72" s="7">
        <f>'Balance Sheet and Cflow'!M378</f>
        <v>8321</v>
      </c>
      <c r="W72" s="7">
        <f>'Balance Sheet and Cflow'!N378</f>
        <v>8513</v>
      </c>
      <c r="X72" s="7">
        <f>'Balance Sheet and Cflow'!O378</f>
        <v>9966</v>
      </c>
      <c r="Y72" s="7">
        <f>'Balance Sheet and Cflow'!P378</f>
        <v>13060</v>
      </c>
      <c r="Z72" s="7">
        <f>'Balance Sheet and Cflow'!Q378</f>
        <v>13287</v>
      </c>
      <c r="AA72" s="7">
        <f>'Balance Sheet and Cflow'!R378</f>
        <v>14235</v>
      </c>
      <c r="AB72" s="7">
        <f>'Balance Sheet and Cflow'!S378</f>
        <v>15885</v>
      </c>
      <c r="AC72" s="7">
        <f>'Balance Sheet and Cflow'!T378</f>
        <v>17879</v>
      </c>
      <c r="AD72" s="7">
        <f>'Balance Sheet and Cflow'!V378</f>
        <v>18547.777952688124</v>
      </c>
      <c r="AE72" s="7">
        <f>'Balance Sheet and Cflow'!W378</f>
        <v>22026.102884302556</v>
      </c>
      <c r="AF72" s="7">
        <f>'Balance Sheet and Cflow'!X378</f>
        <v>24266.810115801967</v>
      </c>
      <c r="AG72" s="7">
        <f>'Balance Sheet and Cflow'!Y378</f>
        <v>26620.859772424206</v>
      </c>
      <c r="AH72" s="7">
        <f>'Balance Sheet and Cflow'!Z378</f>
        <v>27939.493298103363</v>
      </c>
      <c r="AI72" s="7">
        <f>'Balance Sheet and Cflow'!AA378</f>
        <v>29320.919629442382</v>
      </c>
      <c r="AJ72" s="39"/>
    </row>
    <row r="73" spans="2:40" customFormat="1" ht="14.5">
      <c r="B73" s="1039" t="s">
        <v>1073</v>
      </c>
      <c r="C73" s="1040"/>
      <c r="D73" s="1040"/>
      <c r="E73" s="1040"/>
      <c r="F73" s="1040"/>
      <c r="G73" s="1040"/>
      <c r="H73" s="1040"/>
      <c r="I73" s="1040"/>
      <c r="J73" s="1040"/>
      <c r="K73" s="1040"/>
      <c r="L73" s="1052">
        <f>'Balance Sheet and Cflow'!C379</f>
        <v>0</v>
      </c>
      <c r="M73" s="1052">
        <f>'Balance Sheet and Cflow'!D379</f>
        <v>0</v>
      </c>
      <c r="N73" s="1052">
        <f>'Balance Sheet and Cflow'!E379</f>
        <v>0</v>
      </c>
      <c r="O73" s="1052">
        <f>'Balance Sheet and Cflow'!F379</f>
        <v>-59</v>
      </c>
      <c r="P73" s="1052">
        <f>'Balance Sheet and Cflow'!G379</f>
        <v>866</v>
      </c>
      <c r="Q73" s="1052">
        <f>'Balance Sheet and Cflow'!H379</f>
        <v>-662</v>
      </c>
      <c r="R73" s="1052">
        <f>'Balance Sheet and Cflow'!I379</f>
        <v>-1071.0000000000002</v>
      </c>
      <c r="S73" s="1052">
        <f>'Balance Sheet and Cflow'!J379</f>
        <v>11130</v>
      </c>
      <c r="T73" s="1052">
        <f>'Balance Sheet and Cflow'!K379</f>
        <v>-10398</v>
      </c>
      <c r="U73" s="1052">
        <f>'Balance Sheet and Cflow'!L379</f>
        <v>-158</v>
      </c>
      <c r="V73" s="1052">
        <f>'Balance Sheet and Cflow'!M379</f>
        <v>1208</v>
      </c>
      <c r="W73" s="1052">
        <f>'Balance Sheet and Cflow'!N379</f>
        <v>856.89799999999912</v>
      </c>
      <c r="X73" s="1052">
        <f>'Balance Sheet and Cflow'!O379</f>
        <v>-1226.351999999999</v>
      </c>
      <c r="Y73" s="1052">
        <f>'Balance Sheet and Cflow'!P379</f>
        <v>-531.61900000000014</v>
      </c>
      <c r="Z73" s="1052">
        <f>'Balance Sheet and Cflow'!Q379</f>
        <v>2688.9199999999987</v>
      </c>
      <c r="AA73" s="1052">
        <f>'Balance Sheet and Cflow'!R379</f>
        <v>323.43300000000085</v>
      </c>
      <c r="AB73" s="1052">
        <f>'Balance Sheet and Cflow'!S379</f>
        <v>-2705.6169999999993</v>
      </c>
      <c r="AC73" s="1052">
        <f>'Balance Sheet and Cflow'!T379</f>
        <v>-1754.5090000000012</v>
      </c>
      <c r="AD73" s="1052">
        <f>'Balance Sheet and Cflow'!V379</f>
        <v>480.56379978137647</v>
      </c>
      <c r="AE73" s="1052">
        <f>'Balance Sheet and Cflow'!W379</f>
        <v>285.83597953290746</v>
      </c>
      <c r="AF73" s="1052">
        <f>'Balance Sheet and Cflow'!X379</f>
        <v>122.55896379882961</v>
      </c>
      <c r="AG73" s="1052">
        <f>'Balance Sheet and Cflow'!Y379</f>
        <v>127.72631381444654</v>
      </c>
      <c r="AH73" s="1052">
        <f>'Balance Sheet and Cflow'!Z379</f>
        <v>133.11112775223813</v>
      </c>
      <c r="AI73" s="1052">
        <f>'Balance Sheet and Cflow'!AA379</f>
        <v>138.72264052118032</v>
      </c>
      <c r="AJ73" s="39"/>
    </row>
    <row r="74" spans="2:40" customFormat="1" ht="14.5">
      <c r="B74" s="1039" t="s">
        <v>1074</v>
      </c>
      <c r="C74" s="1040"/>
      <c r="D74" s="1040"/>
      <c r="E74" s="1040"/>
      <c r="F74" s="1040"/>
      <c r="G74" s="1040"/>
      <c r="H74" s="1040"/>
      <c r="I74" s="1040"/>
      <c r="J74" s="1040"/>
      <c r="K74" s="1040"/>
      <c r="L74" s="1052">
        <f>'Balance Sheet and Cflow'!C380</f>
        <v>0</v>
      </c>
      <c r="M74" s="1052">
        <f>'Balance Sheet and Cflow'!D380</f>
        <v>0</v>
      </c>
      <c r="N74" s="1052">
        <f>'Balance Sheet and Cflow'!E380</f>
        <v>0</v>
      </c>
      <c r="O74" s="1052">
        <f>'Balance Sheet and Cflow'!F380</f>
        <v>-977</v>
      </c>
      <c r="P74" s="1052">
        <f>'Balance Sheet and Cflow'!G380</f>
        <v>-1035</v>
      </c>
      <c r="Q74" s="1052">
        <f>'Balance Sheet and Cflow'!H380</f>
        <v>-1035</v>
      </c>
      <c r="R74" s="1052">
        <f>'Balance Sheet and Cflow'!I380</f>
        <v>-357</v>
      </c>
      <c r="S74" s="1052">
        <f>'Balance Sheet and Cflow'!J380</f>
        <v>179</v>
      </c>
      <c r="T74" s="1052">
        <f>'Balance Sheet and Cflow'!K380</f>
        <v>605</v>
      </c>
      <c r="U74" s="1052">
        <f>'Balance Sheet and Cflow'!L380</f>
        <v>190</v>
      </c>
      <c r="V74" s="1052">
        <f>'Balance Sheet and Cflow'!M380</f>
        <v>1099</v>
      </c>
      <c r="W74" s="1052">
        <f>'Balance Sheet and Cflow'!N380</f>
        <v>1099</v>
      </c>
      <c r="X74" s="1052">
        <f>'Balance Sheet and Cflow'!O380</f>
        <v>-432</v>
      </c>
      <c r="Y74" s="1052">
        <f>'Balance Sheet and Cflow'!P380</f>
        <v>225.78900000000027</v>
      </c>
      <c r="Z74" s="1052">
        <f>'Balance Sheet and Cflow'!Q380</f>
        <v>-419.73299999999983</v>
      </c>
      <c r="AA74" s="1052">
        <f>'Balance Sheet and Cflow'!R380</f>
        <v>-231.84199999999987</v>
      </c>
      <c r="AB74" s="1052">
        <f>'Balance Sheet and Cflow'!S380</f>
        <v>-420.06900000000007</v>
      </c>
      <c r="AC74" s="1052">
        <f>'Balance Sheet and Cflow'!T380</f>
        <v>-579.59399999999994</v>
      </c>
      <c r="AD74" s="1052">
        <f>'Balance Sheet and Cflow'!V380</f>
        <v>716.55429602080062</v>
      </c>
      <c r="AE74" s="1052">
        <f>'Balance Sheet and Cflow'!W380</f>
        <v>-230.98067376252069</v>
      </c>
      <c r="AF74" s="1052">
        <f>'Balance Sheet and Cflow'!X380</f>
        <v>-690.92447582855402</v>
      </c>
      <c r="AG74" s="1052">
        <f>'Balance Sheet and Cflow'!Y380</f>
        <v>-1367.7147642273173</v>
      </c>
      <c r="AH74" s="1052">
        <f>'Balance Sheet and Cflow'!Z380</f>
        <v>-1747.3059378329119</v>
      </c>
      <c r="AI74" s="1052">
        <f>'Balance Sheet and Cflow'!AA380</f>
        <v>-2102.155428607176</v>
      </c>
      <c r="AJ74" s="39"/>
    </row>
    <row r="75" spans="2:40" customFormat="1" ht="14.5">
      <c r="B75" s="1039" t="s">
        <v>1029</v>
      </c>
      <c r="C75" s="1040"/>
      <c r="D75" s="1040"/>
      <c r="E75" s="1040"/>
      <c r="F75" s="1040"/>
      <c r="G75" s="1040"/>
      <c r="H75" s="1040"/>
      <c r="I75" s="1040"/>
      <c r="J75" s="1040"/>
      <c r="K75" s="1040"/>
      <c r="L75" s="1052">
        <f>'Balance Sheet and Cflow'!C381</f>
        <v>-6868</v>
      </c>
      <c r="M75" s="1052">
        <f>'Balance Sheet and Cflow'!D381</f>
        <v>-11382</v>
      </c>
      <c r="N75" s="1052">
        <f>'Balance Sheet and Cflow'!E381</f>
        <v>-5282.7</v>
      </c>
      <c r="O75" s="1052">
        <f>'Balance Sheet and Cflow'!F381</f>
        <v>-4848</v>
      </c>
      <c r="P75" s="1052">
        <f>'Balance Sheet and Cflow'!G381</f>
        <v>-6522</v>
      </c>
      <c r="Q75" s="1052">
        <f>'Balance Sheet and Cflow'!H381</f>
        <v>-10176</v>
      </c>
      <c r="R75" s="1052">
        <f>'Balance Sheet and Cflow'!I381</f>
        <v>-7394</v>
      </c>
      <c r="S75" s="1052">
        <f>'Balance Sheet and Cflow'!J381</f>
        <v>-7095</v>
      </c>
      <c r="T75" s="1052">
        <f>'Balance Sheet and Cflow'!K381</f>
        <v>-4146</v>
      </c>
      <c r="U75" s="1052">
        <f>'Balance Sheet and Cflow'!L381</f>
        <v>-5584</v>
      </c>
      <c r="V75" s="1052">
        <f>'Balance Sheet and Cflow'!M381</f>
        <v>-6697</v>
      </c>
      <c r="W75" s="1052">
        <f>'Balance Sheet and Cflow'!N381</f>
        <v>-6273.7529999999997</v>
      </c>
      <c r="X75" s="1052">
        <f>'Balance Sheet and Cflow'!O381</f>
        <v>-9096.1370000000006</v>
      </c>
      <c r="Y75" s="1052">
        <f>'Balance Sheet and Cflow'!P381</f>
        <v>-6155</v>
      </c>
      <c r="Z75" s="1052">
        <f>'Balance Sheet and Cflow'!Q381</f>
        <v>-9921</v>
      </c>
      <c r="AA75" s="1052">
        <f>'Balance Sheet and Cflow'!R381</f>
        <v>-9063</v>
      </c>
      <c r="AB75" s="1052">
        <f>'Balance Sheet and Cflow'!S381</f>
        <v>-7158</v>
      </c>
      <c r="AC75" s="1052">
        <f>'Balance Sheet and Cflow'!T381</f>
        <v>-7382</v>
      </c>
      <c r="AD75" s="1052">
        <f>'Balance Sheet and Cflow'!V381</f>
        <v>-20387.570799343855</v>
      </c>
      <c r="AE75" s="1052">
        <f>'Balance Sheet and Cflow'!W381</f>
        <v>-10401.935594551464</v>
      </c>
      <c r="AF75" s="1052">
        <f>'Balance Sheet and Cflow'!X381</f>
        <v>-10361.99235565762</v>
      </c>
      <c r="AG75" s="1052">
        <f>'Balance Sheet and Cflow'!Y381</f>
        <v>-10813.115188025306</v>
      </c>
      <c r="AH75" s="1052">
        <f>'Balance Sheet and Cflow'!Z381</f>
        <v>-11283.256908849437</v>
      </c>
      <c r="AI75" s="1052">
        <f>'Balance Sheet and Cflow'!AA381</f>
        <v>-12053.5329260614</v>
      </c>
      <c r="AJ75" s="39"/>
    </row>
    <row r="76" spans="2:40" customFormat="1" ht="14.5">
      <c r="B76" s="1039" t="s">
        <v>1259</v>
      </c>
      <c r="C76" s="1040"/>
      <c r="D76" s="1040"/>
      <c r="E76" s="1040"/>
      <c r="F76" s="1040"/>
      <c r="G76" s="1040"/>
      <c r="H76" s="1040"/>
      <c r="I76" s="1040"/>
      <c r="J76" s="1040"/>
      <c r="K76" s="1040"/>
      <c r="L76" s="1052">
        <f>'Balance Sheet and Cflow'!C382</f>
        <v>0</v>
      </c>
      <c r="M76" s="1052">
        <f>'Balance Sheet and Cflow'!D382</f>
        <v>0</v>
      </c>
      <c r="N76" s="1052">
        <f>'Balance Sheet and Cflow'!E382</f>
        <v>0</v>
      </c>
      <c r="O76" s="1052">
        <f>'Balance Sheet and Cflow'!F382</f>
        <v>0</v>
      </c>
      <c r="P76" s="1052">
        <f>'Balance Sheet and Cflow'!G382</f>
        <v>0</v>
      </c>
      <c r="Q76" s="1052">
        <f>'Balance Sheet and Cflow'!H382</f>
        <v>0</v>
      </c>
      <c r="R76" s="1052">
        <f>'Balance Sheet and Cflow'!I382</f>
        <v>0</v>
      </c>
      <c r="S76" s="1052">
        <f>'Balance Sheet and Cflow'!J382</f>
        <v>0</v>
      </c>
      <c r="T76" s="1052">
        <f>'Balance Sheet and Cflow'!K382</f>
        <v>0</v>
      </c>
      <c r="U76" s="1052">
        <f>'Balance Sheet and Cflow'!L382</f>
        <v>0</v>
      </c>
      <c r="V76" s="1052">
        <f>'Balance Sheet and Cflow'!M382</f>
        <v>0</v>
      </c>
      <c r="W76" s="1052">
        <f>'Balance Sheet and Cflow'!N382</f>
        <v>0</v>
      </c>
      <c r="X76" s="1052">
        <f>'Balance Sheet and Cflow'!O382</f>
        <v>0</v>
      </c>
      <c r="Y76" s="1052">
        <f>'Balance Sheet and Cflow'!P382</f>
        <v>0</v>
      </c>
      <c r="Z76" s="1052">
        <f>'Balance Sheet and Cflow'!Q382</f>
        <v>0</v>
      </c>
      <c r="AA76" s="1052">
        <f>'Balance Sheet and Cflow'!R382</f>
        <v>0</v>
      </c>
      <c r="AB76" s="1052">
        <f>'Balance Sheet and Cflow'!S382</f>
        <v>0</v>
      </c>
      <c r="AC76" s="1052">
        <f>'Balance Sheet and Cflow'!T382</f>
        <v>0</v>
      </c>
      <c r="AD76" s="1052">
        <f>'Balance Sheet and Cflow'!V382</f>
        <v>0</v>
      </c>
      <c r="AE76" s="1052">
        <f>'Balance Sheet and Cflow'!W382</f>
        <v>0</v>
      </c>
      <c r="AF76" s="1052">
        <f>'Balance Sheet and Cflow'!X382</f>
        <v>0</v>
      </c>
      <c r="AG76" s="1052">
        <f>'Balance Sheet and Cflow'!Y382</f>
        <v>0</v>
      </c>
      <c r="AH76" s="1052">
        <f>'Balance Sheet and Cflow'!Z382</f>
        <v>0</v>
      </c>
      <c r="AI76" s="1052">
        <f>'Balance Sheet and Cflow'!AA382</f>
        <v>0</v>
      </c>
      <c r="AJ76" s="39"/>
    </row>
    <row r="77" spans="2:40" customFormat="1" ht="14.5">
      <c r="B77" s="1039" t="s">
        <v>1260</v>
      </c>
      <c r="C77" s="1040"/>
      <c r="D77" s="1040"/>
      <c r="E77" s="1040"/>
      <c r="F77" s="1040"/>
      <c r="G77" s="1040"/>
      <c r="H77" s="1040"/>
      <c r="I77" s="1040"/>
      <c r="J77" s="1040"/>
      <c r="K77" s="1040"/>
      <c r="L77" s="1052">
        <f>'Balance Sheet and Cflow'!C383</f>
        <v>0</v>
      </c>
      <c r="M77" s="1052">
        <f>'Balance Sheet and Cflow'!D383</f>
        <v>0</v>
      </c>
      <c r="N77" s="1052">
        <f>'Balance Sheet and Cflow'!E383</f>
        <v>0</v>
      </c>
      <c r="O77" s="1052">
        <f>'Balance Sheet and Cflow'!F383</f>
        <v>0</v>
      </c>
      <c r="P77" s="1052">
        <f>'Balance Sheet and Cflow'!G383</f>
        <v>0</v>
      </c>
      <c r="Q77" s="1052">
        <f>'Balance Sheet and Cflow'!H383</f>
        <v>0</v>
      </c>
      <c r="R77" s="1052">
        <f>'Balance Sheet and Cflow'!I383</f>
        <v>0</v>
      </c>
      <c r="S77" s="1052">
        <f>'Balance Sheet and Cflow'!J383</f>
        <v>0</v>
      </c>
      <c r="T77" s="1052">
        <f>'Balance Sheet and Cflow'!K383</f>
        <v>0</v>
      </c>
      <c r="U77" s="1052">
        <f>'Balance Sheet and Cflow'!L383</f>
        <v>0</v>
      </c>
      <c r="V77" s="1052">
        <f>'Balance Sheet and Cflow'!M383</f>
        <v>0</v>
      </c>
      <c r="W77" s="1052">
        <f>'Balance Sheet and Cflow'!N383</f>
        <v>0</v>
      </c>
      <c r="X77" s="1052">
        <f>'Balance Sheet and Cflow'!O383</f>
        <v>0</v>
      </c>
      <c r="Y77" s="1052">
        <f>'Balance Sheet and Cflow'!P383</f>
        <v>0</v>
      </c>
      <c r="Z77" s="1052">
        <f>'Balance Sheet and Cflow'!Q383</f>
        <v>0</v>
      </c>
      <c r="AA77" s="1052">
        <f>'Balance Sheet and Cflow'!R383</f>
        <v>0</v>
      </c>
      <c r="AB77" s="1052">
        <f>'Balance Sheet and Cflow'!S383</f>
        <v>0</v>
      </c>
      <c r="AC77" s="1052">
        <f>'Balance Sheet and Cflow'!T383</f>
        <v>0</v>
      </c>
      <c r="AD77" s="1052">
        <f>'Balance Sheet and Cflow'!V383</f>
        <v>0</v>
      </c>
      <c r="AE77" s="1052">
        <f>'Balance Sheet and Cflow'!W383</f>
        <v>0</v>
      </c>
      <c r="AF77" s="1052">
        <f>'Balance Sheet and Cflow'!X383</f>
        <v>0</v>
      </c>
      <c r="AG77" s="1052">
        <f>'Balance Sheet and Cflow'!Y383</f>
        <v>0</v>
      </c>
      <c r="AH77" s="1052">
        <f>'Balance Sheet and Cflow'!Z383</f>
        <v>0</v>
      </c>
      <c r="AI77" s="1052">
        <f>'Balance Sheet and Cflow'!AA383</f>
        <v>0</v>
      </c>
      <c r="AJ77" s="39"/>
    </row>
    <row r="78" spans="2:40" customFormat="1" ht="14.5">
      <c r="B78" s="1039" t="s">
        <v>501</v>
      </c>
      <c r="C78" s="1040"/>
      <c r="D78" s="1040"/>
      <c r="E78" s="1040"/>
      <c r="F78" s="1040"/>
      <c r="G78" s="1040"/>
      <c r="H78" s="1040"/>
      <c r="I78" s="1040"/>
      <c r="J78" s="1040"/>
      <c r="K78" s="1040"/>
      <c r="L78" s="1052">
        <f>'Balance Sheet and Cflow'!C384</f>
        <v>0</v>
      </c>
      <c r="M78" s="1052">
        <f>'Balance Sheet and Cflow'!D384</f>
        <v>0</v>
      </c>
      <c r="N78" s="1052">
        <f>'Balance Sheet and Cflow'!E384</f>
        <v>0</v>
      </c>
      <c r="O78" s="1052">
        <f>'Balance Sheet and Cflow'!F384</f>
        <v>0</v>
      </c>
      <c r="P78" s="1052">
        <f>'Balance Sheet and Cflow'!G384</f>
        <v>0</v>
      </c>
      <c r="Q78" s="1052">
        <f>'Balance Sheet and Cflow'!H384</f>
        <v>0</v>
      </c>
      <c r="R78" s="1052">
        <f>'Balance Sheet and Cflow'!I384</f>
        <v>0</v>
      </c>
      <c r="S78" s="1052">
        <f>'Balance Sheet and Cflow'!J384</f>
        <v>0</v>
      </c>
      <c r="T78" s="1052">
        <f>'Balance Sheet and Cflow'!K384</f>
        <v>0</v>
      </c>
      <c r="U78" s="1052">
        <f>'Balance Sheet and Cflow'!L384</f>
        <v>0</v>
      </c>
      <c r="V78" s="1052">
        <f>'Balance Sheet and Cflow'!M384</f>
        <v>0</v>
      </c>
      <c r="W78" s="1052">
        <f>'Balance Sheet and Cflow'!N384</f>
        <v>0</v>
      </c>
      <c r="X78" s="1052">
        <f>'Balance Sheet and Cflow'!O384</f>
        <v>0</v>
      </c>
      <c r="Y78" s="1052">
        <f>'Balance Sheet and Cflow'!P384</f>
        <v>0</v>
      </c>
      <c r="Z78" s="1052">
        <f>'Balance Sheet and Cflow'!Q384</f>
        <v>0</v>
      </c>
      <c r="AA78" s="1052">
        <f>'Balance Sheet and Cflow'!R384</f>
        <v>0</v>
      </c>
      <c r="AB78" s="1052">
        <f>'Balance Sheet and Cflow'!S384</f>
        <v>0</v>
      </c>
      <c r="AC78" s="1052">
        <f>'Balance Sheet and Cflow'!T384</f>
        <v>0</v>
      </c>
      <c r="AD78" s="1052">
        <f>'Balance Sheet and Cflow'!V384</f>
        <v>0</v>
      </c>
      <c r="AE78" s="1052">
        <f>'Balance Sheet and Cflow'!W384</f>
        <v>0</v>
      </c>
      <c r="AF78" s="1052">
        <f>'Balance Sheet and Cflow'!X384</f>
        <v>0</v>
      </c>
      <c r="AG78" s="1052">
        <f>'Balance Sheet and Cflow'!Y384</f>
        <v>0</v>
      </c>
      <c r="AH78" s="1052">
        <f>'Balance Sheet and Cflow'!Z384</f>
        <v>0</v>
      </c>
      <c r="AI78" s="1052">
        <f>'Balance Sheet and Cflow'!AA384</f>
        <v>0</v>
      </c>
      <c r="AJ78" s="39"/>
    </row>
    <row r="79" spans="2:40" customFormat="1" ht="14.5">
      <c r="B79" s="1041" t="s">
        <v>1075</v>
      </c>
      <c r="C79" s="1042"/>
      <c r="D79" s="1042"/>
      <c r="E79" s="1042"/>
      <c r="F79" s="1042"/>
      <c r="G79" s="1042"/>
      <c r="H79" s="1042"/>
      <c r="I79" s="1042"/>
      <c r="J79" s="1042"/>
      <c r="K79" s="1042"/>
      <c r="L79" s="1053">
        <f>'Balance Sheet and Cflow'!C385</f>
        <v>-3359</v>
      </c>
      <c r="M79" s="1053">
        <f>'Balance Sheet and Cflow'!D385</f>
        <v>-6250</v>
      </c>
      <c r="N79" s="1053">
        <f>'Balance Sheet and Cflow'!E385</f>
        <v>922.30000000000018</v>
      </c>
      <c r="O79" s="1053">
        <f>'Balance Sheet and Cflow'!F385</f>
        <v>3403</v>
      </c>
      <c r="P79" s="1053">
        <f>'Balance Sheet and Cflow'!G385</f>
        <v>2657</v>
      </c>
      <c r="Q79" s="1053">
        <f>'Balance Sheet and Cflow'!H385</f>
        <v>-2128</v>
      </c>
      <c r="R79" s="1053">
        <f>'Balance Sheet and Cflow'!I385</f>
        <v>-163</v>
      </c>
      <c r="S79" s="1053">
        <f>'Balance Sheet and Cflow'!J385</f>
        <v>12837</v>
      </c>
      <c r="T79" s="1053">
        <f>'Balance Sheet and Cflow'!K385</f>
        <v>-5546</v>
      </c>
      <c r="U79" s="1053">
        <f>'Balance Sheet and Cflow'!L385</f>
        <v>2505</v>
      </c>
      <c r="V79" s="1053">
        <f>'Balance Sheet and Cflow'!M385</f>
        <v>3931</v>
      </c>
      <c r="W79" s="1053">
        <f>'Balance Sheet and Cflow'!N385</f>
        <v>4195.1449999999995</v>
      </c>
      <c r="X79" s="1053">
        <f>'Balance Sheet and Cflow'!O385</f>
        <v>-788.48899999999958</v>
      </c>
      <c r="Y79" s="1053">
        <f>'Balance Sheet and Cflow'!P385</f>
        <v>6599.17</v>
      </c>
      <c r="Z79" s="1053">
        <f>'Balance Sheet and Cflow'!Q385</f>
        <v>5635.1869999999981</v>
      </c>
      <c r="AA79" s="1053">
        <f>'Balance Sheet and Cflow'!R385</f>
        <v>5263.5910000000003</v>
      </c>
      <c r="AB79" s="1053">
        <f>'Balance Sheet and Cflow'!S385</f>
        <v>5601.3140000000021</v>
      </c>
      <c r="AC79" s="1053">
        <f>'Balance Sheet and Cflow'!T385</f>
        <v>8162.896999999999</v>
      </c>
      <c r="AD79" s="1053">
        <f>'Balance Sheet and Cflow'!V385</f>
        <v>-642.67475085355545</v>
      </c>
      <c r="AE79" s="1053">
        <f>'Balance Sheet and Cflow'!W385</f>
        <v>11679.022595521479</v>
      </c>
      <c r="AF79" s="1053">
        <f>'Balance Sheet and Cflow'!X385</f>
        <v>13336.452248114625</v>
      </c>
      <c r="AG79" s="1053">
        <f>'Balance Sheet and Cflow'!Y385</f>
        <v>14567.756133986033</v>
      </c>
      <c r="AH79" s="1053">
        <f>'Balance Sheet and Cflow'!Z385</f>
        <v>15042.041579173254</v>
      </c>
      <c r="AI79" s="1053">
        <f>'Balance Sheet and Cflow'!AA385</f>
        <v>15303.953915294986</v>
      </c>
      <c r="AJ79" s="39"/>
    </row>
    <row r="80" spans="2:40" customFormat="1" ht="14.5">
      <c r="B80" s="1039" t="s">
        <v>1076</v>
      </c>
      <c r="C80" s="1043"/>
      <c r="D80" s="1043"/>
      <c r="E80" s="1043"/>
      <c r="F80" s="1043"/>
      <c r="G80" s="1043"/>
      <c r="H80" s="1043"/>
      <c r="I80" s="1043"/>
      <c r="J80" s="1043"/>
      <c r="K80" s="1043"/>
      <c r="L80" s="1054">
        <f>'Balance Sheet and Cflow'!C386</f>
        <v>-643</v>
      </c>
      <c r="M80" s="1054">
        <f>'Balance Sheet and Cflow'!D386</f>
        <v>-1094</v>
      </c>
      <c r="N80" s="1054">
        <f>'Balance Sheet and Cflow'!E386</f>
        <v>-1218.3</v>
      </c>
      <c r="O80" s="1054">
        <f>'Balance Sheet and Cflow'!F386</f>
        <v>-780</v>
      </c>
      <c r="P80" s="1054">
        <f>'Balance Sheet and Cflow'!G386</f>
        <v>-580</v>
      </c>
      <c r="Q80" s="1054">
        <f>'Balance Sheet and Cflow'!H386</f>
        <v>-601</v>
      </c>
      <c r="R80" s="1054">
        <f>'Balance Sheet and Cflow'!I386</f>
        <v>-293</v>
      </c>
      <c r="S80" s="1054">
        <f>'Balance Sheet and Cflow'!J386</f>
        <v>-1346</v>
      </c>
      <c r="T80" s="1054">
        <f>'Balance Sheet and Cflow'!K386</f>
        <v>-1466</v>
      </c>
      <c r="U80" s="1054">
        <f>'Balance Sheet and Cflow'!L386</f>
        <v>-1080</v>
      </c>
      <c r="V80" s="1054">
        <f>'Balance Sheet and Cflow'!M386</f>
        <v>-1295</v>
      </c>
      <c r="W80" s="1054">
        <f>'Balance Sheet and Cflow'!N386</f>
        <v>-1258.701</v>
      </c>
      <c r="X80" s="1054">
        <f>'Balance Sheet and Cflow'!O386</f>
        <v>-2131.413</v>
      </c>
      <c r="Y80" s="1054">
        <f>'Balance Sheet and Cflow'!P386</f>
        <v>-2485.2670000000003</v>
      </c>
      <c r="Z80" s="1054">
        <f>'Balance Sheet and Cflow'!Q386</f>
        <v>-2290.471</v>
      </c>
      <c r="AA80" s="1054">
        <f>'Balance Sheet and Cflow'!R386</f>
        <v>-2664.9569999999999</v>
      </c>
      <c r="AB80" s="1054">
        <f>'Balance Sheet and Cflow'!S386</f>
        <v>-2839.8829999999998</v>
      </c>
      <c r="AC80" s="1054">
        <f>'Balance Sheet and Cflow'!T386</f>
        <v>-3032.5460000000003</v>
      </c>
      <c r="AD80" s="1054">
        <f>'Balance Sheet and Cflow'!V386</f>
        <v>-3085.2438688735665</v>
      </c>
      <c r="AE80" s="1054">
        <f>'Balance Sheet and Cflow'!W386</f>
        <v>-4102.6764453690657</v>
      </c>
      <c r="AF80" s="1054">
        <f>'Balance Sheet and Cflow'!X386</f>
        <v>-4815.4847906609348</v>
      </c>
      <c r="AG80" s="1054">
        <f>'Balance Sheet and Cflow'!Y386</f>
        <v>-4633.3604535720533</v>
      </c>
      <c r="AH80" s="1054">
        <f>'Balance Sheet and Cflow'!Z386</f>
        <v>-4454.8104787029542</v>
      </c>
      <c r="AI80" s="1054">
        <f>'Balance Sheet and Cflow'!AA386</f>
        <v>-4276.9060807905635</v>
      </c>
      <c r="AJ80" s="39"/>
    </row>
    <row r="81" spans="2:40" customFormat="1" ht="14.5">
      <c r="B81" s="1044" t="s">
        <v>1077</v>
      </c>
      <c r="C81" s="1045"/>
      <c r="D81" s="1045"/>
      <c r="E81" s="1045"/>
      <c r="F81" s="1045"/>
      <c r="G81" s="1045"/>
      <c r="H81" s="1045"/>
      <c r="I81" s="1045"/>
      <c r="J81" s="1045"/>
      <c r="K81" s="1045"/>
      <c r="L81" s="1055">
        <f>'Balance Sheet and Cflow'!C387</f>
        <v>0</v>
      </c>
      <c r="M81" s="1055">
        <f>'Balance Sheet and Cflow'!D387</f>
        <v>0</v>
      </c>
      <c r="N81" s="1055">
        <f>'Balance Sheet and Cflow'!E387</f>
        <v>0</v>
      </c>
      <c r="O81" s="1055">
        <f>'Balance Sheet and Cflow'!F387</f>
        <v>0</v>
      </c>
      <c r="P81" s="1055">
        <f>'Balance Sheet and Cflow'!G387</f>
        <v>0</v>
      </c>
      <c r="Q81" s="1055">
        <f>'Balance Sheet and Cflow'!H387</f>
        <v>0</v>
      </c>
      <c r="R81" s="1055">
        <f>'Balance Sheet and Cflow'!I387</f>
        <v>0</v>
      </c>
      <c r="S81" s="1055">
        <f>'Balance Sheet and Cflow'!J387</f>
        <v>0</v>
      </c>
      <c r="T81" s="1055">
        <f>'Balance Sheet and Cflow'!K387</f>
        <v>0</v>
      </c>
      <c r="U81" s="1055">
        <f>'Balance Sheet and Cflow'!L387</f>
        <v>0</v>
      </c>
      <c r="V81" s="1055">
        <f>'Balance Sheet and Cflow'!M387</f>
        <v>0</v>
      </c>
      <c r="W81" s="1055">
        <f>'Balance Sheet and Cflow'!N387</f>
        <v>0</v>
      </c>
      <c r="X81" s="1055">
        <f>'Balance Sheet and Cflow'!O387</f>
        <v>0</v>
      </c>
      <c r="Y81" s="1055">
        <f>'Balance Sheet and Cflow'!P387</f>
        <v>0</v>
      </c>
      <c r="Z81" s="1055">
        <f>'Balance Sheet and Cflow'!Q387</f>
        <v>-3474.7179999999998</v>
      </c>
      <c r="AA81" s="1055">
        <f>'Balance Sheet and Cflow'!R387</f>
        <v>-4162.4189999999999</v>
      </c>
      <c r="AB81" s="1055">
        <f>'Balance Sheet and Cflow'!S387</f>
        <v>-4327.2470000000003</v>
      </c>
      <c r="AC81" s="1055">
        <f>'Balance Sheet and Cflow'!T387</f>
        <v>-4748.17</v>
      </c>
      <c r="AD81" s="1055">
        <f>'Balance Sheet and Cflow'!V387</f>
        <v>-5864.0567080431802</v>
      </c>
      <c r="AE81" s="1055">
        <f>'Balance Sheet and Cflow'!W387</f>
        <v>-6527.778300028217</v>
      </c>
      <c r="AF81" s="1055">
        <f>'Balance Sheet and Cflow'!X387</f>
        <v>-6812.3646935869438</v>
      </c>
      <c r="AG81" s="1055">
        <f>'Balance Sheet and Cflow'!Y387</f>
        <v>-7108.9498627522735</v>
      </c>
      <c r="AH81" s="1055">
        <f>'Balance Sheet and Cflow'!Z387</f>
        <v>-7418.0387666999595</v>
      </c>
      <c r="AI81" s="1055">
        <f>'Balance Sheet and Cflow'!AA387</f>
        <v>-7740.1578084019357</v>
      </c>
      <c r="AJ81" s="39"/>
    </row>
    <row r="82" spans="2:40" customFormat="1" ht="14.5">
      <c r="B82" s="1046" t="s">
        <v>1261</v>
      </c>
      <c r="C82" s="1040"/>
      <c r="D82" s="1040"/>
      <c r="E82" s="1040"/>
      <c r="F82" s="1040"/>
      <c r="G82" s="1040"/>
      <c r="H82" s="1040"/>
      <c r="I82" s="1040"/>
      <c r="J82" s="1040"/>
      <c r="K82" s="1040"/>
      <c r="L82" s="1052">
        <f>'Balance Sheet and Cflow'!C388</f>
        <v>-4002</v>
      </c>
      <c r="M82" s="1052">
        <f>'Balance Sheet and Cflow'!D388</f>
        <v>-7344</v>
      </c>
      <c r="N82" s="1052">
        <f>'Balance Sheet and Cflow'!E388</f>
        <v>-295.99999999999977</v>
      </c>
      <c r="O82" s="1052">
        <f>'Balance Sheet and Cflow'!F388</f>
        <v>2623</v>
      </c>
      <c r="P82" s="1052">
        <f>'Balance Sheet and Cflow'!G388</f>
        <v>2077</v>
      </c>
      <c r="Q82" s="1052">
        <f>'Balance Sheet and Cflow'!H388</f>
        <v>-2729</v>
      </c>
      <c r="R82" s="1052">
        <f>'Balance Sheet and Cflow'!I388</f>
        <v>-456</v>
      </c>
      <c r="S82" s="1052">
        <f>'Balance Sheet and Cflow'!J388</f>
        <v>11491</v>
      </c>
      <c r="T82" s="1052">
        <f>'Balance Sheet and Cflow'!K388</f>
        <v>-7012</v>
      </c>
      <c r="U82" s="1052">
        <f>'Balance Sheet and Cflow'!L388</f>
        <v>1425</v>
      </c>
      <c r="V82" s="1052">
        <f>'Balance Sheet and Cflow'!M388</f>
        <v>2636</v>
      </c>
      <c r="W82" s="1052">
        <f>'Balance Sheet and Cflow'!N388</f>
        <v>2936.4439999999995</v>
      </c>
      <c r="X82" s="1052">
        <f>'Balance Sheet and Cflow'!O388</f>
        <v>-2919.9019999999996</v>
      </c>
      <c r="Y82" s="1052">
        <f>'Balance Sheet and Cflow'!P388</f>
        <v>4113.9030000000002</v>
      </c>
      <c r="Z82" s="1052">
        <f>'Balance Sheet and Cflow'!Q388</f>
        <v>-130.00200000000177</v>
      </c>
      <c r="AA82" s="1052">
        <f>'Balance Sheet and Cflow'!R388</f>
        <v>-1563.7849999999994</v>
      </c>
      <c r="AB82" s="1052">
        <f>'Balance Sheet and Cflow'!S388</f>
        <v>-1565.815999999998</v>
      </c>
      <c r="AC82" s="1052">
        <f>'Balance Sheet and Cflow'!T388</f>
        <v>382.18099999999868</v>
      </c>
      <c r="AD82" s="1052">
        <f>'Balance Sheet and Cflow'!V388</f>
        <v>-9591.9753277703021</v>
      </c>
      <c r="AE82" s="1052">
        <f>'Balance Sheet and Cflow'!W388</f>
        <v>1048.5678501241964</v>
      </c>
      <c r="AF82" s="1052">
        <f>'Balance Sheet and Cflow'!X388</f>
        <v>1708.6027638667474</v>
      </c>
      <c r="AG82" s="1052">
        <f>'Balance Sheet and Cflow'!Y388</f>
        <v>2825.4458176617063</v>
      </c>
      <c r="AH82" s="1052">
        <f>'Balance Sheet and Cflow'!Z388</f>
        <v>3169.1923337703411</v>
      </c>
      <c r="AI82" s="1052">
        <f>'Balance Sheet and Cflow'!AA388</f>
        <v>3286.8900261024855</v>
      </c>
      <c r="AJ82" s="39"/>
    </row>
    <row r="83" spans="2:40" customFormat="1" ht="14.5">
      <c r="B83" s="1039" t="s">
        <v>1078</v>
      </c>
      <c r="C83" s="1040"/>
      <c r="D83" s="1040"/>
      <c r="E83" s="1040"/>
      <c r="F83" s="1040"/>
      <c r="G83" s="1040"/>
      <c r="H83" s="1040"/>
      <c r="I83" s="1040"/>
      <c r="J83" s="1040"/>
      <c r="K83" s="1040"/>
      <c r="L83" s="1052">
        <f>'Balance Sheet and Cflow'!C389</f>
        <v>0</v>
      </c>
      <c r="M83" s="1052">
        <f>'Balance Sheet and Cflow'!D389</f>
        <v>0</v>
      </c>
      <c r="N83" s="1052">
        <f>'Balance Sheet and Cflow'!E389</f>
        <v>0</v>
      </c>
      <c r="O83" s="1052">
        <f>'Balance Sheet and Cflow'!F389</f>
        <v>0</v>
      </c>
      <c r="P83" s="1052">
        <f>'Balance Sheet and Cflow'!G389</f>
        <v>0</v>
      </c>
      <c r="Q83" s="1052">
        <f>'Balance Sheet and Cflow'!H389</f>
        <v>0</v>
      </c>
      <c r="R83" s="1052">
        <f>'Balance Sheet and Cflow'!I389</f>
        <v>0</v>
      </c>
      <c r="S83" s="1052">
        <f>'Balance Sheet and Cflow'!J389</f>
        <v>0</v>
      </c>
      <c r="T83" s="1052">
        <f>'Balance Sheet and Cflow'!K389</f>
        <v>0</v>
      </c>
      <c r="U83" s="1052">
        <f>'Balance Sheet and Cflow'!L389</f>
        <v>0</v>
      </c>
      <c r="V83" s="1052">
        <f>'Balance Sheet and Cflow'!M389</f>
        <v>0</v>
      </c>
      <c r="W83" s="1052">
        <f>'Balance Sheet and Cflow'!N389</f>
        <v>0</v>
      </c>
      <c r="X83" s="1052">
        <f>'Balance Sheet and Cflow'!O389</f>
        <v>0</v>
      </c>
      <c r="Y83" s="1052">
        <f>'Balance Sheet and Cflow'!P389</f>
        <v>0</v>
      </c>
      <c r="Z83" s="1052">
        <f>'Balance Sheet and Cflow'!Q389</f>
        <v>0</v>
      </c>
      <c r="AA83" s="1052">
        <f>'Balance Sheet and Cflow'!R389</f>
        <v>0</v>
      </c>
      <c r="AB83" s="1052">
        <f>'Balance Sheet and Cflow'!S389</f>
        <v>0</v>
      </c>
      <c r="AC83" s="1052">
        <f>'Balance Sheet and Cflow'!T389</f>
        <v>0</v>
      </c>
      <c r="AD83" s="1052">
        <f>'Balance Sheet and Cflow'!V389</f>
        <v>0</v>
      </c>
      <c r="AE83" s="1052">
        <f>'Balance Sheet and Cflow'!W389</f>
        <v>-742.25454545454534</v>
      </c>
      <c r="AF83" s="1052">
        <f>'Balance Sheet and Cflow'!X389</f>
        <v>-742.25454545454534</v>
      </c>
      <c r="AG83" s="1052">
        <f>'Balance Sheet and Cflow'!Y389</f>
        <v>-742.25454545454534</v>
      </c>
      <c r="AH83" s="1052">
        <f>'Balance Sheet and Cflow'!Z389</f>
        <v>-742.25454545454534</v>
      </c>
      <c r="AI83" s="1052">
        <f>'Balance Sheet and Cflow'!AA389</f>
        <v>-742.25454545454534</v>
      </c>
      <c r="AJ83" s="39"/>
    </row>
    <row r="84" spans="2:40" customFormat="1" ht="14.5">
      <c r="B84" s="1037" t="s">
        <v>1079</v>
      </c>
      <c r="C84" s="1047"/>
      <c r="D84" s="1047"/>
      <c r="E84" s="1047"/>
      <c r="F84" s="1047"/>
      <c r="G84" s="1047"/>
      <c r="H84" s="1047"/>
      <c r="I84" s="1047"/>
      <c r="J84" s="1047"/>
      <c r="K84" s="1047"/>
      <c r="L84" s="1056">
        <f>'Balance Sheet and Cflow'!C390</f>
        <v>-4002</v>
      </c>
      <c r="M84" s="1056">
        <f>'Balance Sheet and Cflow'!D390</f>
        <v>-7344</v>
      </c>
      <c r="N84" s="1056">
        <f>'Balance Sheet and Cflow'!E390</f>
        <v>-295.99999999999977</v>
      </c>
      <c r="O84" s="1056">
        <f>'Balance Sheet and Cflow'!F390</f>
        <v>2623</v>
      </c>
      <c r="P84" s="1056">
        <f>'Balance Sheet and Cflow'!G390</f>
        <v>2077</v>
      </c>
      <c r="Q84" s="1056">
        <f>'Balance Sheet and Cflow'!H390</f>
        <v>-2729</v>
      </c>
      <c r="R84" s="1056">
        <f>'Balance Sheet and Cflow'!I390</f>
        <v>-456</v>
      </c>
      <c r="S84" s="1056">
        <f>'Balance Sheet and Cflow'!J390</f>
        <v>11491</v>
      </c>
      <c r="T84" s="1056">
        <f>'Balance Sheet and Cflow'!K390</f>
        <v>-7012</v>
      </c>
      <c r="U84" s="1056">
        <f>'Balance Sheet and Cflow'!L390</f>
        <v>1425</v>
      </c>
      <c r="V84" s="1056">
        <f>'Balance Sheet and Cflow'!M390</f>
        <v>2636</v>
      </c>
      <c r="W84" s="1056">
        <f>'Balance Sheet and Cflow'!N390</f>
        <v>2936.4439999999995</v>
      </c>
      <c r="X84" s="1056">
        <f>'Balance Sheet and Cflow'!O390</f>
        <v>-2919.9019999999996</v>
      </c>
      <c r="Y84" s="1056">
        <f>'Balance Sheet and Cflow'!P390</f>
        <v>4113.9030000000002</v>
      </c>
      <c r="Z84" s="1056">
        <f>'Balance Sheet and Cflow'!Q390</f>
        <v>-130.00200000000177</v>
      </c>
      <c r="AA84" s="1056">
        <f>'Balance Sheet and Cflow'!R390</f>
        <v>-1563.7849999999994</v>
      </c>
      <c r="AB84" s="1056">
        <f>'Balance Sheet and Cflow'!S390</f>
        <v>-1565.815999999998</v>
      </c>
      <c r="AC84" s="1056">
        <f>'Balance Sheet and Cflow'!T390</f>
        <v>382.18099999999868</v>
      </c>
      <c r="AD84" s="1056">
        <f>'Balance Sheet and Cflow'!V390</f>
        <v>-9591.9753277703021</v>
      </c>
      <c r="AE84" s="1056">
        <f>'Balance Sheet and Cflow'!W390</f>
        <v>306.31330466965107</v>
      </c>
      <c r="AF84" s="1056">
        <f>'Balance Sheet and Cflow'!X390</f>
        <v>966.34821841220207</v>
      </c>
      <c r="AG84" s="1056">
        <f>'Balance Sheet and Cflow'!Y390</f>
        <v>2083.1912722071611</v>
      </c>
      <c r="AH84" s="1056">
        <f>'Balance Sheet and Cflow'!Z390</f>
        <v>2426.9377883157958</v>
      </c>
      <c r="AI84" s="1056">
        <f>'Balance Sheet and Cflow'!AA390</f>
        <v>2544.6354806479403</v>
      </c>
      <c r="AJ84" s="39"/>
    </row>
    <row r="85" spans="2:40" customFormat="1" ht="14.5">
      <c r="B85" s="1048"/>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040"/>
      <c r="AB85" s="1040"/>
      <c r="AC85" s="1040"/>
      <c r="AD85" s="1040"/>
      <c r="AE85" s="1040"/>
      <c r="AF85" s="1040"/>
      <c r="AG85" s="1040"/>
      <c r="AH85" s="1040"/>
      <c r="AI85" s="1040"/>
      <c r="AJ85" s="39"/>
    </row>
    <row r="86" spans="2:40" customFormat="1" ht="14.5">
      <c r="B86" s="1039" t="s">
        <v>204</v>
      </c>
      <c r="C86" s="1040"/>
      <c r="D86" s="1040"/>
      <c r="E86" s="1040"/>
      <c r="F86" s="1040"/>
      <c r="G86" s="1040"/>
      <c r="H86" s="1040"/>
      <c r="I86" s="1040"/>
      <c r="J86" s="1040"/>
      <c r="K86" s="1040"/>
      <c r="L86" s="1052">
        <f>'Balance Sheet and Cflow'!C392</f>
        <v>0</v>
      </c>
      <c r="M86" s="1052">
        <f>'Balance Sheet and Cflow'!D392</f>
        <v>0</v>
      </c>
      <c r="N86" s="1052">
        <f>'Balance Sheet and Cflow'!E392</f>
        <v>0</v>
      </c>
      <c r="O86" s="1052">
        <f>'Balance Sheet and Cflow'!F392</f>
        <v>0</v>
      </c>
      <c r="P86" s="1052">
        <f>'Balance Sheet and Cflow'!G392</f>
        <v>0</v>
      </c>
      <c r="Q86" s="1052">
        <f>'Balance Sheet and Cflow'!H392</f>
        <v>0</v>
      </c>
      <c r="R86" s="1052">
        <f>'Balance Sheet and Cflow'!I392</f>
        <v>0</v>
      </c>
      <c r="S86" s="1052">
        <f>'Balance Sheet and Cflow'!J392</f>
        <v>0</v>
      </c>
      <c r="T86" s="1052">
        <f>'Balance Sheet and Cflow'!K392</f>
        <v>0</v>
      </c>
      <c r="U86" s="1052">
        <f>'Balance Sheet and Cflow'!L392</f>
        <v>0</v>
      </c>
      <c r="V86" s="1052">
        <f>'Balance Sheet and Cflow'!M392</f>
        <v>0</v>
      </c>
      <c r="W86" s="1052">
        <f>'Balance Sheet and Cflow'!N392</f>
        <v>0</v>
      </c>
      <c r="X86" s="1052">
        <f>'Balance Sheet and Cflow'!O392</f>
        <v>0</v>
      </c>
      <c r="Y86" s="1052">
        <f>'Balance Sheet and Cflow'!P392</f>
        <v>213.024</v>
      </c>
      <c r="Z86" s="1052">
        <f>'Balance Sheet and Cflow'!Q392</f>
        <v>0</v>
      </c>
      <c r="AA86" s="1052">
        <f>'Balance Sheet and Cflow'!R392</f>
        <v>544.07799999999997</v>
      </c>
      <c r="AB86" s="1052">
        <f>'Balance Sheet and Cflow'!S392</f>
        <v>549.02300000000002</v>
      </c>
      <c r="AC86" s="1052">
        <f>'Balance Sheet and Cflow'!T392</f>
        <v>646.346</v>
      </c>
      <c r="AD86" s="1052">
        <f>'Balance Sheet and Cflow'!V392</f>
        <v>0</v>
      </c>
      <c r="AE86" s="1052">
        <f>'Balance Sheet and Cflow'!W392</f>
        <v>0</v>
      </c>
      <c r="AF86" s="1052">
        <f>'Balance Sheet and Cflow'!X392</f>
        <v>1101.2652651680201</v>
      </c>
      <c r="AG86" s="1052">
        <f>'Balance Sheet and Cflow'!Y392</f>
        <v>2180.0020337892402</v>
      </c>
      <c r="AH86" s="1052">
        <f>'Balance Sheet and Cflow'!Z392</f>
        <v>2785.032813680059</v>
      </c>
      <c r="AI86" s="1052">
        <f>'Balance Sheet and Cflow'!AA392</f>
        <v>3350.6277986943483</v>
      </c>
      <c r="AJ86" s="39"/>
    </row>
    <row r="87" spans="2:40" customFormat="1" ht="14.5">
      <c r="B87" s="1039" t="s">
        <v>1262</v>
      </c>
      <c r="C87" s="1040"/>
      <c r="D87" s="1040"/>
      <c r="E87" s="1040"/>
      <c r="F87" s="1040"/>
      <c r="G87" s="1040"/>
      <c r="H87" s="1040"/>
      <c r="I87" s="1040"/>
      <c r="J87" s="1040"/>
      <c r="K87" s="1040"/>
      <c r="L87" s="1052">
        <f>'Balance Sheet and Cflow'!C393</f>
        <v>0</v>
      </c>
      <c r="M87" s="1052">
        <f>'Balance Sheet and Cflow'!D393</f>
        <v>0</v>
      </c>
      <c r="N87" s="1052">
        <f>'Balance Sheet and Cflow'!E393</f>
        <v>0</v>
      </c>
      <c r="O87" s="1052">
        <f>'Balance Sheet and Cflow'!F393</f>
        <v>0</v>
      </c>
      <c r="P87" s="1052">
        <f>'Balance Sheet and Cflow'!G393</f>
        <v>0</v>
      </c>
      <c r="Q87" s="1052">
        <f>'Balance Sheet and Cflow'!H393</f>
        <v>0</v>
      </c>
      <c r="R87" s="1052">
        <f>'Balance Sheet and Cflow'!I393</f>
        <v>0</v>
      </c>
      <c r="S87" s="1052">
        <f>'Balance Sheet and Cflow'!J393</f>
        <v>0</v>
      </c>
      <c r="T87" s="1052">
        <f>'Balance Sheet and Cflow'!K393</f>
        <v>0</v>
      </c>
      <c r="U87" s="1052">
        <f>'Balance Sheet and Cflow'!L393</f>
        <v>0</v>
      </c>
      <c r="V87" s="1052">
        <f>'Balance Sheet and Cflow'!M393</f>
        <v>0</v>
      </c>
      <c r="W87" s="1052">
        <f>'Balance Sheet and Cflow'!N393</f>
        <v>0</v>
      </c>
      <c r="X87" s="1052">
        <f>'Balance Sheet and Cflow'!O393</f>
        <v>0</v>
      </c>
      <c r="Y87" s="1052">
        <f>'Balance Sheet and Cflow'!P393</f>
        <v>0</v>
      </c>
      <c r="Z87" s="1052">
        <f>'Balance Sheet and Cflow'!Q393</f>
        <v>0</v>
      </c>
      <c r="AA87" s="1052">
        <f>'Balance Sheet and Cflow'!R393</f>
        <v>0</v>
      </c>
      <c r="AB87" s="1052">
        <f>'Balance Sheet and Cflow'!S393</f>
        <v>0</v>
      </c>
      <c r="AC87" s="1052">
        <f>'Balance Sheet and Cflow'!T393</f>
        <v>0</v>
      </c>
      <c r="AD87" s="1052">
        <f>'Balance Sheet and Cflow'!V393</f>
        <v>0</v>
      </c>
      <c r="AE87" s="1052">
        <f>'Balance Sheet and Cflow'!W393</f>
        <v>0</v>
      </c>
      <c r="AF87" s="1052">
        <f>'Balance Sheet and Cflow'!X393</f>
        <v>0</v>
      </c>
      <c r="AG87" s="1052">
        <f>'Balance Sheet and Cflow'!Y393</f>
        <v>0</v>
      </c>
      <c r="AH87" s="1052">
        <f>'Balance Sheet and Cflow'!Z393</f>
        <v>0</v>
      </c>
      <c r="AI87" s="1052">
        <f>'Balance Sheet and Cflow'!AA393</f>
        <v>0</v>
      </c>
      <c r="AJ87" s="39"/>
    </row>
    <row r="88" spans="2:40">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row>
    <row r="89" spans="2:40">
      <c r="B89" s="2" t="s">
        <v>341</v>
      </c>
      <c r="C89" s="30">
        <f>C$2</f>
        <v>1998</v>
      </c>
      <c r="D89" s="30">
        <f t="shared" ref="D89:AN89" si="11">D$2</f>
        <v>1999</v>
      </c>
      <c r="E89" s="30">
        <f t="shared" si="11"/>
        <v>2000</v>
      </c>
      <c r="F89" s="30">
        <f t="shared" si="11"/>
        <v>2001</v>
      </c>
      <c r="G89" s="30">
        <f t="shared" si="11"/>
        <v>2002</v>
      </c>
      <c r="H89" s="30">
        <f t="shared" si="11"/>
        <v>2003</v>
      </c>
      <c r="I89" s="30">
        <f t="shared" si="11"/>
        <v>2004</v>
      </c>
      <c r="J89" s="30">
        <f t="shared" si="11"/>
        <v>2005</v>
      </c>
      <c r="K89" s="30">
        <f t="shared" si="11"/>
        <v>2006</v>
      </c>
      <c r="L89" s="30">
        <f t="shared" si="11"/>
        <v>2007</v>
      </c>
      <c r="M89" s="30">
        <f t="shared" si="11"/>
        <v>2008</v>
      </c>
      <c r="N89" s="30">
        <f t="shared" si="11"/>
        <v>2009</v>
      </c>
      <c r="O89" s="30">
        <f t="shared" si="11"/>
        <v>2010</v>
      </c>
      <c r="P89" s="30">
        <f t="shared" si="11"/>
        <v>2011</v>
      </c>
      <c r="Q89" s="30">
        <f t="shared" si="11"/>
        <v>2012</v>
      </c>
      <c r="R89" s="30">
        <f t="shared" si="11"/>
        <v>2013</v>
      </c>
      <c r="S89" s="30">
        <f t="shared" si="11"/>
        <v>2014</v>
      </c>
      <c r="T89" s="30">
        <f t="shared" si="11"/>
        <v>2015</v>
      </c>
      <c r="U89" s="30">
        <f t="shared" si="11"/>
        <v>2016</v>
      </c>
      <c r="V89" s="30">
        <f t="shared" si="11"/>
        <v>2017</v>
      </c>
      <c r="W89" s="30">
        <f t="shared" si="11"/>
        <v>2018</v>
      </c>
      <c r="X89" s="30">
        <f t="shared" si="11"/>
        <v>2019</v>
      </c>
      <c r="Y89" s="30">
        <f t="shared" si="11"/>
        <v>2020</v>
      </c>
      <c r="Z89" s="30">
        <f t="shared" si="11"/>
        <v>2021</v>
      </c>
      <c r="AA89" s="30">
        <f t="shared" si="11"/>
        <v>2022</v>
      </c>
      <c r="AB89" s="30">
        <f t="shared" si="11"/>
        <v>2023</v>
      </c>
      <c r="AC89" s="30">
        <f t="shared" si="11"/>
        <v>2024</v>
      </c>
      <c r="AD89" s="30">
        <f t="shared" si="11"/>
        <v>2025</v>
      </c>
      <c r="AE89" s="30">
        <f t="shared" si="11"/>
        <v>2026</v>
      </c>
      <c r="AF89" s="30">
        <f t="shared" si="11"/>
        <v>2027</v>
      </c>
      <c r="AG89" s="30">
        <f t="shared" si="11"/>
        <v>2028</v>
      </c>
      <c r="AH89" s="30">
        <f t="shared" si="11"/>
        <v>2029</v>
      </c>
      <c r="AI89" s="30">
        <f t="shared" si="11"/>
        <v>2030</v>
      </c>
      <c r="AJ89" s="30">
        <f t="shared" si="11"/>
        <v>2031</v>
      </c>
      <c r="AK89" s="30">
        <f t="shared" si="11"/>
        <v>2032</v>
      </c>
      <c r="AL89" s="30">
        <f t="shared" si="11"/>
        <v>2033</v>
      </c>
      <c r="AM89" s="30">
        <f t="shared" si="11"/>
        <v>2034</v>
      </c>
      <c r="AN89" s="30">
        <f t="shared" si="11"/>
        <v>2035</v>
      </c>
    </row>
    <row r="90" spans="2:40">
      <c r="B90" s="14" t="s">
        <v>342</v>
      </c>
      <c r="C90" s="15"/>
      <c r="D90" s="15"/>
      <c r="E90" s="13"/>
      <c r="F90" s="13"/>
      <c r="G90" s="13"/>
      <c r="H90" s="13"/>
      <c r="I90" s="13"/>
      <c r="J90" s="13"/>
      <c r="K90" s="13"/>
      <c r="L90" s="13"/>
      <c r="M90" s="13"/>
      <c r="N90" s="13"/>
      <c r="O90" s="6"/>
      <c r="P90" s="6"/>
      <c r="Q90" s="6"/>
      <c r="R90" s="6"/>
      <c r="S90" s="6"/>
      <c r="T90" s="6"/>
      <c r="U90" s="6"/>
      <c r="V90" s="6"/>
      <c r="W90" s="6"/>
      <c r="X90" s="6"/>
      <c r="Y90" s="6"/>
      <c r="Z90" s="6"/>
      <c r="AA90" s="6"/>
      <c r="AB90" s="6"/>
      <c r="AC90" s="8"/>
      <c r="AD90" s="8"/>
      <c r="AE90" s="8"/>
      <c r="AF90" s="8"/>
      <c r="AG90" s="8"/>
      <c r="AH90" s="8"/>
      <c r="AI90" s="8"/>
      <c r="AJ90" s="8"/>
      <c r="AK90" s="8"/>
      <c r="AL90" s="8"/>
      <c r="AM90" s="8"/>
      <c r="AN90" s="8"/>
    </row>
    <row r="91" spans="2:40">
      <c r="B91" s="14" t="s">
        <v>343</v>
      </c>
      <c r="C91" s="15"/>
      <c r="D91" s="15"/>
      <c r="E91" s="13"/>
      <c r="F91" s="13"/>
      <c r="G91" s="13"/>
      <c r="H91" s="13"/>
      <c r="I91" s="13"/>
      <c r="J91" s="13"/>
      <c r="K91" s="13"/>
      <c r="L91" s="13"/>
      <c r="M91" s="13"/>
      <c r="N91" s="13"/>
      <c r="O91" s="6"/>
      <c r="P91" s="6"/>
      <c r="Q91" s="6"/>
      <c r="R91" s="6"/>
      <c r="S91" s="6"/>
      <c r="T91" s="6"/>
      <c r="U91" s="6"/>
      <c r="V91" s="6"/>
      <c r="W91" s="6"/>
      <c r="X91" s="6"/>
      <c r="Y91" s="6"/>
      <c r="Z91" s="6"/>
      <c r="AA91" s="6"/>
      <c r="AB91" s="6"/>
      <c r="AC91" s="8"/>
      <c r="AD91" s="8"/>
      <c r="AE91" s="8"/>
      <c r="AF91" s="8"/>
      <c r="AG91" s="8"/>
      <c r="AH91" s="8"/>
      <c r="AI91" s="8"/>
      <c r="AJ91" s="8"/>
      <c r="AK91" s="8"/>
      <c r="AL91" s="8"/>
      <c r="AM91" s="8"/>
      <c r="AN91" s="8"/>
    </row>
    <row r="92" spans="2:40">
      <c r="B92" s="14" t="s">
        <v>344</v>
      </c>
      <c r="C92" s="15"/>
      <c r="D92" s="15"/>
      <c r="E92" s="13"/>
      <c r="F92" s="13"/>
      <c r="G92" s="13"/>
      <c r="H92" s="13"/>
      <c r="I92" s="13"/>
      <c r="J92" s="13"/>
      <c r="K92" s="13"/>
      <c r="L92" s="13"/>
      <c r="M92" s="13"/>
      <c r="N92" s="13"/>
      <c r="O92" s="6"/>
      <c r="P92" s="6"/>
      <c r="Q92" s="6"/>
      <c r="R92" s="6"/>
      <c r="S92" s="6"/>
      <c r="T92" s="6"/>
      <c r="U92" s="6"/>
      <c r="V92" s="6"/>
      <c r="W92" s="6"/>
      <c r="X92" s="6"/>
      <c r="Y92" s="6"/>
      <c r="Z92" s="6"/>
      <c r="AA92" s="6"/>
      <c r="AB92" s="6"/>
      <c r="AC92" s="8"/>
      <c r="AD92" s="8"/>
      <c r="AE92" s="8"/>
      <c r="AF92" s="8"/>
      <c r="AG92" s="8"/>
      <c r="AH92" s="8"/>
      <c r="AI92" s="8"/>
      <c r="AJ92" s="8"/>
      <c r="AK92" s="8"/>
      <c r="AL92" s="8"/>
      <c r="AM92" s="8"/>
      <c r="AN92" s="8"/>
    </row>
    <row r="93" spans="2:40">
      <c r="B93" s="14" t="s">
        <v>345</v>
      </c>
      <c r="C93" s="15"/>
      <c r="D93" s="15"/>
      <c r="E93" s="13"/>
      <c r="F93" s="13"/>
      <c r="G93" s="13"/>
      <c r="H93" s="13"/>
      <c r="I93" s="13"/>
      <c r="J93" s="13"/>
      <c r="K93" s="13"/>
      <c r="L93" s="13"/>
      <c r="M93" s="13"/>
      <c r="N93" s="13"/>
      <c r="O93" s="6"/>
      <c r="P93" s="6"/>
      <c r="Q93" s="6"/>
      <c r="R93" s="6"/>
      <c r="S93" s="6"/>
      <c r="T93" s="6"/>
      <c r="U93" s="6"/>
      <c r="V93" s="6"/>
      <c r="W93" s="6"/>
      <c r="X93" s="6"/>
      <c r="Y93" s="6"/>
      <c r="Z93" s="6"/>
      <c r="AA93" s="6"/>
      <c r="AB93" s="6"/>
      <c r="AC93" s="8"/>
      <c r="AD93" s="8"/>
      <c r="AE93" s="8"/>
      <c r="AF93" s="8"/>
      <c r="AG93" s="8"/>
      <c r="AH93" s="8"/>
      <c r="AI93" s="8"/>
      <c r="AJ93" s="8"/>
      <c r="AK93" s="8"/>
      <c r="AL93" s="8"/>
      <c r="AM93" s="8"/>
      <c r="AN93" s="8"/>
    </row>
    <row r="94" spans="2:40">
      <c r="B94" s="14" t="s">
        <v>346</v>
      </c>
      <c r="C94" s="15"/>
      <c r="D94" s="15"/>
      <c r="E94" s="13"/>
      <c r="F94" s="13"/>
      <c r="G94" s="13"/>
      <c r="H94" s="13"/>
      <c r="I94" s="13"/>
      <c r="J94" s="13"/>
      <c r="K94" s="13"/>
      <c r="L94" s="13"/>
      <c r="M94" s="13"/>
      <c r="N94" s="13"/>
      <c r="O94" s="6"/>
      <c r="P94" s="6"/>
      <c r="Q94" s="6"/>
      <c r="R94" s="6"/>
      <c r="S94" s="6"/>
      <c r="T94" s="6"/>
      <c r="U94" s="6"/>
      <c r="V94" s="6"/>
      <c r="W94" s="6"/>
      <c r="X94" s="6"/>
      <c r="Y94" s="6"/>
      <c r="Z94" s="6"/>
      <c r="AA94" s="6"/>
      <c r="AB94" s="6"/>
      <c r="AC94" s="8"/>
      <c r="AD94" s="8"/>
      <c r="AE94" s="8"/>
      <c r="AF94" s="8"/>
      <c r="AG94" s="8"/>
      <c r="AH94" s="8"/>
      <c r="AI94" s="8"/>
      <c r="AJ94" s="8"/>
      <c r="AK94" s="8"/>
      <c r="AL94" s="8"/>
      <c r="AM94" s="8"/>
      <c r="AN94" s="8"/>
    </row>
    <row r="95" spans="2:40">
      <c r="B95" s="14" t="s">
        <v>347</v>
      </c>
      <c r="C95" s="15"/>
      <c r="D95" s="15"/>
      <c r="E95" s="13"/>
      <c r="F95" s="13"/>
      <c r="G95" s="13"/>
      <c r="H95" s="13"/>
      <c r="I95" s="13"/>
      <c r="J95" s="13"/>
      <c r="K95" s="13"/>
      <c r="L95" s="13"/>
      <c r="M95" s="13"/>
      <c r="N95" s="13"/>
      <c r="O95" s="6"/>
      <c r="P95" s="6"/>
      <c r="Q95" s="6"/>
      <c r="R95" s="6"/>
      <c r="S95" s="6"/>
      <c r="T95" s="6"/>
      <c r="U95" s="6"/>
      <c r="V95" s="6"/>
      <c r="W95" s="6"/>
      <c r="X95" s="6"/>
      <c r="Y95" s="6"/>
      <c r="Z95" s="6"/>
      <c r="AA95" s="6"/>
      <c r="AB95" s="6"/>
      <c r="AC95" s="8"/>
      <c r="AD95" s="8"/>
      <c r="AE95" s="8"/>
      <c r="AF95" s="8"/>
      <c r="AG95" s="8"/>
      <c r="AH95" s="8"/>
      <c r="AI95" s="8"/>
      <c r="AJ95" s="8"/>
      <c r="AK95" s="8"/>
      <c r="AL95" s="8"/>
      <c r="AM95" s="8"/>
      <c r="AN95" s="8"/>
    </row>
    <row r="96" spans="2:40">
      <c r="B96" s="14" t="s">
        <v>348</v>
      </c>
      <c r="C96" s="15"/>
      <c r="D96" s="15"/>
      <c r="E96" s="13"/>
      <c r="F96" s="13"/>
      <c r="G96" s="13"/>
      <c r="H96" s="13"/>
      <c r="I96" s="13"/>
      <c r="J96" s="13"/>
      <c r="K96" s="13"/>
      <c r="L96" s="13"/>
      <c r="M96" s="13"/>
      <c r="N96" s="13"/>
      <c r="O96" s="6"/>
      <c r="P96" s="6"/>
      <c r="Q96" s="6"/>
      <c r="R96" s="6"/>
      <c r="S96" s="6"/>
      <c r="T96" s="6"/>
      <c r="U96" s="6"/>
      <c r="V96" s="6"/>
      <c r="W96" s="6"/>
      <c r="X96" s="6"/>
      <c r="Y96" s="6"/>
      <c r="Z96" s="6"/>
      <c r="AA96" s="6"/>
      <c r="AB96" s="6"/>
      <c r="AC96" s="8"/>
      <c r="AD96" s="8"/>
      <c r="AE96" s="8"/>
      <c r="AF96" s="8"/>
      <c r="AG96" s="8"/>
      <c r="AH96" s="8"/>
      <c r="AI96" s="8"/>
      <c r="AJ96" s="8"/>
      <c r="AK96" s="8"/>
      <c r="AL96" s="8"/>
      <c r="AM96" s="8"/>
      <c r="AN96" s="8"/>
    </row>
    <row r="97" spans="2:40">
      <c r="B97" s="14" t="s">
        <v>349</v>
      </c>
      <c r="C97" s="15"/>
      <c r="D97" s="15"/>
      <c r="E97" s="13"/>
      <c r="F97" s="13"/>
      <c r="G97" s="13"/>
      <c r="H97" s="13"/>
      <c r="I97" s="13"/>
      <c r="J97" s="13"/>
      <c r="K97" s="13"/>
      <c r="L97" s="13"/>
      <c r="M97" s="13"/>
      <c r="N97" s="13"/>
      <c r="O97" s="6"/>
      <c r="P97" s="6"/>
      <c r="Q97" s="6"/>
      <c r="R97" s="6"/>
      <c r="S97" s="6"/>
      <c r="T97" s="6"/>
      <c r="U97" s="6"/>
      <c r="V97" s="6"/>
      <c r="W97" s="6"/>
      <c r="X97" s="6"/>
      <c r="Y97" s="6"/>
      <c r="Z97" s="6"/>
      <c r="AA97" s="6"/>
      <c r="AB97" s="6"/>
      <c r="AC97" s="8"/>
      <c r="AD97" s="8"/>
      <c r="AE97" s="8"/>
      <c r="AF97" s="8"/>
      <c r="AG97" s="8"/>
      <c r="AH97" s="8"/>
      <c r="AI97" s="8"/>
      <c r="AJ97" s="8"/>
      <c r="AK97" s="8"/>
      <c r="AL97" s="8"/>
      <c r="AM97" s="8"/>
      <c r="AN97" s="8"/>
    </row>
    <row r="98" spans="2:40">
      <c r="B98" s="14" t="s">
        <v>350</v>
      </c>
      <c r="C98" s="15"/>
      <c r="D98" s="15"/>
      <c r="E98" s="13"/>
      <c r="F98" s="13"/>
      <c r="G98" s="13"/>
      <c r="H98" s="13"/>
      <c r="I98" s="13"/>
      <c r="J98" s="13"/>
      <c r="K98" s="13"/>
      <c r="L98" s="13"/>
      <c r="M98" s="13"/>
      <c r="N98" s="13"/>
      <c r="O98" s="6"/>
      <c r="P98" s="6"/>
      <c r="Q98" s="6"/>
      <c r="R98" s="6"/>
      <c r="S98" s="6"/>
      <c r="T98" s="6"/>
      <c r="U98" s="6"/>
      <c r="V98" s="6"/>
      <c r="W98" s="6"/>
      <c r="X98" s="6"/>
      <c r="Y98" s="6"/>
      <c r="Z98" s="6"/>
      <c r="AA98" s="6"/>
      <c r="AB98" s="6"/>
      <c r="AC98" s="8"/>
      <c r="AD98" s="8"/>
      <c r="AE98" s="8"/>
      <c r="AF98" s="8"/>
      <c r="AG98" s="8"/>
      <c r="AH98" s="8"/>
      <c r="AI98" s="8"/>
      <c r="AJ98" s="8"/>
      <c r="AK98" s="8"/>
      <c r="AL98" s="8"/>
      <c r="AM98" s="8"/>
      <c r="AN98" s="8"/>
    </row>
    <row r="99" spans="2:40">
      <c r="B99" s="14" t="s">
        <v>351</v>
      </c>
      <c r="C99" s="15"/>
      <c r="D99" s="15"/>
      <c r="E99" s="13"/>
      <c r="F99" s="13"/>
      <c r="G99" s="13"/>
      <c r="H99" s="13"/>
      <c r="I99" s="13"/>
      <c r="J99" s="13"/>
      <c r="K99" s="13"/>
      <c r="L99" s="13"/>
      <c r="M99" s="13"/>
      <c r="N99" s="13"/>
      <c r="O99" s="6"/>
      <c r="P99" s="6"/>
      <c r="Q99" s="6"/>
      <c r="R99" s="6"/>
      <c r="S99" s="6"/>
      <c r="T99" s="6"/>
      <c r="U99" s="6"/>
      <c r="V99" s="6"/>
      <c r="W99" s="6"/>
      <c r="X99" s="6"/>
      <c r="Y99" s="6"/>
      <c r="Z99" s="6"/>
      <c r="AA99" s="6"/>
      <c r="AB99" s="6"/>
      <c r="AC99" s="8"/>
      <c r="AD99" s="8"/>
      <c r="AE99" s="8"/>
      <c r="AF99" s="8"/>
      <c r="AG99" s="8"/>
      <c r="AH99" s="8"/>
      <c r="AI99" s="8"/>
      <c r="AJ99" s="8"/>
      <c r="AK99" s="8"/>
      <c r="AL99" s="8"/>
      <c r="AM99" s="8"/>
      <c r="AN99" s="8"/>
    </row>
    <row r="100" spans="2:40">
      <c r="B100" s="14" t="s">
        <v>352</v>
      </c>
      <c r="C100" s="15"/>
      <c r="D100" s="15"/>
      <c r="E100" s="13"/>
      <c r="F100" s="13"/>
      <c r="G100" s="13"/>
      <c r="H100" s="13"/>
      <c r="I100" s="13"/>
      <c r="J100" s="13"/>
      <c r="K100" s="13"/>
      <c r="L100" s="13"/>
      <c r="M100" s="13"/>
      <c r="N100" s="13"/>
      <c r="O100" s="6"/>
      <c r="P100" s="6"/>
      <c r="Q100" s="6"/>
      <c r="R100" s="6"/>
      <c r="S100" s="6"/>
      <c r="T100" s="6"/>
      <c r="U100" s="6"/>
      <c r="V100" s="6"/>
      <c r="W100" s="6"/>
      <c r="X100" s="6"/>
      <c r="Y100" s="6"/>
      <c r="Z100" s="6"/>
      <c r="AA100" s="6"/>
      <c r="AB100" s="6"/>
      <c r="AC100" s="8"/>
      <c r="AD100" s="8"/>
      <c r="AE100" s="8"/>
      <c r="AF100" s="8"/>
      <c r="AG100" s="8"/>
      <c r="AH100" s="8"/>
      <c r="AI100" s="8"/>
      <c r="AJ100" s="8"/>
      <c r="AK100" s="8"/>
      <c r="AL100" s="8"/>
      <c r="AM100" s="8"/>
      <c r="AN100" s="8"/>
    </row>
    <row r="101" spans="2:40">
      <c r="B101" s="14" t="s">
        <v>175</v>
      </c>
      <c r="C101" s="15"/>
      <c r="D101" s="15"/>
      <c r="E101" s="13"/>
      <c r="F101" s="13"/>
      <c r="G101" s="13"/>
      <c r="H101" s="13"/>
      <c r="I101" s="13"/>
      <c r="J101" s="13"/>
      <c r="K101" s="13"/>
      <c r="L101" s="13"/>
      <c r="M101" s="13"/>
      <c r="N101" s="13"/>
      <c r="O101" s="6"/>
      <c r="P101" s="6"/>
      <c r="Q101" s="6"/>
      <c r="R101" s="6"/>
      <c r="S101" s="6"/>
      <c r="T101" s="6"/>
      <c r="U101" s="6"/>
      <c r="V101" s="6"/>
      <c r="W101" s="6"/>
      <c r="X101" s="6"/>
      <c r="Y101" s="6"/>
      <c r="Z101" s="6"/>
      <c r="AA101" s="6"/>
      <c r="AB101" s="6"/>
      <c r="AC101" s="8"/>
      <c r="AD101" s="8"/>
      <c r="AE101" s="8"/>
      <c r="AF101" s="8"/>
      <c r="AG101" s="8"/>
      <c r="AH101" s="8"/>
      <c r="AI101" s="8"/>
      <c r="AJ101" s="8"/>
      <c r="AK101" s="8"/>
      <c r="AL101" s="8"/>
      <c r="AM101" s="8"/>
      <c r="AN101" s="8"/>
    </row>
    <row r="102" spans="2:40">
      <c r="B102" s="14" t="s">
        <v>353</v>
      </c>
      <c r="C102" s="15"/>
      <c r="D102" s="15"/>
      <c r="E102" s="13"/>
      <c r="F102" s="13"/>
      <c r="G102" s="13"/>
      <c r="H102" s="13"/>
      <c r="I102" s="13"/>
      <c r="J102" s="13"/>
      <c r="K102" s="13"/>
      <c r="L102" s="13"/>
      <c r="M102" s="13"/>
      <c r="N102" s="13"/>
      <c r="O102" s="6"/>
      <c r="P102" s="6"/>
      <c r="Q102" s="6"/>
      <c r="R102" s="6"/>
      <c r="S102" s="6"/>
      <c r="T102" s="6"/>
      <c r="U102" s="6"/>
      <c r="V102" s="6"/>
      <c r="W102" s="6"/>
      <c r="X102" s="6"/>
      <c r="Y102" s="6"/>
      <c r="Z102" s="6"/>
      <c r="AA102" s="6"/>
      <c r="AB102" s="6"/>
      <c r="AC102" s="8"/>
      <c r="AD102" s="8"/>
      <c r="AE102" s="8"/>
      <c r="AF102" s="8"/>
      <c r="AG102" s="8"/>
      <c r="AH102" s="8"/>
      <c r="AI102" s="8"/>
      <c r="AJ102" s="8"/>
      <c r="AK102" s="8"/>
      <c r="AL102" s="8"/>
      <c r="AM102" s="8"/>
      <c r="AN102" s="8"/>
    </row>
    <row r="103" spans="2:40">
      <c r="B103" s="14" t="s">
        <v>150</v>
      </c>
      <c r="C103" s="15"/>
      <c r="D103" s="15"/>
      <c r="E103" s="13"/>
      <c r="F103" s="13"/>
      <c r="G103" s="13"/>
      <c r="H103" s="13"/>
      <c r="I103" s="13"/>
      <c r="J103" s="13"/>
      <c r="K103" s="13"/>
      <c r="L103" s="13"/>
      <c r="M103" s="13"/>
      <c r="N103" s="13"/>
      <c r="O103" s="6"/>
      <c r="P103" s="6"/>
      <c r="Q103" s="6"/>
      <c r="R103" s="6"/>
      <c r="S103" s="6"/>
      <c r="T103" s="6"/>
      <c r="U103" s="6"/>
      <c r="V103" s="6"/>
      <c r="W103" s="6"/>
      <c r="X103" s="6"/>
      <c r="Y103" s="6"/>
      <c r="Z103" s="6"/>
      <c r="AA103" s="6"/>
      <c r="AB103" s="6"/>
      <c r="AC103" s="8"/>
      <c r="AD103" s="8"/>
      <c r="AE103" s="8"/>
      <c r="AF103" s="8"/>
      <c r="AG103" s="8"/>
      <c r="AH103" s="8"/>
      <c r="AI103" s="8"/>
      <c r="AJ103" s="8"/>
      <c r="AK103" s="8"/>
      <c r="AL103" s="8"/>
      <c r="AM103" s="8"/>
      <c r="AN103" s="8"/>
    </row>
    <row r="104" spans="2:40">
      <c r="B104" s="14" t="s">
        <v>354</v>
      </c>
      <c r="C104" s="15"/>
      <c r="D104" s="15"/>
      <c r="E104" s="13"/>
      <c r="F104" s="13"/>
      <c r="G104" s="13"/>
      <c r="H104" s="13"/>
      <c r="I104" s="13"/>
      <c r="J104" s="13"/>
      <c r="K104" s="13"/>
      <c r="L104" s="13"/>
      <c r="M104" s="13"/>
      <c r="N104" s="13"/>
      <c r="O104" s="6"/>
      <c r="P104" s="6"/>
      <c r="Q104" s="6"/>
      <c r="R104" s="6"/>
      <c r="S104" s="6"/>
      <c r="T104" s="6"/>
      <c r="U104" s="6"/>
      <c r="V104" s="6"/>
      <c r="W104" s="6"/>
      <c r="X104" s="6"/>
      <c r="Y104" s="6"/>
      <c r="Z104" s="6"/>
      <c r="AA104" s="6"/>
      <c r="AB104" s="6"/>
      <c r="AC104" s="8"/>
      <c r="AD104" s="8"/>
      <c r="AE104" s="8"/>
      <c r="AF104" s="8"/>
      <c r="AG104" s="8"/>
      <c r="AH104" s="8"/>
      <c r="AI104" s="8"/>
      <c r="AJ104" s="8"/>
      <c r="AK104" s="8"/>
      <c r="AL104" s="8"/>
      <c r="AM104" s="8"/>
      <c r="AN104" s="8"/>
    </row>
    <row r="105" spans="2:40">
      <c r="B105" s="14" t="s">
        <v>355</v>
      </c>
      <c r="C105" s="15"/>
      <c r="D105" s="15"/>
      <c r="E105" s="13"/>
      <c r="F105" s="13"/>
      <c r="G105" s="13"/>
      <c r="H105" s="13"/>
      <c r="I105" s="13"/>
      <c r="J105" s="13"/>
      <c r="K105" s="13"/>
      <c r="L105" s="13"/>
      <c r="M105" s="13"/>
      <c r="N105" s="13"/>
      <c r="O105" s="6"/>
      <c r="P105" s="6"/>
      <c r="Q105" s="6"/>
      <c r="R105" s="6"/>
      <c r="S105" s="6"/>
      <c r="T105" s="6"/>
      <c r="U105" s="6"/>
      <c r="V105" s="6"/>
      <c r="W105" s="6"/>
      <c r="X105" s="6"/>
      <c r="Y105" s="6"/>
      <c r="Z105" s="6"/>
      <c r="AA105" s="6"/>
      <c r="AB105" s="6"/>
      <c r="AC105" s="8"/>
      <c r="AD105" s="8"/>
      <c r="AE105" s="8"/>
      <c r="AF105" s="8"/>
      <c r="AG105" s="8"/>
      <c r="AH105" s="8"/>
      <c r="AI105" s="8"/>
      <c r="AJ105" s="8"/>
      <c r="AK105" s="8"/>
      <c r="AL105" s="8"/>
      <c r="AM105" s="8"/>
      <c r="AN105" s="8"/>
    </row>
    <row r="106" spans="2:40">
      <c r="B106" s="14" t="s">
        <v>2</v>
      </c>
      <c r="C106" s="15"/>
      <c r="D106" s="15"/>
      <c r="E106" s="13"/>
      <c r="F106" s="13"/>
      <c r="G106" s="13"/>
      <c r="H106" s="13"/>
      <c r="I106" s="13"/>
      <c r="J106" s="13"/>
      <c r="K106" s="13"/>
      <c r="L106" s="13"/>
      <c r="M106" s="13"/>
      <c r="N106" s="13"/>
      <c r="O106" s="6"/>
      <c r="P106" s="6"/>
      <c r="Q106" s="6"/>
      <c r="R106" s="6"/>
      <c r="S106" s="6"/>
      <c r="T106" s="6"/>
      <c r="U106" s="6"/>
      <c r="V106" s="6"/>
      <c r="W106" s="6"/>
      <c r="X106" s="6"/>
      <c r="Y106" s="6"/>
      <c r="Z106" s="6"/>
      <c r="AA106" s="6"/>
      <c r="AB106" s="6"/>
      <c r="AC106" s="8"/>
      <c r="AD106" s="8"/>
      <c r="AE106" s="8"/>
      <c r="AF106" s="8"/>
      <c r="AG106" s="8"/>
      <c r="AH106" s="8"/>
      <c r="AI106" s="8"/>
      <c r="AJ106" s="8"/>
      <c r="AK106" s="8"/>
      <c r="AL106" s="8"/>
      <c r="AM106" s="8"/>
      <c r="AN106" s="8"/>
    </row>
    <row r="107" spans="2:40">
      <c r="B107" s="14" t="s">
        <v>356</v>
      </c>
      <c r="C107" s="15"/>
      <c r="D107" s="15"/>
      <c r="E107" s="13"/>
      <c r="F107" s="13"/>
      <c r="G107" s="13"/>
      <c r="H107" s="13"/>
      <c r="I107" s="13"/>
      <c r="J107" s="13"/>
      <c r="K107" s="13"/>
      <c r="L107" s="13"/>
      <c r="M107" s="13"/>
      <c r="N107" s="13"/>
      <c r="O107" s="6"/>
      <c r="P107" s="6"/>
      <c r="Q107" s="6"/>
      <c r="R107" s="6"/>
      <c r="S107" s="6"/>
      <c r="T107" s="6"/>
      <c r="U107" s="6"/>
      <c r="V107" s="6"/>
      <c r="W107" s="6"/>
      <c r="X107" s="6"/>
      <c r="Y107" s="6"/>
      <c r="Z107" s="6"/>
      <c r="AA107" s="6"/>
      <c r="AB107" s="6"/>
      <c r="AC107" s="8"/>
      <c r="AD107" s="8"/>
      <c r="AE107" s="8"/>
      <c r="AF107" s="8"/>
      <c r="AG107" s="8"/>
      <c r="AH107" s="8"/>
      <c r="AI107" s="8"/>
      <c r="AJ107" s="8"/>
      <c r="AK107" s="8"/>
      <c r="AL107" s="8"/>
      <c r="AM107" s="8"/>
      <c r="AN107" s="8"/>
    </row>
    <row r="108" spans="2:40">
      <c r="B108" s="14" t="s">
        <v>357</v>
      </c>
      <c r="C108" s="15"/>
      <c r="D108" s="15"/>
      <c r="E108" s="13"/>
      <c r="F108" s="13"/>
      <c r="G108" s="13"/>
      <c r="H108" s="13"/>
      <c r="I108" s="13"/>
      <c r="J108" s="13"/>
      <c r="K108" s="13"/>
      <c r="L108" s="13"/>
      <c r="M108" s="13"/>
      <c r="N108" s="13"/>
      <c r="O108" s="6"/>
      <c r="P108" s="6"/>
      <c r="Q108" s="6"/>
      <c r="R108" s="6"/>
      <c r="S108" s="6"/>
      <c r="T108" s="6"/>
      <c r="U108" s="6"/>
      <c r="V108" s="6"/>
      <c r="W108" s="6"/>
      <c r="X108" s="6"/>
      <c r="Y108" s="6"/>
      <c r="Z108" s="6"/>
      <c r="AA108" s="6"/>
      <c r="AB108" s="6"/>
      <c r="AC108" s="8"/>
      <c r="AD108" s="8"/>
      <c r="AE108" s="8"/>
      <c r="AF108" s="8"/>
      <c r="AG108" s="8"/>
      <c r="AH108" s="8"/>
      <c r="AI108" s="8"/>
      <c r="AJ108" s="8"/>
      <c r="AK108" s="8"/>
      <c r="AL108" s="8"/>
      <c r="AM108" s="8"/>
      <c r="AN108" s="8"/>
    </row>
    <row r="109" spans="2:40">
      <c r="B109" s="14" t="s">
        <v>358</v>
      </c>
      <c r="C109" s="15"/>
      <c r="D109" s="15"/>
      <c r="E109" s="13"/>
      <c r="F109" s="13"/>
      <c r="G109" s="13"/>
      <c r="H109" s="13"/>
      <c r="I109" s="13"/>
      <c r="J109" s="13"/>
      <c r="K109" s="13"/>
      <c r="L109" s="13"/>
      <c r="M109" s="13"/>
      <c r="N109" s="13"/>
      <c r="O109" s="6"/>
      <c r="P109" s="6"/>
      <c r="Q109" s="6"/>
      <c r="R109" s="6"/>
      <c r="S109" s="6"/>
      <c r="T109" s="6"/>
      <c r="U109" s="6"/>
      <c r="V109" s="6"/>
      <c r="W109" s="6"/>
      <c r="X109" s="6"/>
      <c r="Y109" s="6"/>
      <c r="Z109" s="6"/>
      <c r="AA109" s="6"/>
      <c r="AB109" s="6"/>
      <c r="AC109" s="8"/>
      <c r="AD109" s="8"/>
      <c r="AE109" s="8"/>
      <c r="AF109" s="8"/>
      <c r="AG109" s="8"/>
      <c r="AH109" s="8"/>
      <c r="AI109" s="8"/>
      <c r="AJ109" s="8"/>
      <c r="AK109" s="8"/>
      <c r="AL109" s="8"/>
      <c r="AM109" s="8"/>
      <c r="AN109" s="8"/>
    </row>
    <row r="110" spans="2:40">
      <c r="B110" s="14" t="s">
        <v>359</v>
      </c>
      <c r="C110" s="15"/>
      <c r="D110" s="15"/>
      <c r="E110" s="13"/>
      <c r="F110" s="13"/>
      <c r="G110" s="13"/>
      <c r="H110" s="13"/>
      <c r="I110" s="13"/>
      <c r="J110" s="13"/>
      <c r="K110" s="13"/>
      <c r="L110" s="13"/>
      <c r="M110" s="13"/>
      <c r="N110" s="13"/>
      <c r="O110" s="6"/>
      <c r="P110" s="6"/>
      <c r="Q110" s="6"/>
      <c r="R110" s="6"/>
      <c r="S110" s="6"/>
      <c r="T110" s="6"/>
      <c r="U110" s="6"/>
      <c r="V110" s="6"/>
      <c r="W110" s="6"/>
      <c r="X110" s="6"/>
      <c r="Y110" s="6"/>
      <c r="Z110" s="6"/>
      <c r="AA110" s="6"/>
      <c r="AB110" s="6"/>
      <c r="AC110" s="8"/>
      <c r="AD110" s="8"/>
      <c r="AE110" s="8"/>
      <c r="AF110" s="8"/>
      <c r="AG110" s="8"/>
      <c r="AH110" s="8"/>
      <c r="AI110" s="8"/>
      <c r="AJ110" s="8"/>
      <c r="AK110" s="8"/>
      <c r="AL110" s="8"/>
      <c r="AM110" s="8"/>
      <c r="AN110" s="8"/>
    </row>
    <row r="111" spans="2:40">
      <c r="B111" s="14" t="s">
        <v>360</v>
      </c>
      <c r="C111" s="15"/>
      <c r="D111" s="15"/>
      <c r="E111" s="13"/>
      <c r="F111" s="13"/>
      <c r="G111" s="13"/>
      <c r="H111" s="13"/>
      <c r="I111" s="13"/>
      <c r="J111" s="13"/>
      <c r="K111" s="13"/>
      <c r="L111" s="13"/>
      <c r="M111" s="13"/>
      <c r="N111" s="13"/>
      <c r="O111" s="6"/>
      <c r="P111" s="6"/>
      <c r="Q111" s="6"/>
      <c r="R111" s="6"/>
      <c r="S111" s="6"/>
      <c r="T111" s="6"/>
      <c r="U111" s="6"/>
      <c r="V111" s="6"/>
      <c r="W111" s="6"/>
      <c r="X111" s="6"/>
      <c r="Y111" s="6"/>
      <c r="Z111" s="6"/>
      <c r="AA111" s="6"/>
      <c r="AB111" s="6"/>
      <c r="AC111" s="8"/>
      <c r="AD111" s="8"/>
      <c r="AE111" s="8"/>
      <c r="AF111" s="8"/>
      <c r="AG111" s="8"/>
      <c r="AH111" s="8"/>
      <c r="AI111" s="8"/>
      <c r="AJ111" s="8"/>
      <c r="AK111" s="8"/>
      <c r="AL111" s="8"/>
      <c r="AM111" s="8"/>
      <c r="AN111" s="8"/>
    </row>
    <row r="112" spans="2:40">
      <c r="B112" s="14" t="s">
        <v>361</v>
      </c>
      <c r="C112" s="15"/>
      <c r="D112" s="15"/>
      <c r="E112" s="13"/>
      <c r="F112" s="13"/>
      <c r="G112" s="13"/>
      <c r="H112" s="13"/>
      <c r="I112" s="13"/>
      <c r="J112" s="13"/>
      <c r="K112" s="13"/>
      <c r="L112" s="13"/>
      <c r="M112" s="13"/>
      <c r="N112" s="13"/>
      <c r="O112" s="6"/>
      <c r="P112" s="6"/>
      <c r="Q112" s="6"/>
      <c r="R112" s="6"/>
      <c r="S112" s="6"/>
      <c r="T112" s="6"/>
      <c r="U112" s="6"/>
      <c r="V112" s="6"/>
      <c r="W112" s="6"/>
      <c r="X112" s="6"/>
      <c r="Y112" s="6"/>
      <c r="Z112" s="6"/>
      <c r="AA112" s="6"/>
      <c r="AB112" s="6"/>
      <c r="AC112" s="8"/>
      <c r="AD112" s="8"/>
      <c r="AE112" s="8"/>
      <c r="AF112" s="8"/>
      <c r="AG112" s="8"/>
      <c r="AH112" s="8"/>
      <c r="AI112" s="8"/>
      <c r="AJ112" s="8"/>
      <c r="AK112" s="8"/>
      <c r="AL112" s="8"/>
      <c r="AM112" s="8"/>
      <c r="AN112" s="8"/>
    </row>
    <row r="113" spans="2:40">
      <c r="B113" s="14" t="s">
        <v>362</v>
      </c>
      <c r="C113" s="15"/>
      <c r="D113" s="15"/>
      <c r="E113" s="13"/>
      <c r="F113" s="13"/>
      <c r="G113" s="13"/>
      <c r="H113" s="13"/>
      <c r="I113" s="13"/>
      <c r="J113" s="13"/>
      <c r="K113" s="13"/>
      <c r="L113" s="13"/>
      <c r="M113" s="13"/>
      <c r="N113" s="13"/>
      <c r="O113" s="6"/>
      <c r="P113" s="6"/>
      <c r="Q113" s="6"/>
      <c r="R113" s="6"/>
      <c r="S113" s="6"/>
      <c r="T113" s="6"/>
      <c r="U113" s="6"/>
      <c r="V113" s="6"/>
      <c r="W113" s="6"/>
      <c r="X113" s="6"/>
      <c r="Y113" s="6"/>
      <c r="Z113" s="6"/>
      <c r="AA113" s="6"/>
      <c r="AB113" s="6"/>
      <c r="AC113" s="8"/>
      <c r="AD113" s="8"/>
      <c r="AE113" s="8"/>
      <c r="AF113" s="8"/>
      <c r="AG113" s="8"/>
      <c r="AH113" s="8"/>
      <c r="AI113" s="8"/>
      <c r="AJ113" s="8"/>
      <c r="AK113" s="8"/>
      <c r="AL113" s="8"/>
      <c r="AM113" s="8"/>
      <c r="AN113" s="8"/>
    </row>
    <row r="114" spans="2:40">
      <c r="B114" s="14" t="s">
        <v>363</v>
      </c>
      <c r="C114" s="15"/>
      <c r="D114" s="15"/>
      <c r="E114" s="13"/>
      <c r="F114" s="13"/>
      <c r="G114" s="13"/>
      <c r="H114" s="13"/>
      <c r="I114" s="13"/>
      <c r="J114" s="13"/>
      <c r="K114" s="13"/>
      <c r="L114" s="13"/>
      <c r="M114" s="13"/>
      <c r="N114" s="13"/>
      <c r="O114" s="6"/>
      <c r="P114" s="6"/>
      <c r="Q114" s="6"/>
      <c r="R114" s="6"/>
      <c r="S114" s="6"/>
      <c r="T114" s="6"/>
      <c r="U114" s="6"/>
      <c r="V114" s="6"/>
      <c r="W114" s="6"/>
      <c r="X114" s="6"/>
      <c r="Y114" s="6"/>
      <c r="Z114" s="6"/>
      <c r="AA114" s="6"/>
      <c r="AB114" s="6"/>
      <c r="AC114" s="8"/>
      <c r="AD114" s="8"/>
      <c r="AE114" s="8"/>
      <c r="AF114" s="8"/>
      <c r="AG114" s="8"/>
      <c r="AH114" s="8"/>
      <c r="AI114" s="8"/>
      <c r="AJ114" s="8"/>
      <c r="AK114" s="8"/>
      <c r="AL114" s="8"/>
      <c r="AM114" s="8"/>
      <c r="AN114" s="8"/>
    </row>
    <row r="115" spans="2:40">
      <c r="B115" s="14" t="s">
        <v>364</v>
      </c>
      <c r="C115" s="15"/>
      <c r="D115" s="15"/>
      <c r="E115" s="13"/>
      <c r="F115" s="13"/>
      <c r="G115" s="13"/>
      <c r="H115" s="13"/>
      <c r="I115" s="13"/>
      <c r="J115" s="13"/>
      <c r="K115" s="13"/>
      <c r="L115" s="13"/>
      <c r="M115" s="13"/>
      <c r="N115" s="13"/>
      <c r="O115" s="6"/>
      <c r="P115" s="6"/>
      <c r="Q115" s="6"/>
      <c r="R115" s="6"/>
      <c r="S115" s="6"/>
      <c r="T115" s="6"/>
      <c r="U115" s="6"/>
      <c r="V115" s="6"/>
      <c r="W115" s="6"/>
      <c r="X115" s="6"/>
      <c r="Y115" s="6"/>
      <c r="Z115" s="6"/>
      <c r="AA115" s="6"/>
      <c r="AB115" s="6"/>
      <c r="AC115" s="8"/>
      <c r="AD115" s="8"/>
      <c r="AE115" s="8"/>
      <c r="AF115" s="8"/>
      <c r="AG115" s="8"/>
      <c r="AH115" s="8"/>
      <c r="AI115" s="8"/>
      <c r="AJ115" s="8"/>
      <c r="AK115" s="8"/>
      <c r="AL115" s="8"/>
      <c r="AM115" s="8"/>
      <c r="AN115" s="8"/>
    </row>
    <row r="116" spans="2:40">
      <c r="B116" s="14" t="s">
        <v>365</v>
      </c>
      <c r="C116" s="15"/>
      <c r="D116" s="15"/>
      <c r="E116" s="13"/>
      <c r="F116" s="13"/>
      <c r="G116" s="13"/>
      <c r="H116" s="13"/>
      <c r="I116" s="13"/>
      <c r="J116" s="13"/>
      <c r="K116" s="13"/>
      <c r="L116" s="13"/>
      <c r="M116" s="13"/>
      <c r="N116" s="13"/>
      <c r="O116" s="6"/>
      <c r="P116" s="6"/>
      <c r="Q116" s="6"/>
      <c r="R116" s="6"/>
      <c r="S116" s="6"/>
      <c r="T116" s="6"/>
      <c r="U116" s="6"/>
      <c r="V116" s="6"/>
      <c r="W116" s="6"/>
      <c r="X116" s="6"/>
      <c r="Y116" s="6"/>
      <c r="Z116" s="6"/>
      <c r="AA116" s="6"/>
      <c r="AB116" s="6"/>
      <c r="AC116" s="8"/>
      <c r="AD116" s="8"/>
      <c r="AE116" s="8"/>
      <c r="AF116" s="8"/>
      <c r="AG116" s="8"/>
      <c r="AH116" s="8"/>
      <c r="AI116" s="8"/>
      <c r="AJ116" s="8"/>
      <c r="AK116" s="8"/>
      <c r="AL116" s="8"/>
      <c r="AM116" s="8"/>
      <c r="AN116" s="8"/>
    </row>
    <row r="117" spans="2:40">
      <c r="B117" s="14" t="s">
        <v>366</v>
      </c>
      <c r="C117" s="15"/>
      <c r="D117" s="15"/>
      <c r="E117" s="13"/>
      <c r="F117" s="13"/>
      <c r="G117" s="13"/>
      <c r="H117" s="13"/>
      <c r="I117" s="13"/>
      <c r="J117" s="13"/>
      <c r="K117" s="13"/>
      <c r="L117" s="13"/>
      <c r="M117" s="13"/>
      <c r="N117" s="13"/>
      <c r="O117" s="6"/>
      <c r="P117" s="6"/>
      <c r="Q117" s="6"/>
      <c r="R117" s="6"/>
      <c r="S117" s="6"/>
      <c r="T117" s="6"/>
      <c r="U117" s="6"/>
      <c r="V117" s="6"/>
      <c r="W117" s="6"/>
      <c r="X117" s="6"/>
      <c r="Y117" s="6"/>
      <c r="Z117" s="6"/>
      <c r="AA117" s="6"/>
      <c r="AB117" s="6"/>
      <c r="AC117" s="8"/>
      <c r="AD117" s="8"/>
      <c r="AE117" s="8"/>
      <c r="AF117" s="8"/>
      <c r="AG117" s="8"/>
      <c r="AH117" s="8"/>
      <c r="AI117" s="8"/>
      <c r="AJ117" s="8"/>
      <c r="AK117" s="8"/>
      <c r="AL117" s="8"/>
      <c r="AM117" s="8"/>
      <c r="AN117" s="8"/>
    </row>
    <row r="118" spans="2:40">
      <c r="B118" s="14" t="s">
        <v>367</v>
      </c>
      <c r="C118" s="15"/>
      <c r="D118" s="15"/>
      <c r="E118" s="13"/>
      <c r="F118" s="13"/>
      <c r="G118" s="13"/>
      <c r="H118" s="13"/>
      <c r="I118" s="13"/>
      <c r="J118" s="13"/>
      <c r="K118" s="13"/>
      <c r="L118" s="13"/>
      <c r="M118" s="13"/>
      <c r="N118" s="13"/>
      <c r="O118" s="6"/>
      <c r="P118" s="6"/>
      <c r="Q118" s="6"/>
      <c r="R118" s="6"/>
      <c r="S118" s="6"/>
      <c r="T118" s="6"/>
      <c r="U118" s="6"/>
      <c r="V118" s="6"/>
      <c r="W118" s="6"/>
      <c r="X118" s="6"/>
      <c r="Y118" s="6"/>
      <c r="Z118" s="6"/>
      <c r="AA118" s="6"/>
      <c r="AB118" s="6"/>
      <c r="AC118" s="8"/>
      <c r="AD118" s="8"/>
      <c r="AE118" s="8"/>
      <c r="AF118" s="8"/>
      <c r="AG118" s="8"/>
      <c r="AH118" s="8"/>
      <c r="AI118" s="8"/>
      <c r="AJ118" s="8"/>
      <c r="AK118" s="8"/>
      <c r="AL118" s="8"/>
      <c r="AM118" s="8"/>
      <c r="AN118" s="8"/>
    </row>
    <row r="119" spans="2:40">
      <c r="B119" s="14" t="s">
        <v>368</v>
      </c>
      <c r="C119" s="15"/>
      <c r="D119" s="15"/>
      <c r="E119" s="13"/>
      <c r="F119" s="13"/>
      <c r="G119" s="13"/>
      <c r="H119" s="13"/>
      <c r="I119" s="13"/>
      <c r="J119" s="13"/>
      <c r="K119" s="13"/>
      <c r="L119" s="13"/>
      <c r="M119" s="13"/>
      <c r="N119" s="13"/>
      <c r="O119" s="6"/>
      <c r="P119" s="6"/>
      <c r="Q119" s="6"/>
      <c r="R119" s="6"/>
      <c r="S119" s="6"/>
      <c r="T119" s="6"/>
      <c r="U119" s="6"/>
      <c r="V119" s="6"/>
      <c r="W119" s="6"/>
      <c r="X119" s="6"/>
      <c r="Y119" s="6"/>
      <c r="Z119" s="6"/>
      <c r="AA119" s="6"/>
      <c r="AB119" s="6"/>
      <c r="AC119" s="8"/>
      <c r="AD119" s="8"/>
      <c r="AE119" s="8"/>
      <c r="AF119" s="8"/>
      <c r="AG119" s="8"/>
      <c r="AH119" s="8"/>
      <c r="AI119" s="8"/>
      <c r="AJ119" s="8"/>
      <c r="AK119" s="8"/>
      <c r="AL119" s="8"/>
      <c r="AM119" s="8"/>
      <c r="AN119" s="8"/>
    </row>
    <row r="120" spans="2:40">
      <c r="B120" s="14" t="s">
        <v>369</v>
      </c>
      <c r="C120" s="15"/>
      <c r="D120" s="15"/>
      <c r="E120" s="13"/>
      <c r="F120" s="13"/>
      <c r="G120" s="13"/>
      <c r="H120" s="13"/>
      <c r="I120" s="13"/>
      <c r="J120" s="13"/>
      <c r="K120" s="13"/>
      <c r="L120" s="13"/>
      <c r="M120" s="13"/>
      <c r="N120" s="13"/>
      <c r="O120" s="6"/>
      <c r="P120" s="6"/>
      <c r="Q120" s="6"/>
      <c r="R120" s="6"/>
      <c r="S120" s="6"/>
      <c r="T120" s="6"/>
      <c r="U120" s="6"/>
      <c r="V120" s="6"/>
      <c r="W120" s="6"/>
      <c r="X120" s="6"/>
      <c r="Y120" s="6"/>
      <c r="Z120" s="6"/>
      <c r="AA120" s="6"/>
      <c r="AB120" s="6"/>
      <c r="AC120" s="8"/>
      <c r="AD120" s="8"/>
      <c r="AE120" s="8"/>
      <c r="AF120" s="8"/>
      <c r="AG120" s="8"/>
      <c r="AH120" s="8"/>
      <c r="AI120" s="8"/>
      <c r="AJ120" s="8"/>
      <c r="AK120" s="8"/>
      <c r="AL120" s="8"/>
      <c r="AM120" s="8"/>
      <c r="AN120" s="8"/>
    </row>
    <row r="121" spans="2:40">
      <c r="B121" s="14" t="s">
        <v>370</v>
      </c>
      <c r="C121" s="15"/>
      <c r="D121" s="15"/>
      <c r="E121" s="13"/>
      <c r="F121" s="13"/>
      <c r="G121" s="13"/>
      <c r="H121" s="13"/>
      <c r="I121" s="13"/>
      <c r="J121" s="13"/>
      <c r="K121" s="13"/>
      <c r="L121" s="13"/>
      <c r="M121" s="13"/>
      <c r="N121" s="13"/>
      <c r="O121" s="6"/>
      <c r="P121" s="6"/>
      <c r="Q121" s="6"/>
      <c r="R121" s="6"/>
      <c r="S121" s="6"/>
      <c r="T121" s="6"/>
      <c r="U121" s="6"/>
      <c r="V121" s="6"/>
      <c r="W121" s="6"/>
      <c r="X121" s="6"/>
      <c r="Y121" s="6"/>
      <c r="Z121" s="6"/>
      <c r="AA121" s="6"/>
      <c r="AB121" s="6"/>
      <c r="AC121" s="8"/>
      <c r="AD121" s="8"/>
      <c r="AE121" s="8"/>
      <c r="AF121" s="8"/>
      <c r="AG121" s="8"/>
      <c r="AH121" s="8"/>
      <c r="AI121" s="8"/>
      <c r="AJ121" s="8"/>
      <c r="AK121" s="8"/>
      <c r="AL121" s="8"/>
      <c r="AM121" s="8"/>
      <c r="AN121" s="8"/>
    </row>
    <row r="122" spans="2:40">
      <c r="B122" s="14" t="s">
        <v>371</v>
      </c>
      <c r="C122" s="15"/>
      <c r="D122" s="15"/>
      <c r="E122" s="13"/>
      <c r="F122" s="13"/>
      <c r="G122" s="13"/>
      <c r="H122" s="13"/>
      <c r="I122" s="13"/>
      <c r="J122" s="13"/>
      <c r="K122" s="13"/>
      <c r="L122" s="13"/>
      <c r="M122" s="13"/>
      <c r="N122" s="13"/>
      <c r="O122" s="6"/>
      <c r="P122" s="6"/>
      <c r="Q122" s="6"/>
      <c r="R122" s="6"/>
      <c r="S122" s="6"/>
      <c r="T122" s="6"/>
      <c r="U122" s="6"/>
      <c r="V122" s="6"/>
      <c r="W122" s="6"/>
      <c r="X122" s="6"/>
      <c r="Y122" s="6"/>
      <c r="Z122" s="6"/>
      <c r="AA122" s="6"/>
      <c r="AB122" s="6"/>
      <c r="AC122" s="8"/>
      <c r="AD122" s="8"/>
      <c r="AE122" s="8"/>
      <c r="AF122" s="8"/>
      <c r="AG122" s="8"/>
      <c r="AH122" s="8"/>
      <c r="AI122" s="8"/>
      <c r="AJ122" s="8"/>
      <c r="AK122" s="8"/>
      <c r="AL122" s="8"/>
      <c r="AM122" s="8"/>
      <c r="AN122" s="8"/>
    </row>
    <row r="123" spans="2:40">
      <c r="B123" s="14" t="s">
        <v>372</v>
      </c>
      <c r="C123" s="15"/>
      <c r="D123" s="15"/>
      <c r="E123" s="13"/>
      <c r="F123" s="13"/>
      <c r="G123" s="13"/>
      <c r="H123" s="13"/>
      <c r="I123" s="13"/>
      <c r="J123" s="13"/>
      <c r="K123" s="13"/>
      <c r="L123" s="13"/>
      <c r="M123" s="13"/>
      <c r="N123" s="13"/>
      <c r="O123" s="6"/>
      <c r="P123" s="6"/>
      <c r="Q123" s="6"/>
      <c r="R123" s="6"/>
      <c r="S123" s="6"/>
      <c r="T123" s="6"/>
      <c r="U123" s="6"/>
      <c r="V123" s="6"/>
      <c r="W123" s="6"/>
      <c r="X123" s="6"/>
      <c r="Y123" s="6"/>
      <c r="Z123" s="6"/>
      <c r="AA123" s="6"/>
      <c r="AB123" s="6"/>
      <c r="AC123" s="8"/>
      <c r="AD123" s="8"/>
      <c r="AE123" s="8"/>
      <c r="AF123" s="8"/>
      <c r="AG123" s="8"/>
      <c r="AH123" s="8"/>
      <c r="AI123" s="8"/>
      <c r="AJ123" s="8"/>
      <c r="AK123" s="8"/>
      <c r="AL123" s="8"/>
      <c r="AM123" s="8"/>
      <c r="AN123" s="8"/>
    </row>
    <row r="124" spans="2:40">
      <c r="B124" s="14" t="s">
        <v>6</v>
      </c>
      <c r="C124" s="15"/>
      <c r="D124" s="15"/>
      <c r="E124" s="13"/>
      <c r="F124" s="13"/>
      <c r="G124" s="13"/>
      <c r="H124" s="13"/>
      <c r="I124" s="13"/>
      <c r="J124" s="13"/>
      <c r="K124" s="13"/>
      <c r="L124" s="13"/>
      <c r="M124" s="13"/>
      <c r="N124" s="13"/>
      <c r="O124" s="6"/>
      <c r="P124" s="6"/>
      <c r="Q124" s="6"/>
      <c r="R124" s="6"/>
      <c r="S124" s="6"/>
      <c r="T124" s="6"/>
      <c r="U124" s="6"/>
      <c r="V124" s="6"/>
      <c r="W124" s="6"/>
      <c r="X124" s="6"/>
      <c r="Y124" s="6"/>
      <c r="Z124" s="6"/>
      <c r="AA124" s="6"/>
      <c r="AB124" s="6"/>
      <c r="AC124" s="8"/>
      <c r="AD124" s="8"/>
      <c r="AE124" s="8"/>
      <c r="AF124" s="8"/>
      <c r="AG124" s="8"/>
      <c r="AH124" s="8"/>
      <c r="AI124" s="8"/>
      <c r="AJ124" s="8"/>
      <c r="AK124" s="8"/>
      <c r="AL124" s="8"/>
      <c r="AM124" s="8"/>
      <c r="AN124" s="8"/>
    </row>
    <row r="125" spans="2:40">
      <c r="B125" s="16"/>
      <c r="C125" s="17"/>
      <c r="D125" s="17"/>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row>
    <row r="126" spans="2:40">
      <c r="B126" s="2" t="s">
        <v>373</v>
      </c>
      <c r="C126" s="30">
        <f>C$2</f>
        <v>1998</v>
      </c>
      <c r="D126" s="30">
        <f t="shared" ref="D126:AN126" si="12">D$2</f>
        <v>1999</v>
      </c>
      <c r="E126" s="30">
        <f t="shared" si="12"/>
        <v>2000</v>
      </c>
      <c r="F126" s="30">
        <f t="shared" si="12"/>
        <v>2001</v>
      </c>
      <c r="G126" s="30">
        <f t="shared" si="12"/>
        <v>2002</v>
      </c>
      <c r="H126" s="30">
        <f t="shared" si="12"/>
        <v>2003</v>
      </c>
      <c r="I126" s="30">
        <f t="shared" si="12"/>
        <v>2004</v>
      </c>
      <c r="J126" s="30">
        <f t="shared" si="12"/>
        <v>2005</v>
      </c>
      <c r="K126" s="30">
        <f t="shared" si="12"/>
        <v>2006</v>
      </c>
      <c r="L126" s="30">
        <f t="shared" si="12"/>
        <v>2007</v>
      </c>
      <c r="M126" s="30">
        <f t="shared" si="12"/>
        <v>2008</v>
      </c>
      <c r="N126" s="30">
        <f t="shared" si="12"/>
        <v>2009</v>
      </c>
      <c r="O126" s="30">
        <f t="shared" si="12"/>
        <v>2010</v>
      </c>
      <c r="P126" s="30">
        <f t="shared" si="12"/>
        <v>2011</v>
      </c>
      <c r="Q126" s="30">
        <f t="shared" si="12"/>
        <v>2012</v>
      </c>
      <c r="R126" s="30">
        <f t="shared" si="12"/>
        <v>2013</v>
      </c>
      <c r="S126" s="30">
        <f t="shared" si="12"/>
        <v>2014</v>
      </c>
      <c r="T126" s="30">
        <f t="shared" si="12"/>
        <v>2015</v>
      </c>
      <c r="U126" s="30">
        <f t="shared" si="12"/>
        <v>2016</v>
      </c>
      <c r="V126" s="30">
        <f t="shared" si="12"/>
        <v>2017</v>
      </c>
      <c r="W126" s="30">
        <f t="shared" si="12"/>
        <v>2018</v>
      </c>
      <c r="X126" s="30">
        <f t="shared" si="12"/>
        <v>2019</v>
      </c>
      <c r="Y126" s="30">
        <f t="shared" si="12"/>
        <v>2020</v>
      </c>
      <c r="Z126" s="30">
        <f t="shared" si="12"/>
        <v>2021</v>
      </c>
      <c r="AA126" s="30">
        <f t="shared" si="12"/>
        <v>2022</v>
      </c>
      <c r="AB126" s="30">
        <f t="shared" si="12"/>
        <v>2023</v>
      </c>
      <c r="AC126" s="30">
        <f t="shared" si="12"/>
        <v>2024</v>
      </c>
      <c r="AD126" s="30">
        <f t="shared" si="12"/>
        <v>2025</v>
      </c>
      <c r="AE126" s="30">
        <f t="shared" si="12"/>
        <v>2026</v>
      </c>
      <c r="AF126" s="30">
        <f t="shared" si="12"/>
        <v>2027</v>
      </c>
      <c r="AG126" s="30">
        <f t="shared" si="12"/>
        <v>2028</v>
      </c>
      <c r="AH126" s="30">
        <f t="shared" si="12"/>
        <v>2029</v>
      </c>
      <c r="AI126" s="30">
        <f t="shared" si="12"/>
        <v>2030</v>
      </c>
      <c r="AJ126" s="30">
        <f t="shared" si="12"/>
        <v>2031</v>
      </c>
      <c r="AK126" s="30">
        <f t="shared" si="12"/>
        <v>2032</v>
      </c>
      <c r="AL126" s="30">
        <f t="shared" si="12"/>
        <v>2033</v>
      </c>
      <c r="AM126" s="30">
        <f t="shared" si="12"/>
        <v>2034</v>
      </c>
      <c r="AN126" s="30">
        <f t="shared" si="12"/>
        <v>2035</v>
      </c>
    </row>
    <row r="127" spans="2:40">
      <c r="B127" s="5" t="s">
        <v>141</v>
      </c>
      <c r="C127" s="6"/>
      <c r="D127" s="7"/>
      <c r="E127" s="7"/>
      <c r="F127" s="7"/>
      <c r="G127" s="7"/>
      <c r="H127" s="7"/>
      <c r="I127" s="7"/>
      <c r="J127" s="7">
        <f>J23</f>
        <v>0</v>
      </c>
      <c r="K127" s="7">
        <f>K23</f>
        <v>0</v>
      </c>
      <c r="L127" s="7">
        <f>L23</f>
        <v>-3359</v>
      </c>
      <c r="M127" s="7">
        <f>M23</f>
        <v>-6250</v>
      </c>
      <c r="N127" s="7">
        <f t="shared" ref="N127:AA127" si="13">N23</f>
        <v>922.30000000000018</v>
      </c>
      <c r="O127" s="7">
        <f t="shared" si="13"/>
        <v>4439</v>
      </c>
      <c r="P127" s="7">
        <f t="shared" si="13"/>
        <v>2826</v>
      </c>
      <c r="Q127" s="7">
        <f t="shared" si="13"/>
        <v>-431</v>
      </c>
      <c r="R127" s="7">
        <f t="shared" si="13"/>
        <v>1265</v>
      </c>
      <c r="S127" s="7">
        <f t="shared" si="13"/>
        <v>1528</v>
      </c>
      <c r="T127" s="7">
        <f t="shared" si="13"/>
        <v>4247</v>
      </c>
      <c r="U127" s="7">
        <f t="shared" si="13"/>
        <v>2473</v>
      </c>
      <c r="V127" s="7">
        <f t="shared" si="13"/>
        <v>1624</v>
      </c>
      <c r="W127" s="7">
        <f t="shared" si="13"/>
        <v>1721</v>
      </c>
      <c r="X127" s="7">
        <f t="shared" si="13"/>
        <v>1970</v>
      </c>
      <c r="Y127" s="7">
        <f t="shared" si="13"/>
        <v>6905</v>
      </c>
      <c r="Z127" s="7">
        <f t="shared" si="13"/>
        <v>3366</v>
      </c>
      <c r="AA127" s="7">
        <f t="shared" si="13"/>
        <v>5172</v>
      </c>
      <c r="AB127" s="7">
        <f t="shared" ref="AB127:AC127" si="14">AB23</f>
        <v>8727</v>
      </c>
      <c r="AC127" s="7">
        <f t="shared" si="14"/>
        <v>10497</v>
      </c>
      <c r="AD127" s="7">
        <f t="shared" ref="AD127:AF127" si="15">AD23</f>
        <v>-1839.7928466557314</v>
      </c>
      <c r="AE127" s="7">
        <f t="shared" si="15"/>
        <v>11624.167289751093</v>
      </c>
      <c r="AF127" s="7">
        <f t="shared" si="15"/>
        <v>13904.817760144348</v>
      </c>
      <c r="AG127" s="7">
        <f t="shared" ref="AG127:AI127" si="16">AG23</f>
        <v>15807.744584398901</v>
      </c>
      <c r="AH127" s="7">
        <f t="shared" si="16"/>
        <v>16656.236389253929</v>
      </c>
      <c r="AI127" s="7">
        <f t="shared" si="16"/>
        <v>17267.38670338098</v>
      </c>
      <c r="AJ127" s="8"/>
      <c r="AK127" s="8"/>
      <c r="AL127" s="8"/>
      <c r="AM127" s="8"/>
      <c r="AN127" s="8"/>
    </row>
    <row r="128" spans="2:40">
      <c r="B128" s="5" t="s">
        <v>142</v>
      </c>
      <c r="C128" s="6"/>
      <c r="D128" s="7"/>
      <c r="E128" s="7"/>
      <c r="F128" s="7"/>
      <c r="G128" s="7"/>
      <c r="H128" s="7"/>
      <c r="I128" s="7"/>
      <c r="J128" s="7"/>
      <c r="K128" s="7"/>
      <c r="L128" s="7">
        <f>L28</f>
        <v>-643</v>
      </c>
      <c r="M128" s="7">
        <f t="shared" ref="M128:AA128" si="17">M28</f>
        <v>-1094</v>
      </c>
      <c r="N128" s="7">
        <f t="shared" si="17"/>
        <v>-1218.3</v>
      </c>
      <c r="O128" s="7">
        <f t="shared" si="17"/>
        <v>-780</v>
      </c>
      <c r="P128" s="7">
        <f t="shared" si="17"/>
        <v>-580</v>
      </c>
      <c r="Q128" s="7">
        <f t="shared" si="17"/>
        <v>-601</v>
      </c>
      <c r="R128" s="7">
        <f t="shared" si="17"/>
        <v>-293</v>
      </c>
      <c r="S128" s="7">
        <f t="shared" si="17"/>
        <v>-1346</v>
      </c>
      <c r="T128" s="7">
        <f t="shared" si="17"/>
        <v>-1466</v>
      </c>
      <c r="U128" s="7">
        <f t="shared" si="17"/>
        <v>-1080</v>
      </c>
      <c r="V128" s="7">
        <f t="shared" si="17"/>
        <v>-1295</v>
      </c>
      <c r="W128" s="7">
        <f t="shared" si="17"/>
        <v>-1258.701</v>
      </c>
      <c r="X128" s="7">
        <f t="shared" si="17"/>
        <v>-2131.413</v>
      </c>
      <c r="Y128" s="7">
        <f t="shared" si="17"/>
        <v>-2485.2670000000003</v>
      </c>
      <c r="Z128" s="7">
        <f t="shared" si="17"/>
        <v>-2290.471</v>
      </c>
      <c r="AA128" s="7">
        <f t="shared" si="17"/>
        <v>-2664.9569999999999</v>
      </c>
      <c r="AB128" s="7">
        <f t="shared" ref="AB128:AC128" si="18">AB28</f>
        <v>-2839.8829999999998</v>
      </c>
      <c r="AC128" s="7">
        <f t="shared" si="18"/>
        <v>-3032.5460000000003</v>
      </c>
      <c r="AD128" s="7">
        <f t="shared" ref="AD128:AF128" si="19">AD28</f>
        <v>-3085.2438688735665</v>
      </c>
      <c r="AE128" s="7">
        <f t="shared" si="19"/>
        <v>-4102.6764453690657</v>
      </c>
      <c r="AF128" s="7">
        <f t="shared" si="19"/>
        <v>-4815.4847906609348</v>
      </c>
      <c r="AG128" s="7">
        <f t="shared" ref="AG128:AI128" si="20">AG28</f>
        <v>-4633.3604535720533</v>
      </c>
      <c r="AH128" s="7">
        <f t="shared" si="20"/>
        <v>-4454.8104787029542</v>
      </c>
      <c r="AI128" s="7">
        <f t="shared" si="20"/>
        <v>-4276.9060807905635</v>
      </c>
      <c r="AJ128" s="8"/>
      <c r="AK128" s="8"/>
      <c r="AL128" s="8"/>
      <c r="AM128" s="8"/>
      <c r="AN128" s="8"/>
    </row>
    <row r="129" spans="2:40">
      <c r="B129" s="5" t="s">
        <v>981</v>
      </c>
      <c r="C129" s="6"/>
      <c r="D129" s="7"/>
      <c r="E129" s="7"/>
      <c r="F129" s="7"/>
      <c r="G129" s="7"/>
      <c r="H129" s="7"/>
      <c r="I129" s="7"/>
      <c r="J129" s="7"/>
      <c r="K129" s="7"/>
      <c r="L129" s="7">
        <f>'Balance Sheet and Cflow'!C59</f>
        <v>0</v>
      </c>
      <c r="M129" s="7">
        <f>'Balance Sheet and Cflow'!D59</f>
        <v>0</v>
      </c>
      <c r="N129" s="7">
        <f>'Balance Sheet and Cflow'!E59</f>
        <v>0</v>
      </c>
      <c r="O129" s="7">
        <f>'Balance Sheet and Cflow'!F59</f>
        <v>0</v>
      </c>
      <c r="P129" s="7">
        <f>'Balance Sheet and Cflow'!G59</f>
        <v>0</v>
      </c>
      <c r="Q129" s="7">
        <f>'Balance Sheet and Cflow'!H59</f>
        <v>0</v>
      </c>
      <c r="R129" s="7">
        <f>'Balance Sheet and Cflow'!I59</f>
        <v>0</v>
      </c>
      <c r="S129" s="7">
        <f>'Balance Sheet and Cflow'!J59</f>
        <v>0</v>
      </c>
      <c r="T129" s="7">
        <f>'Balance Sheet and Cflow'!K59</f>
        <v>0</v>
      </c>
      <c r="U129" s="7">
        <f>'Balance Sheet and Cflow'!L59</f>
        <v>0</v>
      </c>
      <c r="V129" s="7">
        <f>'Balance Sheet and Cflow'!M59</f>
        <v>0</v>
      </c>
      <c r="W129" s="7">
        <f>'Balance Sheet and Cflow'!N59</f>
        <v>0</v>
      </c>
      <c r="X129" s="7">
        <f>'Balance Sheet and Cflow'!O59</f>
        <v>0</v>
      </c>
      <c r="Y129" s="7">
        <f>'Balance Sheet and Cflow'!P59</f>
        <v>0</v>
      </c>
      <c r="Z129" s="7">
        <f>'Balance Sheet and Cflow'!Q59</f>
        <v>-3474.7179999999998</v>
      </c>
      <c r="AA129" s="7">
        <f>'Balance Sheet and Cflow'!R59</f>
        <v>-4162.4189999999999</v>
      </c>
      <c r="AB129" s="7">
        <f>'Balance Sheet and Cflow'!S59</f>
        <v>-4327.2470000000003</v>
      </c>
      <c r="AC129" s="7">
        <f>'Balance Sheet and Cflow'!T59</f>
        <v>-4748.17</v>
      </c>
      <c r="AD129" s="7">
        <f>'Balance Sheet and Cflow'!V59</f>
        <v>-5864.0567080431802</v>
      </c>
      <c r="AE129" s="7">
        <f>'Balance Sheet and Cflow'!W59</f>
        <v>-6527.778300028217</v>
      </c>
      <c r="AF129" s="7">
        <f>'Balance Sheet and Cflow'!X59</f>
        <v>-6812.3646935869438</v>
      </c>
      <c r="AG129" s="7">
        <f>'Balance Sheet and Cflow'!Y59</f>
        <v>-7108.9498627522735</v>
      </c>
      <c r="AH129" s="7">
        <f>'Balance Sheet and Cflow'!Z59</f>
        <v>-7418.0387666999595</v>
      </c>
      <c r="AI129" s="7">
        <f>'Balance Sheet and Cflow'!AA59</f>
        <v>-7740.1578084019357</v>
      </c>
      <c r="AJ129" s="8"/>
      <c r="AK129" s="8"/>
      <c r="AL129" s="8"/>
      <c r="AM129" s="8"/>
      <c r="AN129" s="8"/>
    </row>
    <row r="130" spans="2:40">
      <c r="B130" s="5" t="s">
        <v>374</v>
      </c>
      <c r="C130" s="6"/>
      <c r="D130" s="7"/>
      <c r="E130" s="7"/>
      <c r="F130" s="7"/>
      <c r="G130" s="7"/>
      <c r="H130" s="7"/>
      <c r="I130" s="7"/>
      <c r="J130" s="7"/>
      <c r="K130" s="7"/>
      <c r="L130" s="7">
        <f>-'Balance Sheet and Cflow'!C290</f>
        <v>-267</v>
      </c>
      <c r="M130" s="7">
        <f>-'Balance Sheet and Cflow'!D290</f>
        <v>60</v>
      </c>
      <c r="N130" s="7">
        <f>-'Balance Sheet and Cflow'!E290</f>
        <v>-640.79999999999995</v>
      </c>
      <c r="O130" s="7">
        <f>-'Balance Sheet and Cflow'!F290</f>
        <v>-977</v>
      </c>
      <c r="P130" s="7">
        <f>-'Balance Sheet and Cflow'!G290</f>
        <v>-1035</v>
      </c>
      <c r="Q130" s="7">
        <f>-'Balance Sheet and Cflow'!H290</f>
        <v>-1035</v>
      </c>
      <c r="R130" s="7">
        <f>-'Balance Sheet and Cflow'!I290</f>
        <v>-357</v>
      </c>
      <c r="S130" s="7">
        <f>-'Balance Sheet and Cflow'!J290</f>
        <v>179</v>
      </c>
      <c r="T130" s="7">
        <f>-'Balance Sheet and Cflow'!K290</f>
        <v>605</v>
      </c>
      <c r="U130" s="7">
        <f>-'Balance Sheet and Cflow'!L290</f>
        <v>190</v>
      </c>
      <c r="V130" s="7">
        <f>-'Balance Sheet and Cflow'!M290</f>
        <v>154</v>
      </c>
      <c r="W130" s="7">
        <f>-'Balance Sheet and Cflow'!N290</f>
        <v>1099.3900000000001</v>
      </c>
      <c r="X130" s="7">
        <f>-'Balance Sheet and Cflow'!O290</f>
        <v>431.53800000000001</v>
      </c>
      <c r="Y130" s="7">
        <f>-'Balance Sheet and Cflow'!P290</f>
        <v>-225.387</v>
      </c>
      <c r="Z130" s="7">
        <f>-'Balance Sheet and Cflow'!Q290</f>
        <v>-419.733</v>
      </c>
      <c r="AA130" s="7">
        <f>-'Balance Sheet and Cflow'!R290</f>
        <v>-231.84200000000001</v>
      </c>
      <c r="AB130" s="7">
        <f>-'Balance Sheet and Cflow'!S290</f>
        <v>-420.06900000000002</v>
      </c>
      <c r="AC130" s="7">
        <f>-'Balance Sheet and Cflow'!T290</f>
        <v>-579.59400000000005</v>
      </c>
      <c r="AD130" s="7">
        <f>-'Balance Sheet and Cflow'!V290</f>
        <v>716.55429602080062</v>
      </c>
      <c r="AE130" s="7">
        <f>-'Balance Sheet and Cflow'!W290</f>
        <v>-230.98067376252069</v>
      </c>
      <c r="AF130" s="7">
        <f>-'Balance Sheet and Cflow'!X290</f>
        <v>-690.92447582855402</v>
      </c>
      <c r="AG130" s="7">
        <f>-'Balance Sheet and Cflow'!Y290</f>
        <v>-1367.7147642273173</v>
      </c>
      <c r="AH130" s="7">
        <f>-'Balance Sheet and Cflow'!Z290</f>
        <v>-1747.3059378329119</v>
      </c>
      <c r="AI130" s="7">
        <f>-'Balance Sheet and Cflow'!AA290</f>
        <v>-2102.155428607176</v>
      </c>
      <c r="AJ130" s="8"/>
      <c r="AK130" s="8"/>
      <c r="AL130" s="8"/>
      <c r="AM130" s="8"/>
      <c r="AN130" s="8"/>
    </row>
    <row r="131" spans="2:40">
      <c r="B131" s="5" t="s">
        <v>375</v>
      </c>
      <c r="C131" s="6"/>
      <c r="D131" s="7"/>
      <c r="E131" s="7"/>
      <c r="F131" s="7"/>
      <c r="G131" s="7"/>
      <c r="H131" s="7"/>
      <c r="I131" s="7"/>
      <c r="J131" s="7"/>
      <c r="K131" s="7"/>
      <c r="L131" s="7">
        <v>-211</v>
      </c>
      <c r="M131" s="7">
        <f>'Balance Sheet and Cflow'!D258</f>
        <v>-686</v>
      </c>
      <c r="N131" s="7">
        <f>'Balance Sheet and Cflow'!E258</f>
        <v>441</v>
      </c>
      <c r="O131" s="7">
        <f>'Balance Sheet and Cflow'!F258</f>
        <v>-59</v>
      </c>
      <c r="P131" s="7">
        <f>'Balance Sheet and Cflow'!G258</f>
        <v>866</v>
      </c>
      <c r="Q131" s="7">
        <f>'Balance Sheet and Cflow'!H258</f>
        <v>-662</v>
      </c>
      <c r="R131" s="7">
        <f>'Balance Sheet and Cflow'!I258</f>
        <v>-1071.0000000000002</v>
      </c>
      <c r="S131" s="7">
        <f>'Balance Sheet and Cflow'!J258</f>
        <v>11130</v>
      </c>
      <c r="T131" s="7">
        <f>'Balance Sheet and Cflow'!K258</f>
        <v>-10398</v>
      </c>
      <c r="U131" s="7">
        <f>'Balance Sheet and Cflow'!L258</f>
        <v>-158</v>
      </c>
      <c r="V131" s="7">
        <f>'Balance Sheet and Cflow'!M258</f>
        <v>1208</v>
      </c>
      <c r="W131" s="7">
        <f>'Balance Sheet and Cflow'!N258</f>
        <v>856.89799999999912</v>
      </c>
      <c r="X131" s="7">
        <f>'Balance Sheet and Cflow'!O258</f>
        <v>-1226.351999999999</v>
      </c>
      <c r="Y131" s="7">
        <f>'Balance Sheet and Cflow'!P258</f>
        <v>-531.61900000000014</v>
      </c>
      <c r="Z131" s="7">
        <f>'Balance Sheet and Cflow'!Q258</f>
        <v>2688.9199999999987</v>
      </c>
      <c r="AA131" s="7">
        <f>'Balance Sheet and Cflow'!R258</f>
        <v>323.43300000000085</v>
      </c>
      <c r="AB131" s="7">
        <f>'Balance Sheet and Cflow'!S258</f>
        <v>-2705.6169999999993</v>
      </c>
      <c r="AC131" s="7">
        <f>'Balance Sheet and Cflow'!T258</f>
        <v>-1754.5090000000012</v>
      </c>
      <c r="AD131" s="7">
        <f>'Balance Sheet and Cflow'!V258</f>
        <v>480.56379978137647</v>
      </c>
      <c r="AE131" s="7">
        <f>'Balance Sheet and Cflow'!W258</f>
        <v>285.83597953290746</v>
      </c>
      <c r="AF131" s="7">
        <f>'Balance Sheet and Cflow'!X258</f>
        <v>122.55896379882961</v>
      </c>
      <c r="AG131" s="7">
        <f>'Balance Sheet and Cflow'!Y258</f>
        <v>127.72631381444654</v>
      </c>
      <c r="AH131" s="7">
        <f>'Balance Sheet and Cflow'!Z258</f>
        <v>133.11112775223813</v>
      </c>
      <c r="AI131" s="7">
        <f>'Balance Sheet and Cflow'!AA258</f>
        <v>138.72264052118032</v>
      </c>
      <c r="AJ131" s="8"/>
      <c r="AK131" s="8"/>
      <c r="AL131" s="8"/>
      <c r="AM131" s="8"/>
      <c r="AN131" s="8"/>
    </row>
    <row r="132" spans="2:40">
      <c r="B132" s="5" t="s">
        <v>145</v>
      </c>
      <c r="C132" s="6"/>
      <c r="D132" s="6"/>
      <c r="E132" s="6"/>
      <c r="F132" s="6"/>
      <c r="G132" s="6"/>
      <c r="H132" s="7"/>
      <c r="I132" s="7"/>
      <c r="J132" s="7"/>
      <c r="K132" s="7"/>
      <c r="L132" s="7">
        <v>0</v>
      </c>
      <c r="M132" s="7">
        <v>0</v>
      </c>
      <c r="N132" s="7">
        <v>0</v>
      </c>
      <c r="O132" s="7">
        <v>0</v>
      </c>
      <c r="P132" s="7">
        <v>0</v>
      </c>
      <c r="Q132" s="7">
        <v>0</v>
      </c>
      <c r="R132" s="7">
        <v>0</v>
      </c>
      <c r="S132" s="7">
        <v>0</v>
      </c>
      <c r="T132" s="7">
        <v>0</v>
      </c>
      <c r="U132" s="7">
        <v>0</v>
      </c>
      <c r="V132" s="7">
        <v>0</v>
      </c>
      <c r="W132" s="7">
        <v>0</v>
      </c>
      <c r="X132" s="7">
        <v>0</v>
      </c>
      <c r="Y132" s="7">
        <v>0</v>
      </c>
      <c r="Z132" s="7">
        <v>0</v>
      </c>
      <c r="AA132" s="7">
        <v>0</v>
      </c>
      <c r="AB132" s="7">
        <v>0</v>
      </c>
      <c r="AC132" s="7">
        <v>0</v>
      </c>
      <c r="AD132" s="7">
        <v>0</v>
      </c>
      <c r="AE132" s="7">
        <v>0</v>
      </c>
      <c r="AF132" s="7">
        <v>0</v>
      </c>
      <c r="AG132" s="7">
        <v>0</v>
      </c>
      <c r="AH132" s="7">
        <v>0</v>
      </c>
      <c r="AI132" s="7">
        <v>0</v>
      </c>
      <c r="AJ132" s="8"/>
      <c r="AK132" s="8"/>
      <c r="AL132" s="8"/>
      <c r="AM132" s="8"/>
      <c r="AN132" s="8"/>
    </row>
    <row r="133" spans="2:40">
      <c r="B133" s="5" t="s">
        <v>376</v>
      </c>
      <c r="C133" s="6"/>
      <c r="D133" s="13"/>
      <c r="E133" s="13"/>
      <c r="F133" s="13"/>
      <c r="G133" s="13"/>
      <c r="H133" s="7"/>
      <c r="I133" s="7"/>
      <c r="J133" s="7"/>
      <c r="K133" s="7"/>
      <c r="L133" s="7">
        <f>'Balance Sheet and Cflow'!C67</f>
        <v>0</v>
      </c>
      <c r="M133" s="7">
        <f>'Balance Sheet and Cflow'!D67</f>
        <v>0</v>
      </c>
      <c r="N133" s="7">
        <f>'Balance Sheet and Cflow'!E67</f>
        <v>0</v>
      </c>
      <c r="O133" s="7">
        <f>'Balance Sheet and Cflow'!F67</f>
        <v>0</v>
      </c>
      <c r="P133" s="7">
        <f>'Balance Sheet and Cflow'!G67</f>
        <v>0</v>
      </c>
      <c r="Q133" s="7">
        <f>'Balance Sheet and Cflow'!H67</f>
        <v>0</v>
      </c>
      <c r="R133" s="7">
        <f>'Balance Sheet and Cflow'!I67</f>
        <v>0</v>
      </c>
      <c r="S133" s="7">
        <f>'Balance Sheet and Cflow'!J67</f>
        <v>0</v>
      </c>
      <c r="T133" s="7">
        <f>'Balance Sheet and Cflow'!K67</f>
        <v>0</v>
      </c>
      <c r="U133" s="7">
        <f>'Balance Sheet and Cflow'!L67</f>
        <v>0</v>
      </c>
      <c r="V133" s="7">
        <f>'Balance Sheet and Cflow'!M67</f>
        <v>0</v>
      </c>
      <c r="W133" s="7">
        <f>'Balance Sheet and Cflow'!N67</f>
        <v>0</v>
      </c>
      <c r="X133" s="7">
        <f>'Balance Sheet and Cflow'!O67</f>
        <v>0</v>
      </c>
      <c r="Y133" s="7">
        <f>'Balance Sheet and Cflow'!P67</f>
        <v>0</v>
      </c>
      <c r="Z133" s="7">
        <f>'Balance Sheet and Cflow'!Q67</f>
        <v>0</v>
      </c>
      <c r="AA133" s="7">
        <f>'Balance Sheet and Cflow'!R67</f>
        <v>0</v>
      </c>
      <c r="AB133" s="7">
        <f>'Balance Sheet and Cflow'!S67</f>
        <v>0</v>
      </c>
      <c r="AC133" s="7">
        <f>'Balance Sheet and Cflow'!T67</f>
        <v>0</v>
      </c>
      <c r="AD133" s="7">
        <f>'Balance Sheet and Cflow'!V67</f>
        <v>0</v>
      </c>
      <c r="AE133" s="7">
        <f>'Balance Sheet and Cflow'!W67</f>
        <v>-742.25454545454534</v>
      </c>
      <c r="AF133" s="7">
        <f>'Balance Sheet and Cflow'!X67</f>
        <v>-742.25454545454534</v>
      </c>
      <c r="AG133" s="7">
        <f>'Balance Sheet and Cflow'!Y67</f>
        <v>-742.25454545454534</v>
      </c>
      <c r="AH133" s="7">
        <f>'Balance Sheet and Cflow'!Z67</f>
        <v>-742.25454545454534</v>
      </c>
      <c r="AI133" s="7">
        <f>'Balance Sheet and Cflow'!AA67</f>
        <v>-742.25454545454534</v>
      </c>
      <c r="AJ133" s="8"/>
      <c r="AK133" s="8"/>
      <c r="AL133" s="8"/>
      <c r="AM133" s="8"/>
      <c r="AN133" s="8"/>
    </row>
    <row r="134" spans="2:40">
      <c r="B134" s="5" t="s">
        <v>147</v>
      </c>
      <c r="C134" s="6"/>
      <c r="D134" s="7"/>
      <c r="E134" s="7"/>
      <c r="F134" s="7"/>
      <c r="G134" s="7"/>
      <c r="H134" s="7"/>
      <c r="I134" s="7"/>
      <c r="J134" s="7"/>
      <c r="K134" s="7"/>
      <c r="L134" s="7">
        <f>'Balance Sheet and Cflow'!C65</f>
        <v>-6.7142300000000006</v>
      </c>
      <c r="M134" s="7">
        <f>'Balance Sheet and Cflow'!D65</f>
        <v>-141.80000000000001</v>
      </c>
      <c r="N134" s="7">
        <f>'Balance Sheet and Cflow'!E65</f>
        <v>0</v>
      </c>
      <c r="O134" s="7">
        <f>'Balance Sheet and Cflow'!F65</f>
        <v>-862.20600000000002</v>
      </c>
      <c r="P134" s="7">
        <f>'Balance Sheet and Cflow'!G65</f>
        <v>-1046.57304</v>
      </c>
      <c r="Q134" s="7">
        <f>'Balance Sheet and Cflow'!H65</f>
        <v>-1087.83</v>
      </c>
      <c r="R134" s="7">
        <f>'Balance Sheet and Cflow'!I65</f>
        <v>-523.77</v>
      </c>
      <c r="S134" s="7">
        <f>'Balance Sheet and Cflow'!J65</f>
        <v>0</v>
      </c>
      <c r="T134" s="7">
        <f>'Balance Sheet and Cflow'!K65</f>
        <v>0</v>
      </c>
      <c r="U134" s="7">
        <f>'Balance Sheet and Cflow'!L65</f>
        <v>0</v>
      </c>
      <c r="V134" s="7">
        <f>'Balance Sheet and Cflow'!M65</f>
        <v>0</v>
      </c>
      <c r="W134" s="7">
        <f>'Balance Sheet and Cflow'!N65</f>
        <v>0</v>
      </c>
      <c r="X134" s="7">
        <f>'Balance Sheet and Cflow'!O65</f>
        <v>0</v>
      </c>
      <c r="Y134" s="7">
        <f>'Balance Sheet and Cflow'!P65</f>
        <v>-213.024</v>
      </c>
      <c r="Z134" s="7">
        <f>'Balance Sheet and Cflow'!Q65</f>
        <v>0</v>
      </c>
      <c r="AA134" s="7">
        <f>'Balance Sheet and Cflow'!R65</f>
        <v>-544.07799999999997</v>
      </c>
      <c r="AB134" s="7">
        <f>'Balance Sheet and Cflow'!S65</f>
        <v>-549.02300000000002</v>
      </c>
      <c r="AC134" s="7">
        <f>'Balance Sheet and Cflow'!T65</f>
        <v>-646.346</v>
      </c>
      <c r="AD134" s="7">
        <f>'Balance Sheet and Cflow'!V65</f>
        <v>0</v>
      </c>
      <c r="AE134" s="7">
        <f>'Balance Sheet and Cflow'!W65</f>
        <v>0</v>
      </c>
      <c r="AF134" s="7">
        <f>'Balance Sheet and Cflow'!X65</f>
        <v>-1101.2652651680201</v>
      </c>
      <c r="AG134" s="7">
        <f>'Balance Sheet and Cflow'!Y65</f>
        <v>-2180.0020337892402</v>
      </c>
      <c r="AH134" s="7">
        <f>'Balance Sheet and Cflow'!Z65</f>
        <v>-2785.032813680059</v>
      </c>
      <c r="AI134" s="7">
        <f>'Balance Sheet and Cflow'!AA65</f>
        <v>-3350.6277986943483</v>
      </c>
      <c r="AJ134" s="8"/>
      <c r="AK134" s="8"/>
      <c r="AL134" s="8"/>
      <c r="AM134" s="8"/>
      <c r="AN134" s="8"/>
    </row>
    <row r="135" spans="2:40">
      <c r="B135" s="5" t="s">
        <v>148</v>
      </c>
      <c r="C135" s="6"/>
      <c r="D135" s="7"/>
      <c r="E135" s="7"/>
      <c r="F135" s="7"/>
      <c r="G135" s="7"/>
      <c r="H135" s="7"/>
      <c r="I135" s="7"/>
      <c r="J135" s="7"/>
      <c r="K135" s="7"/>
      <c r="L135" s="7">
        <v>0</v>
      </c>
      <c r="M135" s="7">
        <v>0</v>
      </c>
      <c r="N135" s="7">
        <v>0</v>
      </c>
      <c r="O135" s="7">
        <v>0</v>
      </c>
      <c r="P135" s="7">
        <v>0</v>
      </c>
      <c r="Q135" s="7">
        <v>0</v>
      </c>
      <c r="R135" s="7">
        <v>0</v>
      </c>
      <c r="S135" s="7">
        <v>0</v>
      </c>
      <c r="T135" s="7">
        <v>0</v>
      </c>
      <c r="U135" s="7">
        <v>0</v>
      </c>
      <c r="V135" s="7">
        <v>0</v>
      </c>
      <c r="W135" s="7">
        <v>0</v>
      </c>
      <c r="X135" s="7">
        <v>0</v>
      </c>
      <c r="Y135" s="7">
        <v>0</v>
      </c>
      <c r="Z135" s="7">
        <v>0</v>
      </c>
      <c r="AA135" s="7">
        <v>0</v>
      </c>
      <c r="AB135" s="7">
        <v>0</v>
      </c>
      <c r="AC135" s="7">
        <v>0</v>
      </c>
      <c r="AD135" s="7">
        <v>0</v>
      </c>
      <c r="AE135" s="7">
        <v>0</v>
      </c>
      <c r="AF135" s="7">
        <v>0</v>
      </c>
      <c r="AG135" s="7">
        <v>0</v>
      </c>
      <c r="AH135" s="7">
        <v>0</v>
      </c>
      <c r="AI135" s="7">
        <v>0</v>
      </c>
      <c r="AJ135" s="8"/>
      <c r="AK135" s="8"/>
      <c r="AL135" s="8"/>
      <c r="AM135" s="8"/>
      <c r="AN135" s="8"/>
    </row>
    <row r="136" spans="2:40">
      <c r="B136" s="5" t="s">
        <v>501</v>
      </c>
      <c r="C136" s="6"/>
      <c r="D136" s="7"/>
      <c r="E136" s="7"/>
      <c r="F136" s="7"/>
      <c r="G136" s="7"/>
      <c r="H136" s="7"/>
      <c r="I136" s="7"/>
      <c r="J136" s="7"/>
      <c r="K136" s="7"/>
      <c r="L136" s="7"/>
      <c r="M136" s="7">
        <f>(L138-M138)-SUM(M127:M135)</f>
        <v>8111.8</v>
      </c>
      <c r="N136" s="7">
        <f t="shared" ref="N136:AG136" si="21">(M138-N138)-SUM(N127:N135)</f>
        <v>495.79999999999973</v>
      </c>
      <c r="O136" s="7">
        <f t="shared" si="21"/>
        <v>-1760.7939999999999</v>
      </c>
      <c r="P136" s="7">
        <f t="shared" si="21"/>
        <v>-1030.42696</v>
      </c>
      <c r="Q136" s="7">
        <f t="shared" si="21"/>
        <v>3816.83</v>
      </c>
      <c r="R136" s="7">
        <f t="shared" si="21"/>
        <v>979.77000000000021</v>
      </c>
      <c r="S136" s="7">
        <f t="shared" si="21"/>
        <v>-11491</v>
      </c>
      <c r="T136" s="7">
        <f t="shared" si="21"/>
        <v>-16629</v>
      </c>
      <c r="U136" s="7">
        <f t="shared" si="21"/>
        <v>8945</v>
      </c>
      <c r="V136" s="7">
        <f t="shared" si="21"/>
        <v>-716</v>
      </c>
      <c r="W136" s="7">
        <f t="shared" si="21"/>
        <v>-1639.0389999999984</v>
      </c>
      <c r="X136" s="7">
        <f t="shared" si="21"/>
        <v>1266.7929999999997</v>
      </c>
      <c r="Y136" s="7">
        <f t="shared" si="21"/>
        <v>1373.4379999999992</v>
      </c>
      <c r="Z136" s="7">
        <f t="shared" si="21"/>
        <v>-1095.0969999999988</v>
      </c>
      <c r="AA136" s="7">
        <f t="shared" si="21"/>
        <v>2789.9049999999993</v>
      </c>
      <c r="AB136" s="7">
        <f t="shared" si="21"/>
        <v>-97.920000000001437</v>
      </c>
      <c r="AC136" s="7">
        <f t="shared" si="21"/>
        <v>-1704.0129999999983</v>
      </c>
      <c r="AD136" s="7">
        <f t="shared" si="21"/>
        <v>-12883.490000000002</v>
      </c>
      <c r="AE136" s="7">
        <f t="shared" si="21"/>
        <v>1.9326762412674725E-12</v>
      </c>
      <c r="AF136" s="7">
        <f t="shared" si="21"/>
        <v>-1.7053025658242404E-12</v>
      </c>
      <c r="AG136" s="7">
        <f t="shared" si="21"/>
        <v>-2.2737367544323206E-12</v>
      </c>
      <c r="AH136" s="7">
        <f>(AG138-AH138)-SUM(AH127:AH135)</f>
        <v>-2.2737367544323206E-12</v>
      </c>
      <c r="AI136" s="7">
        <f>(AH138-AI138)-SUM(AI127:AI135)</f>
        <v>-3.1832314562052488E-12</v>
      </c>
      <c r="AJ136" s="8"/>
      <c r="AK136" s="8"/>
      <c r="AL136" s="8"/>
      <c r="AM136" s="8"/>
      <c r="AN136" s="8"/>
    </row>
    <row r="137" spans="2:40">
      <c r="B137" s="1264" t="s">
        <v>139</v>
      </c>
      <c r="C137" s="1265"/>
      <c r="D137" s="1265"/>
      <c r="E137" s="1266"/>
      <c r="F137" s="1266"/>
      <c r="G137" s="1266"/>
      <c r="H137" s="1267"/>
      <c r="I137" s="1267"/>
      <c r="J137" s="1267"/>
      <c r="K137" s="1267"/>
      <c r="L137" s="1267">
        <f>SUM(L127:L136)</f>
        <v>-4486.7142299999996</v>
      </c>
      <c r="M137" s="1267">
        <f>SUM(M127:M136)</f>
        <v>0</v>
      </c>
      <c r="N137" s="1267">
        <f t="shared" ref="N137:AH137" si="22">SUM(N127:N136)</f>
        <v>0</v>
      </c>
      <c r="O137" s="1267">
        <f t="shared" si="22"/>
        <v>0</v>
      </c>
      <c r="P137" s="1267">
        <f t="shared" si="22"/>
        <v>0</v>
      </c>
      <c r="Q137" s="1267">
        <f t="shared" si="22"/>
        <v>0</v>
      </c>
      <c r="R137" s="1267">
        <f t="shared" si="22"/>
        <v>0</v>
      </c>
      <c r="S137" s="1267">
        <f t="shared" si="22"/>
        <v>0</v>
      </c>
      <c r="T137" s="1267">
        <f t="shared" si="22"/>
        <v>-23641</v>
      </c>
      <c r="U137" s="1267">
        <f t="shared" si="22"/>
        <v>10370</v>
      </c>
      <c r="V137" s="1267">
        <f t="shared" si="22"/>
        <v>975</v>
      </c>
      <c r="W137" s="1267">
        <f t="shared" si="22"/>
        <v>779.54800000000068</v>
      </c>
      <c r="X137" s="1267">
        <f t="shared" si="22"/>
        <v>310.56600000000071</v>
      </c>
      <c r="Y137" s="1267">
        <f t="shared" si="22"/>
        <v>4823.1409999999996</v>
      </c>
      <c r="Z137" s="1267">
        <f t="shared" si="22"/>
        <v>-1225.0990000000002</v>
      </c>
      <c r="AA137" s="1267">
        <f t="shared" si="22"/>
        <v>682.04200000000037</v>
      </c>
      <c r="AB137" s="1267">
        <f t="shared" si="22"/>
        <v>-2212.7590000000009</v>
      </c>
      <c r="AC137" s="1267">
        <f t="shared" si="22"/>
        <v>-1968.1779999999999</v>
      </c>
      <c r="AD137" s="1267">
        <f t="shared" si="22"/>
        <v>-22475.465327770304</v>
      </c>
      <c r="AE137" s="1267">
        <f t="shared" si="22"/>
        <v>306.31330466965301</v>
      </c>
      <c r="AF137" s="1267">
        <f t="shared" si="22"/>
        <v>-134.9170467558215</v>
      </c>
      <c r="AG137" s="1267">
        <f t="shared" si="22"/>
        <v>-96.810761582084524</v>
      </c>
      <c r="AH137" s="1267">
        <f t="shared" si="22"/>
        <v>-358.09502536426589</v>
      </c>
      <c r="AI137" s="1267">
        <f>SUM(AI127:AI136)</f>
        <v>-805.99231804641022</v>
      </c>
      <c r="AJ137" s="8"/>
      <c r="AK137" s="8"/>
      <c r="AL137" s="8"/>
      <c r="AM137" s="8"/>
      <c r="AN137" s="8"/>
    </row>
    <row r="138" spans="2:40">
      <c r="B138" s="5" t="s">
        <v>1432</v>
      </c>
      <c r="C138" s="6"/>
      <c r="D138" s="6"/>
      <c r="E138" s="6"/>
      <c r="F138" s="6"/>
      <c r="G138" s="6"/>
      <c r="H138" s="7"/>
      <c r="I138" s="7"/>
      <c r="J138" s="7"/>
      <c r="K138" s="7"/>
      <c r="L138" s="7">
        <f>'Balance Sheet and Cflow'!C48</f>
        <v>0</v>
      </c>
      <c r="M138" s="7">
        <f>'Balance Sheet and Cflow'!D48</f>
        <v>0</v>
      </c>
      <c r="N138" s="7">
        <f>'Balance Sheet and Cflow'!E48</f>
        <v>0</v>
      </c>
      <c r="O138" s="7">
        <f>'Balance Sheet and Cflow'!F48</f>
        <v>0</v>
      </c>
      <c r="P138" s="7">
        <f>'Balance Sheet and Cflow'!G48</f>
        <v>0</v>
      </c>
      <c r="Q138" s="7">
        <f>'Balance Sheet and Cflow'!H48</f>
        <v>0</v>
      </c>
      <c r="R138" s="7">
        <f>'Balance Sheet and Cflow'!I48</f>
        <v>0</v>
      </c>
      <c r="S138" s="7">
        <f>'Balance Sheet and Cflow'!J48</f>
        <v>0</v>
      </c>
      <c r="T138" s="7">
        <f>'Balance Sheet and Cflow'!K48</f>
        <v>23641</v>
      </c>
      <c r="U138" s="7">
        <f>'Balance Sheet and Cflow'!L48</f>
        <v>13271</v>
      </c>
      <c r="V138" s="7">
        <f>'Balance Sheet and Cflow'!M48</f>
        <v>12296</v>
      </c>
      <c r="W138" s="7">
        <f>'Balance Sheet and Cflow'!N48</f>
        <v>11516.451999999999</v>
      </c>
      <c r="X138" s="7">
        <f>'Balance Sheet and Cflow'!O48</f>
        <v>11205.885999999999</v>
      </c>
      <c r="Y138" s="7">
        <f>'Balance Sheet and Cflow'!P48</f>
        <v>6382.744999999999</v>
      </c>
      <c r="Z138" s="7">
        <f>'Balance Sheet and Cflow'!Q48</f>
        <v>7607.8439999999991</v>
      </c>
      <c r="AA138" s="7">
        <f>'Balance Sheet and Cflow'!R48</f>
        <v>6925.8019999999988</v>
      </c>
      <c r="AB138" s="7">
        <f>'Balance Sheet and Cflow'!S48</f>
        <v>9138.5609999999997</v>
      </c>
      <c r="AC138" s="7">
        <f>'Balance Sheet and Cflow'!T48</f>
        <v>11106.739</v>
      </c>
      <c r="AD138" s="7">
        <f>'Balance Sheet and Cflow'!V48</f>
        <v>33582.204327770305</v>
      </c>
      <c r="AE138" s="7">
        <f>'Balance Sheet and Cflow'!W48</f>
        <v>33275.891023100652</v>
      </c>
      <c r="AF138" s="7">
        <f>'Balance Sheet and Cflow'!X48</f>
        <v>33410.808069856474</v>
      </c>
      <c r="AG138" s="7">
        <f>'Balance Sheet and Cflow'!Y48</f>
        <v>33507.618831438558</v>
      </c>
      <c r="AH138" s="7">
        <f>'Balance Sheet and Cflow'!Z48</f>
        <v>33865.713856802824</v>
      </c>
      <c r="AI138" s="7">
        <f>'Balance Sheet and Cflow'!AA48</f>
        <v>34671.706174849234</v>
      </c>
      <c r="AJ138" s="8"/>
      <c r="AK138" s="8"/>
      <c r="AL138" s="8"/>
      <c r="AM138" s="8"/>
      <c r="AN138" s="8"/>
    </row>
    <row r="139" spans="2:40">
      <c r="C139" s="11"/>
      <c r="D139" s="11"/>
      <c r="E139" s="18"/>
      <c r="F139" s="18"/>
      <c r="G139" s="11"/>
      <c r="H139" s="11"/>
      <c r="I139" s="11"/>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f>AG138-AH138</f>
        <v>-358.09502536426589</v>
      </c>
      <c r="AI139" s="12">
        <f>AH138-AI138</f>
        <v>-805.99231804641022</v>
      </c>
    </row>
    <row r="140" spans="2:40">
      <c r="B140" s="2" t="s">
        <v>377</v>
      </c>
      <c r="C140" s="30">
        <f>C$2</f>
        <v>1998</v>
      </c>
      <c r="D140" s="30">
        <f t="shared" ref="D140:AN140" si="23">D$2</f>
        <v>1999</v>
      </c>
      <c r="E140" s="30">
        <f t="shared" si="23"/>
        <v>2000</v>
      </c>
      <c r="F140" s="30">
        <f t="shared" si="23"/>
        <v>2001</v>
      </c>
      <c r="G140" s="30">
        <f t="shared" si="23"/>
        <v>2002</v>
      </c>
      <c r="H140" s="30">
        <f t="shared" si="23"/>
        <v>2003</v>
      </c>
      <c r="I140" s="30">
        <f t="shared" si="23"/>
        <v>2004</v>
      </c>
      <c r="J140" s="30">
        <f t="shared" si="23"/>
        <v>2005</v>
      </c>
      <c r="K140" s="30">
        <f t="shared" si="23"/>
        <v>2006</v>
      </c>
      <c r="L140" s="30">
        <f t="shared" si="23"/>
        <v>2007</v>
      </c>
      <c r="M140" s="30">
        <f t="shared" si="23"/>
        <v>2008</v>
      </c>
      <c r="N140" s="30">
        <f t="shared" si="23"/>
        <v>2009</v>
      </c>
      <c r="O140" s="30">
        <f t="shared" si="23"/>
        <v>2010</v>
      </c>
      <c r="P140" s="30">
        <f t="shared" si="23"/>
        <v>2011</v>
      </c>
      <c r="Q140" s="30">
        <f t="shared" si="23"/>
        <v>2012</v>
      </c>
      <c r="R140" s="30">
        <f t="shared" si="23"/>
        <v>2013</v>
      </c>
      <c r="S140" s="30">
        <f t="shared" si="23"/>
        <v>2014</v>
      </c>
      <c r="T140" s="30">
        <f t="shared" si="23"/>
        <v>2015</v>
      </c>
      <c r="U140" s="30">
        <f t="shared" si="23"/>
        <v>2016</v>
      </c>
      <c r="V140" s="30">
        <f t="shared" si="23"/>
        <v>2017</v>
      </c>
      <c r="W140" s="30">
        <f t="shared" si="23"/>
        <v>2018</v>
      </c>
      <c r="X140" s="30">
        <f t="shared" si="23"/>
        <v>2019</v>
      </c>
      <c r="Y140" s="30">
        <f t="shared" si="23"/>
        <v>2020</v>
      </c>
      <c r="Z140" s="30">
        <f t="shared" si="23"/>
        <v>2021</v>
      </c>
      <c r="AA140" s="30">
        <f t="shared" si="23"/>
        <v>2022</v>
      </c>
      <c r="AB140" s="30">
        <f t="shared" si="23"/>
        <v>2023</v>
      </c>
      <c r="AC140" s="30">
        <f t="shared" si="23"/>
        <v>2024</v>
      </c>
      <c r="AD140" s="30">
        <f t="shared" si="23"/>
        <v>2025</v>
      </c>
      <c r="AE140" s="30">
        <f t="shared" si="23"/>
        <v>2026</v>
      </c>
      <c r="AF140" s="30">
        <f t="shared" si="23"/>
        <v>2027</v>
      </c>
      <c r="AG140" s="30">
        <f t="shared" si="23"/>
        <v>2028</v>
      </c>
      <c r="AH140" s="30">
        <f t="shared" si="23"/>
        <v>2029</v>
      </c>
      <c r="AI140" s="30">
        <f t="shared" si="23"/>
        <v>2030</v>
      </c>
      <c r="AJ140" s="30">
        <f t="shared" si="23"/>
        <v>2031</v>
      </c>
      <c r="AK140" s="30">
        <f t="shared" si="23"/>
        <v>2032</v>
      </c>
      <c r="AL140" s="30">
        <f t="shared" si="23"/>
        <v>2033</v>
      </c>
      <c r="AM140" s="30">
        <f t="shared" si="23"/>
        <v>2034</v>
      </c>
      <c r="AN140" s="30">
        <f t="shared" si="23"/>
        <v>2035</v>
      </c>
    </row>
    <row r="141" spans="2:40">
      <c r="B141" s="5" t="s">
        <v>378</v>
      </c>
      <c r="C141" s="6"/>
      <c r="D141" s="7"/>
      <c r="E141" s="7"/>
      <c r="F141" s="7"/>
      <c r="G141" s="7"/>
      <c r="H141" s="7"/>
      <c r="I141" s="7"/>
      <c r="J141" s="7"/>
      <c r="K141" s="7"/>
      <c r="L141" s="7"/>
      <c r="M141" s="7"/>
      <c r="N141" s="7"/>
      <c r="O141" s="7"/>
      <c r="P141" s="7"/>
      <c r="Q141" s="7"/>
      <c r="R141" s="7"/>
      <c r="S141" s="7"/>
      <c r="T141" s="6"/>
      <c r="U141" s="6"/>
      <c r="V141" s="6"/>
      <c r="W141" s="6"/>
      <c r="X141" s="6"/>
      <c r="Y141" s="6"/>
      <c r="Z141" s="6"/>
      <c r="AA141" s="6"/>
      <c r="AB141" s="6"/>
      <c r="AC141" s="8"/>
      <c r="AD141" s="8"/>
      <c r="AE141" s="8"/>
      <c r="AF141" s="8"/>
      <c r="AG141" s="8"/>
      <c r="AH141" s="8"/>
      <c r="AI141" s="8"/>
      <c r="AJ141" s="8"/>
      <c r="AK141" s="8"/>
      <c r="AL141" s="8"/>
      <c r="AM141" s="8"/>
      <c r="AN141" s="8"/>
    </row>
    <row r="142" spans="2:40">
      <c r="B142" s="5" t="s">
        <v>379</v>
      </c>
      <c r="C142" s="6"/>
      <c r="D142" s="6"/>
      <c r="E142" s="13"/>
      <c r="F142" s="13"/>
      <c r="G142" s="13"/>
      <c r="H142" s="13"/>
      <c r="I142" s="13"/>
      <c r="J142" s="13"/>
      <c r="K142" s="13"/>
      <c r="L142" s="13"/>
      <c r="M142" s="13"/>
      <c r="N142" s="13"/>
      <c r="O142" s="6"/>
      <c r="P142" s="6"/>
      <c r="Q142" s="6"/>
      <c r="R142" s="6"/>
      <c r="S142" s="6"/>
      <c r="T142" s="6"/>
      <c r="U142" s="6"/>
      <c r="V142" s="6"/>
      <c r="W142" s="6"/>
      <c r="X142" s="6"/>
      <c r="Y142" s="6"/>
      <c r="Z142" s="6"/>
      <c r="AA142" s="6"/>
      <c r="AB142" s="6"/>
      <c r="AC142" s="8"/>
      <c r="AD142" s="8"/>
      <c r="AE142" s="8"/>
      <c r="AF142" s="8"/>
      <c r="AG142" s="8"/>
      <c r="AH142" s="8"/>
      <c r="AI142" s="8"/>
      <c r="AJ142" s="8"/>
      <c r="AK142" s="8"/>
      <c r="AL142" s="8"/>
      <c r="AM142" s="8"/>
      <c r="AN142" s="8"/>
    </row>
    <row r="143" spans="2:40">
      <c r="B143" s="5" t="s">
        <v>380</v>
      </c>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8"/>
      <c r="AD143" s="8"/>
      <c r="AE143" s="8"/>
      <c r="AF143" s="8"/>
      <c r="AG143" s="8"/>
      <c r="AH143" s="8"/>
      <c r="AI143" s="8"/>
      <c r="AJ143" s="8"/>
      <c r="AK143" s="8"/>
      <c r="AL143" s="8"/>
      <c r="AM143" s="8"/>
      <c r="AN143" s="8"/>
    </row>
    <row r="144" spans="2:40">
      <c r="B144" s="5" t="s">
        <v>381</v>
      </c>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8"/>
      <c r="AD144" s="8"/>
      <c r="AE144" s="8"/>
      <c r="AF144" s="8"/>
      <c r="AG144" s="8"/>
      <c r="AH144" s="8"/>
      <c r="AI144" s="8"/>
      <c r="AJ144" s="8"/>
      <c r="AK144" s="8"/>
      <c r="AL144" s="8"/>
      <c r="AM144" s="8"/>
      <c r="AN144" s="8"/>
    </row>
    <row r="145" spans="2:40">
      <c r="B145" s="5" t="s">
        <v>382</v>
      </c>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8"/>
      <c r="AD145" s="8"/>
      <c r="AE145" s="8"/>
      <c r="AF145" s="8"/>
      <c r="AG145" s="8"/>
      <c r="AH145" s="8"/>
      <c r="AI145" s="8"/>
      <c r="AJ145" s="8"/>
      <c r="AK145" s="8"/>
      <c r="AL145" s="8"/>
      <c r="AM145" s="8"/>
      <c r="AN145" s="8"/>
    </row>
    <row r="146" spans="2:40">
      <c r="B146" s="5" t="s">
        <v>383</v>
      </c>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8"/>
      <c r="AD146" s="8"/>
      <c r="AE146" s="8"/>
      <c r="AF146" s="8"/>
      <c r="AG146" s="8"/>
      <c r="AH146" s="8"/>
      <c r="AI146" s="8"/>
      <c r="AJ146" s="8"/>
      <c r="AK146" s="8"/>
      <c r="AL146" s="8"/>
      <c r="AM146" s="8"/>
      <c r="AN146" s="8"/>
    </row>
    <row r="147" spans="2:40">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row>
    <row r="148" spans="2:40">
      <c r="B148" s="2" t="s">
        <v>384</v>
      </c>
      <c r="C148" s="30">
        <f>C$2</f>
        <v>1998</v>
      </c>
      <c r="D148" s="30">
        <f t="shared" ref="D148:AN148" si="24">D$2</f>
        <v>1999</v>
      </c>
      <c r="E148" s="30">
        <f t="shared" si="24"/>
        <v>2000</v>
      </c>
      <c r="F148" s="30">
        <f t="shared" si="24"/>
        <v>2001</v>
      </c>
      <c r="G148" s="30">
        <f t="shared" si="24"/>
        <v>2002</v>
      </c>
      <c r="H148" s="30">
        <f t="shared" si="24"/>
        <v>2003</v>
      </c>
      <c r="I148" s="30">
        <f t="shared" si="24"/>
        <v>2004</v>
      </c>
      <c r="J148" s="30">
        <f t="shared" si="24"/>
        <v>2005</v>
      </c>
      <c r="K148" s="30">
        <f t="shared" si="24"/>
        <v>2006</v>
      </c>
      <c r="L148" s="30">
        <f t="shared" si="24"/>
        <v>2007</v>
      </c>
      <c r="M148" s="30">
        <f t="shared" si="24"/>
        <v>2008</v>
      </c>
      <c r="N148" s="30">
        <f t="shared" si="24"/>
        <v>2009</v>
      </c>
      <c r="O148" s="30">
        <f t="shared" si="24"/>
        <v>2010</v>
      </c>
      <c r="P148" s="30">
        <f t="shared" si="24"/>
        <v>2011</v>
      </c>
      <c r="Q148" s="30">
        <f t="shared" si="24"/>
        <v>2012</v>
      </c>
      <c r="R148" s="30">
        <f t="shared" si="24"/>
        <v>2013</v>
      </c>
      <c r="S148" s="30">
        <f t="shared" si="24"/>
        <v>2014</v>
      </c>
      <c r="T148" s="30">
        <f t="shared" si="24"/>
        <v>2015</v>
      </c>
      <c r="U148" s="30">
        <f t="shared" si="24"/>
        <v>2016</v>
      </c>
      <c r="V148" s="30">
        <f t="shared" si="24"/>
        <v>2017</v>
      </c>
      <c r="W148" s="30">
        <f t="shared" si="24"/>
        <v>2018</v>
      </c>
      <c r="X148" s="30">
        <f t="shared" si="24"/>
        <v>2019</v>
      </c>
      <c r="Y148" s="30">
        <f t="shared" si="24"/>
        <v>2020</v>
      </c>
      <c r="Z148" s="30">
        <f t="shared" si="24"/>
        <v>2021</v>
      </c>
      <c r="AA148" s="30">
        <f t="shared" si="24"/>
        <v>2022</v>
      </c>
      <c r="AB148" s="30">
        <f t="shared" si="24"/>
        <v>2023</v>
      </c>
      <c r="AC148" s="30">
        <f t="shared" si="24"/>
        <v>2024</v>
      </c>
      <c r="AD148" s="30">
        <f t="shared" si="24"/>
        <v>2025</v>
      </c>
      <c r="AE148" s="30">
        <f t="shared" si="24"/>
        <v>2026</v>
      </c>
      <c r="AF148" s="30">
        <f t="shared" si="24"/>
        <v>2027</v>
      </c>
      <c r="AG148" s="30">
        <f t="shared" si="24"/>
        <v>2028</v>
      </c>
      <c r="AH148" s="30">
        <f t="shared" si="24"/>
        <v>2029</v>
      </c>
      <c r="AI148" s="30">
        <f t="shared" si="24"/>
        <v>2030</v>
      </c>
      <c r="AJ148" s="30">
        <f t="shared" si="24"/>
        <v>2031</v>
      </c>
      <c r="AK148" s="30">
        <f t="shared" si="24"/>
        <v>2032</v>
      </c>
      <c r="AL148" s="30">
        <f t="shared" si="24"/>
        <v>2033</v>
      </c>
      <c r="AM148" s="30">
        <f t="shared" si="24"/>
        <v>2034</v>
      </c>
      <c r="AN148" s="30">
        <f t="shared" si="24"/>
        <v>2035</v>
      </c>
    </row>
    <row r="149" spans="2:40">
      <c r="B149" s="19"/>
      <c r="C149" s="20"/>
      <c r="D149" s="20"/>
      <c r="E149" s="13"/>
      <c r="F149" s="13"/>
      <c r="G149" s="13"/>
      <c r="H149" s="13"/>
      <c r="I149" s="13"/>
      <c r="J149" s="13"/>
      <c r="K149" s="13"/>
      <c r="L149" s="13"/>
      <c r="M149" s="13"/>
      <c r="N149" s="13"/>
      <c r="O149" s="13"/>
      <c r="P149" s="13"/>
      <c r="Q149" s="13"/>
      <c r="R149" s="13"/>
      <c r="S149" s="13"/>
      <c r="T149" s="6"/>
      <c r="U149" s="6"/>
      <c r="V149" s="6"/>
      <c r="W149" s="6"/>
      <c r="X149" s="6"/>
      <c r="Y149" s="6"/>
      <c r="Z149" s="6"/>
      <c r="AA149" s="6"/>
      <c r="AB149" s="6"/>
      <c r="AC149" s="8"/>
      <c r="AD149" s="8"/>
      <c r="AE149" s="8"/>
      <c r="AF149" s="8"/>
      <c r="AG149" s="8"/>
      <c r="AH149" s="8"/>
      <c r="AI149" s="8"/>
      <c r="AJ149" s="8"/>
      <c r="AK149" s="8"/>
      <c r="AL149" s="8"/>
      <c r="AM149" s="8"/>
      <c r="AN149" s="8"/>
    </row>
    <row r="150" spans="2:40">
      <c r="B150" s="5"/>
      <c r="C150" s="6"/>
      <c r="D150" s="7"/>
      <c r="E150" s="7"/>
      <c r="F150" s="7"/>
      <c r="G150" s="7"/>
      <c r="H150" s="7"/>
      <c r="I150" s="7"/>
      <c r="J150" s="7"/>
      <c r="K150" s="7"/>
      <c r="L150" s="7"/>
      <c r="M150" s="7"/>
      <c r="N150" s="7"/>
      <c r="O150" s="7"/>
      <c r="P150" s="7"/>
      <c r="Q150" s="7"/>
      <c r="R150" s="7"/>
      <c r="S150" s="7"/>
      <c r="T150" s="7"/>
      <c r="U150" s="7"/>
      <c r="V150" s="7"/>
      <c r="W150" s="7"/>
      <c r="X150" s="6"/>
      <c r="Y150" s="6"/>
      <c r="Z150" s="6"/>
      <c r="AA150" s="6"/>
      <c r="AB150" s="6"/>
      <c r="AC150" s="8"/>
      <c r="AD150" s="8"/>
      <c r="AE150" s="8"/>
      <c r="AF150" s="8"/>
      <c r="AG150" s="8"/>
      <c r="AH150" s="8"/>
      <c r="AI150" s="8"/>
      <c r="AJ150" s="8"/>
      <c r="AK150" s="8"/>
      <c r="AL150" s="8"/>
      <c r="AM150" s="8"/>
      <c r="AN150" s="8"/>
    </row>
    <row r="151" spans="2:40">
      <c r="B151" s="21"/>
      <c r="C151" s="6"/>
      <c r="D151" s="7"/>
      <c r="E151" s="7"/>
      <c r="F151" s="7"/>
      <c r="G151" s="7"/>
      <c r="H151" s="7"/>
      <c r="I151" s="7"/>
      <c r="J151" s="7"/>
      <c r="K151" s="7"/>
      <c r="L151" s="7"/>
      <c r="M151" s="7"/>
      <c r="N151" s="7"/>
      <c r="O151" s="7"/>
      <c r="P151" s="7"/>
      <c r="Q151" s="7"/>
      <c r="R151" s="7"/>
      <c r="S151" s="7"/>
      <c r="T151" s="7"/>
      <c r="U151" s="7"/>
      <c r="V151" s="7"/>
      <c r="W151" s="7"/>
      <c r="X151" s="6"/>
      <c r="Y151" s="6"/>
      <c r="Z151" s="6"/>
      <c r="AA151" s="6"/>
      <c r="AB151" s="6"/>
      <c r="AC151" s="8"/>
      <c r="AD151" s="8"/>
      <c r="AE151" s="8"/>
      <c r="AF151" s="8"/>
      <c r="AG151" s="8"/>
      <c r="AH151" s="8"/>
      <c r="AI151" s="8"/>
      <c r="AJ151" s="8"/>
      <c r="AK151" s="8"/>
      <c r="AL151" s="8"/>
      <c r="AM151" s="8"/>
      <c r="AN151" s="8"/>
    </row>
    <row r="152" spans="2:40">
      <c r="B152" s="21"/>
      <c r="C152" s="6"/>
      <c r="D152" s="7"/>
      <c r="E152" s="7"/>
      <c r="F152" s="7"/>
      <c r="G152" s="7"/>
      <c r="H152" s="7"/>
      <c r="I152" s="7"/>
      <c r="J152" s="7"/>
      <c r="K152" s="7"/>
      <c r="L152" s="7"/>
      <c r="M152" s="7"/>
      <c r="N152" s="7"/>
      <c r="O152" s="7"/>
      <c r="P152" s="7"/>
      <c r="Q152" s="7"/>
      <c r="R152" s="7"/>
      <c r="S152" s="7"/>
      <c r="T152" s="7"/>
      <c r="U152" s="7"/>
      <c r="V152" s="7"/>
      <c r="W152" s="7"/>
      <c r="X152" s="6"/>
      <c r="Y152" s="6"/>
      <c r="Z152" s="6"/>
      <c r="AA152" s="6"/>
      <c r="AB152" s="6"/>
      <c r="AC152" s="8"/>
      <c r="AD152" s="8"/>
      <c r="AE152" s="8"/>
      <c r="AF152" s="8"/>
      <c r="AG152" s="8"/>
      <c r="AH152" s="8"/>
      <c r="AI152" s="8"/>
      <c r="AJ152" s="8"/>
      <c r="AK152" s="8"/>
      <c r="AL152" s="8"/>
      <c r="AM152" s="8"/>
      <c r="AN152" s="8"/>
    </row>
    <row r="153" spans="2:40">
      <c r="B153" s="21"/>
      <c r="C153" s="6"/>
      <c r="D153" s="7"/>
      <c r="E153" s="7"/>
      <c r="F153" s="7"/>
      <c r="G153" s="7"/>
      <c r="H153" s="7"/>
      <c r="I153" s="7"/>
      <c r="J153" s="7"/>
      <c r="K153" s="7"/>
      <c r="L153" s="7"/>
      <c r="M153" s="7"/>
      <c r="N153" s="7"/>
      <c r="O153" s="7"/>
      <c r="P153" s="7"/>
      <c r="Q153" s="7"/>
      <c r="R153" s="7"/>
      <c r="S153" s="7"/>
      <c r="T153" s="7"/>
      <c r="U153" s="7"/>
      <c r="V153" s="7"/>
      <c r="W153" s="7"/>
      <c r="X153" s="6"/>
      <c r="Y153" s="6"/>
      <c r="Z153" s="6"/>
      <c r="AA153" s="6"/>
      <c r="AB153" s="6"/>
      <c r="AC153" s="8"/>
      <c r="AD153" s="8"/>
      <c r="AE153" s="8"/>
      <c r="AF153" s="8"/>
      <c r="AG153" s="8"/>
      <c r="AH153" s="8"/>
      <c r="AI153" s="8"/>
      <c r="AJ153" s="8"/>
      <c r="AK153" s="8"/>
      <c r="AL153" s="8"/>
      <c r="AM153" s="8"/>
      <c r="AN153" s="8"/>
    </row>
    <row r="154" spans="2:40">
      <c r="B154" s="21"/>
      <c r="C154" s="6"/>
      <c r="D154" s="7"/>
      <c r="E154" s="7"/>
      <c r="F154" s="7"/>
      <c r="G154" s="7"/>
      <c r="H154" s="7"/>
      <c r="I154" s="7"/>
      <c r="J154" s="7"/>
      <c r="K154" s="7"/>
      <c r="L154" s="7"/>
      <c r="M154" s="7"/>
      <c r="N154" s="7"/>
      <c r="O154" s="7"/>
      <c r="P154" s="7"/>
      <c r="Q154" s="7"/>
      <c r="R154" s="7"/>
      <c r="S154" s="7"/>
      <c r="T154" s="7"/>
      <c r="U154" s="7"/>
      <c r="V154" s="7"/>
      <c r="W154" s="7"/>
      <c r="X154" s="6"/>
      <c r="Y154" s="6"/>
      <c r="Z154" s="6"/>
      <c r="AA154" s="6"/>
      <c r="AB154" s="6"/>
      <c r="AC154" s="8"/>
      <c r="AD154" s="8"/>
      <c r="AE154" s="8"/>
      <c r="AF154" s="8"/>
      <c r="AG154" s="8"/>
      <c r="AH154" s="8"/>
      <c r="AI154" s="8"/>
      <c r="AJ154" s="8"/>
      <c r="AK154" s="8"/>
      <c r="AL154" s="8"/>
      <c r="AM154" s="8"/>
      <c r="AN154" s="8"/>
    </row>
    <row r="155" spans="2:40">
      <c r="B155" s="21"/>
      <c r="C155" s="6"/>
      <c r="D155" s="7"/>
      <c r="E155" s="7"/>
      <c r="F155" s="7"/>
      <c r="G155" s="7"/>
      <c r="H155" s="7"/>
      <c r="I155" s="7"/>
      <c r="J155" s="7"/>
      <c r="K155" s="7"/>
      <c r="L155" s="7"/>
      <c r="M155" s="7"/>
      <c r="N155" s="7"/>
      <c r="O155" s="7"/>
      <c r="P155" s="7"/>
      <c r="Q155" s="7"/>
      <c r="R155" s="7"/>
      <c r="S155" s="7"/>
      <c r="T155" s="7"/>
      <c r="U155" s="7"/>
      <c r="V155" s="7"/>
      <c r="W155" s="7"/>
      <c r="X155" s="6"/>
      <c r="Y155" s="6"/>
      <c r="Z155" s="6"/>
      <c r="AA155" s="6"/>
      <c r="AB155" s="6"/>
      <c r="AC155" s="8"/>
      <c r="AD155" s="8"/>
      <c r="AE155" s="8"/>
      <c r="AF155" s="8"/>
      <c r="AG155" s="8"/>
      <c r="AH155" s="8"/>
      <c r="AI155" s="8"/>
      <c r="AJ155" s="8"/>
      <c r="AK155" s="8"/>
      <c r="AL155" s="8"/>
      <c r="AM155" s="8"/>
      <c r="AN155" s="8"/>
    </row>
    <row r="156" spans="2:40" ht="14.5">
      <c r="B156" s="22"/>
      <c r="C156" s="6"/>
      <c r="D156" s="7"/>
      <c r="E156" s="7"/>
      <c r="F156" s="7"/>
      <c r="G156" s="7"/>
      <c r="H156" s="7"/>
      <c r="I156" s="7"/>
      <c r="J156" s="7"/>
      <c r="K156" s="7"/>
      <c r="L156" s="7"/>
      <c r="M156" s="7"/>
      <c r="N156" s="7"/>
      <c r="O156" s="7"/>
      <c r="P156" s="7"/>
      <c r="Q156" s="7"/>
      <c r="R156" s="7"/>
      <c r="S156" s="7"/>
      <c r="T156" s="7"/>
      <c r="U156" s="7"/>
      <c r="V156" s="7"/>
      <c r="W156" s="7"/>
      <c r="X156" s="6"/>
      <c r="Y156" s="6"/>
      <c r="Z156" s="6"/>
      <c r="AA156" s="6"/>
      <c r="AB156" s="6"/>
      <c r="AC156" s="8"/>
      <c r="AD156" s="8"/>
      <c r="AE156" s="8"/>
      <c r="AF156" s="8"/>
      <c r="AG156" s="8"/>
      <c r="AH156" s="8"/>
      <c r="AI156" s="8"/>
      <c r="AJ156" s="8"/>
      <c r="AK156" s="8"/>
      <c r="AL156" s="8"/>
      <c r="AM156" s="8"/>
      <c r="AN156" s="8"/>
    </row>
    <row r="157" spans="2:40">
      <c r="B157" s="21"/>
      <c r="C157" s="6"/>
      <c r="D157" s="7"/>
      <c r="E157" s="7"/>
      <c r="F157" s="7"/>
      <c r="G157" s="7"/>
      <c r="H157" s="7"/>
      <c r="I157" s="7"/>
      <c r="J157" s="7"/>
      <c r="K157" s="7"/>
      <c r="L157" s="7"/>
      <c r="M157" s="7"/>
      <c r="N157" s="7"/>
      <c r="O157" s="7"/>
      <c r="P157" s="7"/>
      <c r="Q157" s="7"/>
      <c r="R157" s="7"/>
      <c r="S157" s="7"/>
      <c r="T157" s="6"/>
      <c r="U157" s="6"/>
      <c r="V157" s="6"/>
      <c r="W157" s="6"/>
      <c r="X157" s="6"/>
      <c r="Y157" s="6"/>
      <c r="Z157" s="6"/>
      <c r="AA157" s="6"/>
      <c r="AB157" s="6"/>
      <c r="AC157" s="8"/>
      <c r="AD157" s="8"/>
      <c r="AE157" s="8"/>
      <c r="AF157" s="8"/>
      <c r="AG157" s="8"/>
      <c r="AH157" s="8"/>
      <c r="AI157" s="8"/>
      <c r="AJ157" s="8"/>
      <c r="AK157" s="8"/>
      <c r="AL157" s="8"/>
      <c r="AM157" s="8"/>
      <c r="AN157" s="8"/>
    </row>
    <row r="158" spans="2:40">
      <c r="B158" s="21"/>
      <c r="C158" s="6"/>
      <c r="D158" s="7"/>
      <c r="E158" s="7"/>
      <c r="F158" s="7"/>
      <c r="G158" s="7"/>
      <c r="H158" s="7"/>
      <c r="I158" s="7"/>
      <c r="J158" s="7"/>
      <c r="K158" s="7"/>
      <c r="L158" s="7"/>
      <c r="M158" s="7"/>
      <c r="N158" s="7"/>
      <c r="O158" s="7"/>
      <c r="P158" s="7"/>
      <c r="Q158" s="7"/>
      <c r="R158" s="7"/>
      <c r="S158" s="7"/>
      <c r="T158" s="6"/>
      <c r="U158" s="6"/>
      <c r="V158" s="6"/>
      <c r="W158" s="6"/>
      <c r="X158" s="6"/>
      <c r="Y158" s="6"/>
      <c r="Z158" s="6"/>
      <c r="AA158" s="6"/>
      <c r="AB158" s="6"/>
      <c r="AC158" s="8"/>
      <c r="AD158" s="8"/>
      <c r="AE158" s="8"/>
      <c r="AF158" s="8"/>
      <c r="AG158" s="8"/>
      <c r="AH158" s="8"/>
      <c r="AI158" s="8"/>
      <c r="AJ158" s="8"/>
      <c r="AK158" s="8"/>
      <c r="AL158" s="8"/>
      <c r="AM158" s="8"/>
      <c r="AN158" s="8"/>
    </row>
    <row r="159" spans="2:40">
      <c r="B159" s="21"/>
      <c r="C159" s="6"/>
      <c r="D159" s="7"/>
      <c r="E159" s="7"/>
      <c r="F159" s="7"/>
      <c r="G159" s="7"/>
      <c r="H159" s="7"/>
      <c r="I159" s="7"/>
      <c r="J159" s="7"/>
      <c r="K159" s="7"/>
      <c r="L159" s="7"/>
      <c r="M159" s="7"/>
      <c r="N159" s="7"/>
      <c r="O159" s="7"/>
      <c r="P159" s="7"/>
      <c r="Q159" s="7"/>
      <c r="R159" s="7"/>
      <c r="S159" s="7"/>
      <c r="T159" s="6"/>
      <c r="U159" s="6"/>
      <c r="V159" s="6"/>
      <c r="W159" s="6"/>
      <c r="X159" s="6"/>
      <c r="Y159" s="6"/>
      <c r="Z159" s="6"/>
      <c r="AA159" s="6"/>
      <c r="AB159" s="6"/>
      <c r="AC159" s="8"/>
      <c r="AD159" s="8"/>
      <c r="AE159" s="8"/>
      <c r="AF159" s="8"/>
      <c r="AG159" s="8"/>
      <c r="AH159" s="8"/>
      <c r="AI159" s="8"/>
      <c r="AJ159" s="8"/>
      <c r="AK159" s="8"/>
      <c r="AL159" s="8"/>
      <c r="AM159" s="8"/>
      <c r="AN159" s="8"/>
    </row>
    <row r="160" spans="2:40" ht="14.5">
      <c r="B160" s="22"/>
      <c r="C160" s="6"/>
      <c r="D160" s="7"/>
      <c r="E160" s="7"/>
      <c r="F160" s="7"/>
      <c r="G160" s="7"/>
      <c r="H160" s="7"/>
      <c r="I160" s="7"/>
      <c r="J160" s="7"/>
      <c r="K160" s="7"/>
      <c r="L160" s="7"/>
      <c r="M160" s="7"/>
      <c r="N160" s="7"/>
      <c r="O160" s="7"/>
      <c r="P160" s="7"/>
      <c r="Q160" s="7"/>
      <c r="R160" s="7"/>
      <c r="S160" s="7"/>
      <c r="T160" s="6"/>
      <c r="U160" s="6"/>
      <c r="V160" s="6"/>
      <c r="W160" s="6"/>
      <c r="X160" s="6"/>
      <c r="Y160" s="6"/>
      <c r="Z160" s="6"/>
      <c r="AA160" s="6"/>
      <c r="AB160" s="6"/>
      <c r="AC160" s="8"/>
      <c r="AD160" s="8"/>
      <c r="AE160" s="8"/>
      <c r="AF160" s="8"/>
      <c r="AG160" s="8"/>
      <c r="AH160" s="8"/>
      <c r="AI160" s="8"/>
      <c r="AJ160" s="8"/>
      <c r="AK160" s="8"/>
      <c r="AL160" s="8"/>
      <c r="AM160" s="8"/>
      <c r="AN160" s="8"/>
    </row>
    <row r="161" spans="2:40" ht="14.5">
      <c r="B161" s="22"/>
      <c r="C161" s="6"/>
      <c r="D161" s="7"/>
      <c r="E161" s="7"/>
      <c r="F161" s="7"/>
      <c r="G161" s="7"/>
      <c r="H161" s="7"/>
      <c r="I161" s="7"/>
      <c r="J161" s="7"/>
      <c r="K161" s="7"/>
      <c r="L161" s="7"/>
      <c r="M161" s="7"/>
      <c r="N161" s="7"/>
      <c r="O161" s="7"/>
      <c r="P161" s="7"/>
      <c r="Q161" s="7"/>
      <c r="R161" s="7"/>
      <c r="S161" s="7"/>
      <c r="T161" s="6"/>
      <c r="U161" s="6"/>
      <c r="V161" s="6"/>
      <c r="W161" s="6"/>
      <c r="X161" s="6"/>
      <c r="Y161" s="6"/>
      <c r="Z161" s="6"/>
      <c r="AA161" s="6"/>
      <c r="AB161" s="6"/>
      <c r="AC161" s="8"/>
      <c r="AD161" s="8"/>
      <c r="AE161" s="8"/>
      <c r="AF161" s="8"/>
      <c r="AG161" s="8"/>
      <c r="AH161" s="8"/>
      <c r="AI161" s="8"/>
      <c r="AJ161" s="8"/>
      <c r="AK161" s="8"/>
      <c r="AL161" s="8"/>
      <c r="AM161" s="8"/>
      <c r="AN161" s="8"/>
    </row>
    <row r="162" spans="2:40">
      <c r="B162" s="19" t="s">
        <v>2</v>
      </c>
      <c r="C162" s="20"/>
      <c r="D162" s="20"/>
      <c r="E162" s="13"/>
      <c r="F162" s="13"/>
      <c r="G162" s="13"/>
      <c r="H162" s="13"/>
      <c r="I162" s="13"/>
      <c r="J162" s="13"/>
      <c r="K162" s="13"/>
      <c r="L162" s="13"/>
      <c r="M162" s="13"/>
      <c r="N162" s="13"/>
      <c r="O162" s="6"/>
      <c r="P162" s="6"/>
      <c r="Q162" s="6"/>
      <c r="R162" s="6"/>
      <c r="S162" s="6"/>
      <c r="T162" s="6"/>
      <c r="U162" s="6"/>
      <c r="V162" s="6"/>
      <c r="W162" s="6"/>
      <c r="X162" s="6"/>
      <c r="Y162" s="6"/>
      <c r="Z162" s="6"/>
      <c r="AA162" s="6"/>
      <c r="AB162" s="6"/>
      <c r="AC162" s="8"/>
      <c r="AD162" s="8"/>
      <c r="AE162" s="8"/>
      <c r="AF162" s="8"/>
      <c r="AG162" s="8"/>
      <c r="AH162" s="8"/>
      <c r="AI162" s="8"/>
      <c r="AJ162" s="8"/>
      <c r="AK162" s="8"/>
      <c r="AL162" s="8"/>
      <c r="AM162" s="8"/>
      <c r="AN162" s="8"/>
    </row>
    <row r="163" spans="2:40">
      <c r="B163" s="5"/>
      <c r="C163" s="6"/>
      <c r="D163" s="7"/>
      <c r="E163" s="7"/>
      <c r="F163" s="7"/>
      <c r="G163" s="7"/>
      <c r="H163" s="7"/>
      <c r="I163" s="7"/>
      <c r="J163" s="7"/>
      <c r="K163" s="7"/>
      <c r="L163" s="7"/>
      <c r="M163" s="7"/>
      <c r="N163" s="7"/>
      <c r="O163" s="7"/>
      <c r="P163" s="7"/>
      <c r="Q163" s="7"/>
      <c r="R163" s="7"/>
      <c r="S163" s="7"/>
      <c r="T163" s="6"/>
      <c r="U163" s="6"/>
      <c r="V163" s="6"/>
      <c r="W163" s="6"/>
      <c r="X163" s="6"/>
      <c r="Y163" s="6"/>
      <c r="Z163" s="6"/>
      <c r="AA163" s="6"/>
      <c r="AB163" s="6"/>
      <c r="AC163" s="8"/>
      <c r="AD163" s="8"/>
      <c r="AE163" s="8"/>
      <c r="AF163" s="8"/>
      <c r="AG163" s="8"/>
      <c r="AH163" s="8"/>
      <c r="AI163" s="8"/>
      <c r="AJ163" s="8"/>
      <c r="AK163" s="8"/>
      <c r="AL163" s="8"/>
      <c r="AM163" s="8"/>
      <c r="AN163" s="8"/>
    </row>
    <row r="164" spans="2:40">
      <c r="B164" s="5"/>
      <c r="C164" s="6"/>
      <c r="D164" s="7"/>
      <c r="E164" s="7"/>
      <c r="F164" s="7"/>
      <c r="G164" s="7"/>
      <c r="H164" s="7"/>
      <c r="I164" s="7"/>
      <c r="J164" s="7"/>
      <c r="K164" s="7"/>
      <c r="L164" s="7"/>
      <c r="M164" s="7"/>
      <c r="N164" s="7"/>
      <c r="O164" s="7"/>
      <c r="P164" s="7"/>
      <c r="Q164" s="7"/>
      <c r="R164" s="7"/>
      <c r="S164" s="7"/>
      <c r="T164" s="6"/>
      <c r="U164" s="6"/>
      <c r="V164" s="6"/>
      <c r="W164" s="6"/>
      <c r="X164" s="6"/>
      <c r="Y164" s="6"/>
      <c r="Z164" s="6"/>
      <c r="AA164" s="6"/>
      <c r="AB164" s="6"/>
      <c r="AC164" s="8"/>
      <c r="AD164" s="8"/>
      <c r="AE164" s="8"/>
      <c r="AF164" s="8"/>
      <c r="AG164" s="8"/>
      <c r="AH164" s="8"/>
      <c r="AI164" s="8"/>
      <c r="AJ164" s="8"/>
      <c r="AK164" s="8"/>
      <c r="AL164" s="8"/>
      <c r="AM164" s="8"/>
      <c r="AN164" s="8"/>
    </row>
    <row r="165" spans="2:40">
      <c r="B165" s="5"/>
      <c r="C165" s="6"/>
      <c r="D165" s="7"/>
      <c r="E165" s="7"/>
      <c r="F165" s="7"/>
      <c r="G165" s="7"/>
      <c r="H165" s="7"/>
      <c r="I165" s="7"/>
      <c r="J165" s="7"/>
      <c r="K165" s="7"/>
      <c r="L165" s="7"/>
      <c r="M165" s="7"/>
      <c r="N165" s="7"/>
      <c r="O165" s="7"/>
      <c r="P165" s="7"/>
      <c r="Q165" s="7"/>
      <c r="R165" s="7"/>
      <c r="S165" s="7"/>
      <c r="T165" s="6"/>
      <c r="U165" s="6"/>
      <c r="V165" s="6"/>
      <c r="W165" s="6"/>
      <c r="X165" s="6"/>
      <c r="Y165" s="6"/>
      <c r="Z165" s="6"/>
      <c r="AA165" s="6"/>
      <c r="AB165" s="6"/>
      <c r="AC165" s="8"/>
      <c r="AD165" s="8"/>
      <c r="AE165" s="8"/>
      <c r="AF165" s="8"/>
      <c r="AG165" s="8"/>
      <c r="AH165" s="8"/>
      <c r="AI165" s="8"/>
      <c r="AJ165" s="8"/>
      <c r="AK165" s="8"/>
      <c r="AL165" s="8"/>
      <c r="AM165" s="8"/>
      <c r="AN165" s="8"/>
    </row>
    <row r="166" spans="2:40">
      <c r="B166" s="5"/>
      <c r="C166" s="6"/>
      <c r="D166" s="7"/>
      <c r="E166" s="7"/>
      <c r="F166" s="7"/>
      <c r="G166" s="7"/>
      <c r="H166" s="7"/>
      <c r="I166" s="7"/>
      <c r="J166" s="7"/>
      <c r="K166" s="7"/>
      <c r="L166" s="7"/>
      <c r="M166" s="7"/>
      <c r="N166" s="7"/>
      <c r="O166" s="7"/>
      <c r="P166" s="7"/>
      <c r="Q166" s="7"/>
      <c r="R166" s="7"/>
      <c r="S166" s="7"/>
      <c r="T166" s="6"/>
      <c r="U166" s="6"/>
      <c r="V166" s="6"/>
      <c r="W166" s="6"/>
      <c r="X166" s="6"/>
      <c r="Y166" s="6"/>
      <c r="Z166" s="6"/>
      <c r="AA166" s="6"/>
      <c r="AB166" s="6"/>
      <c r="AC166" s="8"/>
      <c r="AD166" s="8"/>
      <c r="AE166" s="8"/>
      <c r="AF166" s="8"/>
      <c r="AG166" s="8"/>
      <c r="AH166" s="8"/>
      <c r="AI166" s="8"/>
      <c r="AJ166" s="8"/>
      <c r="AK166" s="8"/>
      <c r="AL166" s="8"/>
      <c r="AM166" s="8"/>
      <c r="AN166" s="8"/>
    </row>
    <row r="167" spans="2:40">
      <c r="B167" s="5"/>
      <c r="C167" s="6"/>
      <c r="D167" s="7"/>
      <c r="E167" s="7"/>
      <c r="F167" s="7"/>
      <c r="G167" s="7"/>
      <c r="H167" s="7"/>
      <c r="I167" s="7"/>
      <c r="J167" s="7"/>
      <c r="K167" s="7"/>
      <c r="L167" s="7"/>
      <c r="M167" s="7"/>
      <c r="N167" s="7"/>
      <c r="O167" s="7"/>
      <c r="P167" s="7"/>
      <c r="Q167" s="7"/>
      <c r="R167" s="7"/>
      <c r="S167" s="7"/>
      <c r="T167" s="6"/>
      <c r="U167" s="6"/>
      <c r="V167" s="6"/>
      <c r="W167" s="6"/>
      <c r="X167" s="6"/>
      <c r="Y167" s="6"/>
      <c r="Z167" s="6"/>
      <c r="AA167" s="6"/>
      <c r="AB167" s="6"/>
      <c r="AC167" s="8"/>
      <c r="AD167" s="8"/>
      <c r="AE167" s="8"/>
      <c r="AF167" s="8"/>
      <c r="AG167" s="8"/>
      <c r="AH167" s="8"/>
      <c r="AI167" s="8"/>
      <c r="AJ167" s="8"/>
      <c r="AK167" s="8"/>
      <c r="AL167" s="8"/>
      <c r="AM167" s="8"/>
      <c r="AN167" s="8"/>
    </row>
    <row r="168" spans="2:40">
      <c r="B168" s="5"/>
      <c r="C168" s="6"/>
      <c r="D168" s="7"/>
      <c r="E168" s="7"/>
      <c r="F168" s="7"/>
      <c r="G168" s="7"/>
      <c r="H168" s="7"/>
      <c r="I168" s="7"/>
      <c r="J168" s="7"/>
      <c r="K168" s="7"/>
      <c r="L168" s="7"/>
      <c r="M168" s="7"/>
      <c r="N168" s="7"/>
      <c r="O168" s="7"/>
      <c r="P168" s="7"/>
      <c r="Q168" s="7"/>
      <c r="R168" s="7"/>
      <c r="S168" s="7"/>
      <c r="T168" s="6"/>
      <c r="U168" s="6"/>
      <c r="V168" s="6"/>
      <c r="W168" s="6"/>
      <c r="X168" s="6"/>
      <c r="Y168" s="6"/>
      <c r="Z168" s="6"/>
      <c r="AA168" s="6"/>
      <c r="AB168" s="6"/>
      <c r="AC168" s="8"/>
      <c r="AD168" s="8"/>
      <c r="AE168" s="8"/>
      <c r="AF168" s="8"/>
      <c r="AG168" s="8"/>
      <c r="AH168" s="8"/>
      <c r="AI168" s="8"/>
      <c r="AJ168" s="8"/>
      <c r="AK168" s="8"/>
      <c r="AL168" s="8"/>
      <c r="AM168" s="8"/>
      <c r="AN168" s="8"/>
    </row>
    <row r="169" spans="2:40">
      <c r="B169" s="5"/>
      <c r="C169" s="6"/>
      <c r="D169" s="7"/>
      <c r="E169" s="7"/>
      <c r="F169" s="7"/>
      <c r="G169" s="7"/>
      <c r="H169" s="7"/>
      <c r="I169" s="7"/>
      <c r="J169" s="7"/>
      <c r="K169" s="7"/>
      <c r="L169" s="7"/>
      <c r="M169" s="7"/>
      <c r="N169" s="7"/>
      <c r="O169" s="7"/>
      <c r="P169" s="7"/>
      <c r="Q169" s="7"/>
      <c r="R169" s="7"/>
      <c r="S169" s="7"/>
      <c r="T169" s="6"/>
      <c r="U169" s="6"/>
      <c r="V169" s="6"/>
      <c r="W169" s="6"/>
      <c r="X169" s="6"/>
      <c r="Y169" s="6"/>
      <c r="Z169" s="6"/>
      <c r="AA169" s="6"/>
      <c r="AB169" s="6"/>
      <c r="AC169" s="8"/>
      <c r="AD169" s="8"/>
      <c r="AE169" s="8"/>
      <c r="AF169" s="8"/>
      <c r="AG169" s="8"/>
      <c r="AH169" s="8"/>
      <c r="AI169" s="8"/>
      <c r="AJ169" s="8"/>
      <c r="AK169" s="8"/>
      <c r="AL169" s="8"/>
      <c r="AM169" s="8"/>
      <c r="AN169" s="8"/>
    </row>
    <row r="170" spans="2:40">
      <c r="B170" s="21"/>
      <c r="C170" s="6"/>
      <c r="D170" s="7"/>
      <c r="E170" s="7"/>
      <c r="F170" s="7"/>
      <c r="G170" s="7"/>
      <c r="H170" s="7"/>
      <c r="I170" s="7"/>
      <c r="J170" s="7"/>
      <c r="K170" s="7"/>
      <c r="L170" s="7"/>
      <c r="M170" s="7"/>
      <c r="N170" s="7"/>
      <c r="O170" s="7"/>
      <c r="P170" s="7"/>
      <c r="Q170" s="7"/>
      <c r="R170" s="7"/>
      <c r="S170" s="7"/>
      <c r="T170" s="6"/>
      <c r="U170" s="6"/>
      <c r="V170" s="6"/>
      <c r="W170" s="6"/>
      <c r="X170" s="6"/>
      <c r="Y170" s="6"/>
      <c r="Z170" s="6"/>
      <c r="AA170" s="6"/>
      <c r="AB170" s="6"/>
      <c r="AC170" s="8"/>
      <c r="AD170" s="8"/>
      <c r="AE170" s="8"/>
      <c r="AF170" s="8"/>
      <c r="AG170" s="8"/>
      <c r="AH170" s="8"/>
      <c r="AI170" s="8"/>
      <c r="AJ170" s="8"/>
      <c r="AK170" s="8"/>
      <c r="AL170" s="8"/>
      <c r="AM170" s="8"/>
      <c r="AN170" s="8"/>
    </row>
    <row r="171" spans="2:40">
      <c r="B171" s="21"/>
      <c r="C171" s="6"/>
      <c r="D171" s="7"/>
      <c r="E171" s="7"/>
      <c r="F171" s="7"/>
      <c r="G171" s="7"/>
      <c r="H171" s="7"/>
      <c r="I171" s="7"/>
      <c r="J171" s="7"/>
      <c r="K171" s="7"/>
      <c r="L171" s="7"/>
      <c r="M171" s="7"/>
      <c r="N171" s="7"/>
      <c r="O171" s="7"/>
      <c r="P171" s="7"/>
      <c r="Q171" s="7"/>
      <c r="R171" s="7"/>
      <c r="S171" s="7"/>
      <c r="T171" s="6"/>
      <c r="U171" s="6"/>
      <c r="V171" s="6"/>
      <c r="W171" s="6"/>
      <c r="X171" s="6"/>
      <c r="Y171" s="6"/>
      <c r="Z171" s="6"/>
      <c r="AA171" s="6"/>
      <c r="AB171" s="6"/>
      <c r="AC171" s="8"/>
      <c r="AD171" s="8"/>
      <c r="AE171" s="8"/>
      <c r="AF171" s="8"/>
      <c r="AG171" s="8"/>
      <c r="AH171" s="8"/>
      <c r="AI171" s="8"/>
      <c r="AJ171" s="8"/>
      <c r="AK171" s="8"/>
      <c r="AL171" s="8"/>
      <c r="AM171" s="8"/>
      <c r="AN171" s="8"/>
    </row>
    <row r="172" spans="2:40">
      <c r="B172" s="21"/>
      <c r="C172" s="6"/>
      <c r="D172" s="7"/>
      <c r="E172" s="7"/>
      <c r="F172" s="7"/>
      <c r="G172" s="7"/>
      <c r="H172" s="7"/>
      <c r="I172" s="7"/>
      <c r="J172" s="7"/>
      <c r="K172" s="7"/>
      <c r="L172" s="7"/>
      <c r="M172" s="7"/>
      <c r="N172" s="7"/>
      <c r="O172" s="7"/>
      <c r="P172" s="7"/>
      <c r="Q172" s="7"/>
      <c r="R172" s="7"/>
      <c r="S172" s="7"/>
      <c r="T172" s="6"/>
      <c r="U172" s="6"/>
      <c r="V172" s="6"/>
      <c r="W172" s="6"/>
      <c r="X172" s="6"/>
      <c r="Y172" s="6"/>
      <c r="Z172" s="6"/>
      <c r="AA172" s="6"/>
      <c r="AB172" s="6"/>
      <c r="AC172" s="8"/>
      <c r="AD172" s="8"/>
      <c r="AE172" s="8"/>
      <c r="AF172" s="8"/>
      <c r="AG172" s="8"/>
      <c r="AH172" s="8"/>
      <c r="AI172" s="8"/>
      <c r="AJ172" s="8"/>
      <c r="AK172" s="8"/>
      <c r="AL172" s="8"/>
      <c r="AM172" s="8"/>
      <c r="AN172" s="8"/>
    </row>
    <row r="173" spans="2:40" ht="14.5">
      <c r="B173" s="22"/>
      <c r="C173" s="6"/>
      <c r="D173" s="7"/>
      <c r="E173" s="7"/>
      <c r="F173" s="7"/>
      <c r="G173" s="7"/>
      <c r="H173" s="7"/>
      <c r="I173" s="7"/>
      <c r="J173" s="7"/>
      <c r="K173" s="7"/>
      <c r="L173" s="7"/>
      <c r="M173" s="7"/>
      <c r="N173" s="7"/>
      <c r="O173" s="7"/>
      <c r="P173" s="7"/>
      <c r="Q173" s="7"/>
      <c r="R173" s="7"/>
      <c r="S173" s="7"/>
      <c r="T173" s="6"/>
      <c r="U173" s="6"/>
      <c r="V173" s="6"/>
      <c r="W173" s="6"/>
      <c r="X173" s="6"/>
      <c r="Y173" s="6"/>
      <c r="Z173" s="6"/>
      <c r="AA173" s="6"/>
      <c r="AB173" s="6"/>
      <c r="AC173" s="8"/>
      <c r="AD173" s="8"/>
      <c r="AE173" s="8"/>
      <c r="AF173" s="8"/>
      <c r="AG173" s="8"/>
      <c r="AH173" s="8"/>
      <c r="AI173" s="8"/>
      <c r="AJ173" s="8"/>
      <c r="AK173" s="8"/>
      <c r="AL173" s="8"/>
      <c r="AM173" s="8"/>
      <c r="AN173" s="8"/>
    </row>
    <row r="174" spans="2:40" ht="14.5">
      <c r="B174" s="22"/>
      <c r="C174" s="6"/>
      <c r="D174" s="7"/>
      <c r="E174" s="7"/>
      <c r="F174" s="7"/>
      <c r="G174" s="7"/>
      <c r="H174" s="7"/>
      <c r="I174" s="7"/>
      <c r="J174" s="7"/>
      <c r="K174" s="7"/>
      <c r="L174" s="7"/>
      <c r="M174" s="7"/>
      <c r="N174" s="7"/>
      <c r="O174" s="7"/>
      <c r="P174" s="7"/>
      <c r="Q174" s="7"/>
      <c r="R174" s="7"/>
      <c r="S174" s="7"/>
      <c r="T174" s="6"/>
      <c r="U174" s="6"/>
      <c r="V174" s="6"/>
      <c r="W174" s="6"/>
      <c r="X174" s="6"/>
      <c r="Y174" s="6"/>
      <c r="Z174" s="6"/>
      <c r="AA174" s="6"/>
      <c r="AB174" s="6"/>
      <c r="AC174" s="8"/>
      <c r="AD174" s="8"/>
      <c r="AE174" s="8"/>
      <c r="AF174" s="8"/>
      <c r="AG174" s="8"/>
      <c r="AH174" s="8"/>
      <c r="AI174" s="8"/>
      <c r="AJ174" s="8"/>
      <c r="AK174" s="8"/>
      <c r="AL174" s="8"/>
      <c r="AM174" s="8"/>
      <c r="AN174" s="8"/>
    </row>
    <row r="175" spans="2:40">
      <c r="B175" s="19" t="s">
        <v>248</v>
      </c>
      <c r="C175" s="20"/>
      <c r="D175" s="23"/>
      <c r="E175" s="23"/>
      <c r="F175" s="23"/>
      <c r="G175" s="23"/>
      <c r="H175" s="23"/>
      <c r="I175" s="23"/>
      <c r="J175" s="23"/>
      <c r="K175" s="23"/>
      <c r="L175" s="23"/>
      <c r="M175" s="23"/>
      <c r="N175" s="23"/>
      <c r="O175" s="23"/>
      <c r="P175" s="23"/>
      <c r="Q175" s="23"/>
      <c r="R175" s="23"/>
      <c r="S175" s="23"/>
      <c r="T175" s="6"/>
      <c r="U175" s="6"/>
      <c r="V175" s="6"/>
      <c r="W175" s="6"/>
      <c r="X175" s="6"/>
      <c r="Y175" s="6"/>
      <c r="Z175" s="6"/>
      <c r="AA175" s="6"/>
      <c r="AB175" s="6"/>
      <c r="AC175" s="8"/>
      <c r="AD175" s="8"/>
      <c r="AE175" s="8"/>
      <c r="AF175" s="8"/>
      <c r="AG175" s="8"/>
      <c r="AH175" s="8"/>
      <c r="AI175" s="8"/>
      <c r="AJ175" s="8"/>
      <c r="AK175" s="8"/>
      <c r="AL175" s="8"/>
      <c r="AM175" s="8"/>
      <c r="AN175" s="8"/>
    </row>
    <row r="176" spans="2:40">
      <c r="B176" s="5"/>
      <c r="C176" s="6"/>
      <c r="D176" s="7"/>
      <c r="E176" s="7"/>
      <c r="F176" s="7"/>
      <c r="G176" s="7"/>
      <c r="H176" s="7"/>
      <c r="I176" s="7"/>
      <c r="J176" s="7"/>
      <c r="K176" s="7"/>
      <c r="L176" s="7"/>
      <c r="M176" s="7"/>
      <c r="N176" s="7"/>
      <c r="O176" s="7"/>
      <c r="P176" s="7"/>
      <c r="Q176" s="7"/>
      <c r="R176" s="7"/>
      <c r="S176" s="7"/>
      <c r="T176" s="6"/>
      <c r="U176" s="6"/>
      <c r="V176" s="6"/>
      <c r="W176" s="6"/>
      <c r="X176" s="6"/>
      <c r="Y176" s="6"/>
      <c r="Z176" s="6"/>
      <c r="AA176" s="6"/>
      <c r="AB176" s="6"/>
      <c r="AC176" s="8"/>
      <c r="AD176" s="8"/>
      <c r="AE176" s="8"/>
      <c r="AF176" s="8"/>
      <c r="AG176" s="8"/>
      <c r="AH176" s="8"/>
      <c r="AI176" s="8"/>
      <c r="AJ176" s="8"/>
      <c r="AK176" s="8"/>
      <c r="AL176" s="8"/>
      <c r="AM176" s="8"/>
      <c r="AN176" s="8"/>
    </row>
    <row r="177" spans="2:40">
      <c r="B177" s="5"/>
      <c r="C177" s="6"/>
      <c r="D177" s="7"/>
      <c r="E177" s="7"/>
      <c r="F177" s="7"/>
      <c r="G177" s="7"/>
      <c r="H177" s="7"/>
      <c r="I177" s="7"/>
      <c r="J177" s="7"/>
      <c r="K177" s="7"/>
      <c r="L177" s="7"/>
      <c r="M177" s="7"/>
      <c r="N177" s="7"/>
      <c r="O177" s="7"/>
      <c r="P177" s="7"/>
      <c r="Q177" s="7"/>
      <c r="R177" s="7"/>
      <c r="S177" s="7"/>
      <c r="T177" s="6"/>
      <c r="U177" s="6"/>
      <c r="V177" s="6"/>
      <c r="W177" s="6"/>
      <c r="X177" s="6"/>
      <c r="Y177" s="6"/>
      <c r="Z177" s="6"/>
      <c r="AA177" s="6"/>
      <c r="AB177" s="6"/>
      <c r="AC177" s="8"/>
      <c r="AD177" s="8"/>
      <c r="AE177" s="8"/>
      <c r="AF177" s="8"/>
      <c r="AG177" s="8"/>
      <c r="AH177" s="8"/>
      <c r="AI177" s="8"/>
      <c r="AJ177" s="8"/>
      <c r="AK177" s="8"/>
      <c r="AL177" s="8"/>
      <c r="AM177" s="8"/>
      <c r="AN177" s="8"/>
    </row>
    <row r="178" spans="2:40">
      <c r="B178" s="5"/>
      <c r="C178" s="6"/>
      <c r="D178" s="7"/>
      <c r="E178" s="7"/>
      <c r="F178" s="7"/>
      <c r="G178" s="7"/>
      <c r="H178" s="7"/>
      <c r="I178" s="7"/>
      <c r="J178" s="7"/>
      <c r="K178" s="7"/>
      <c r="L178" s="7"/>
      <c r="M178" s="7"/>
      <c r="N178" s="7"/>
      <c r="O178" s="7"/>
      <c r="P178" s="7"/>
      <c r="Q178" s="7"/>
      <c r="R178" s="7"/>
      <c r="S178" s="7"/>
      <c r="T178" s="6"/>
      <c r="U178" s="6"/>
      <c r="V178" s="6"/>
      <c r="W178" s="6"/>
      <c r="X178" s="6"/>
      <c r="Y178" s="6"/>
      <c r="Z178" s="6"/>
      <c r="AA178" s="6"/>
      <c r="AB178" s="6"/>
      <c r="AC178" s="8"/>
      <c r="AD178" s="8"/>
      <c r="AE178" s="8"/>
      <c r="AF178" s="8"/>
      <c r="AG178" s="8"/>
      <c r="AH178" s="8"/>
      <c r="AI178" s="8"/>
      <c r="AJ178" s="8"/>
      <c r="AK178" s="8"/>
      <c r="AL178" s="8"/>
      <c r="AM178" s="8"/>
      <c r="AN178" s="8"/>
    </row>
    <row r="179" spans="2:40">
      <c r="B179" s="5"/>
      <c r="C179" s="6"/>
      <c r="D179" s="7"/>
      <c r="E179" s="7"/>
      <c r="F179" s="7"/>
      <c r="G179" s="7"/>
      <c r="H179" s="7"/>
      <c r="I179" s="7"/>
      <c r="J179" s="7"/>
      <c r="K179" s="7"/>
      <c r="L179" s="7"/>
      <c r="M179" s="7"/>
      <c r="N179" s="7"/>
      <c r="O179" s="7"/>
      <c r="P179" s="7"/>
      <c r="Q179" s="7"/>
      <c r="R179" s="7"/>
      <c r="S179" s="7"/>
      <c r="T179" s="6"/>
      <c r="U179" s="6"/>
      <c r="V179" s="6"/>
      <c r="W179" s="6"/>
      <c r="X179" s="6"/>
      <c r="Y179" s="6"/>
      <c r="Z179" s="6"/>
      <c r="AA179" s="6"/>
      <c r="AB179" s="6"/>
      <c r="AC179" s="8"/>
      <c r="AD179" s="8"/>
      <c r="AE179" s="8"/>
      <c r="AF179" s="8"/>
      <c r="AG179" s="8"/>
      <c r="AH179" s="8"/>
      <c r="AI179" s="8"/>
      <c r="AJ179" s="8"/>
      <c r="AK179" s="8"/>
      <c r="AL179" s="8"/>
      <c r="AM179" s="8"/>
      <c r="AN179" s="8"/>
    </row>
    <row r="180" spans="2:40">
      <c r="B180" s="5"/>
      <c r="C180" s="6"/>
      <c r="D180" s="7"/>
      <c r="E180" s="7"/>
      <c r="F180" s="7"/>
      <c r="G180" s="7"/>
      <c r="H180" s="7"/>
      <c r="I180" s="7"/>
      <c r="J180" s="7"/>
      <c r="K180" s="7"/>
      <c r="L180" s="7"/>
      <c r="M180" s="7"/>
      <c r="N180" s="7"/>
      <c r="O180" s="7"/>
      <c r="P180" s="7"/>
      <c r="Q180" s="7"/>
      <c r="R180" s="7"/>
      <c r="S180" s="7"/>
      <c r="T180" s="6"/>
      <c r="U180" s="6"/>
      <c r="V180" s="6"/>
      <c r="W180" s="6"/>
      <c r="X180" s="6"/>
      <c r="Y180" s="6"/>
      <c r="Z180" s="6"/>
      <c r="AA180" s="6"/>
      <c r="AB180" s="6"/>
      <c r="AC180" s="8"/>
      <c r="AD180" s="8"/>
      <c r="AE180" s="8"/>
      <c r="AF180" s="8"/>
      <c r="AG180" s="8"/>
      <c r="AH180" s="8"/>
      <c r="AI180" s="8"/>
      <c r="AJ180" s="8"/>
      <c r="AK180" s="8"/>
      <c r="AL180" s="8"/>
      <c r="AM180" s="8"/>
      <c r="AN180" s="8"/>
    </row>
    <row r="181" spans="2:40">
      <c r="B181" s="5"/>
      <c r="C181" s="6"/>
      <c r="D181" s="7"/>
      <c r="E181" s="7"/>
      <c r="F181" s="7"/>
      <c r="G181" s="7"/>
      <c r="H181" s="7"/>
      <c r="I181" s="7"/>
      <c r="J181" s="7"/>
      <c r="K181" s="7"/>
      <c r="L181" s="7"/>
      <c r="M181" s="7"/>
      <c r="N181" s="7"/>
      <c r="O181" s="7"/>
      <c r="P181" s="7"/>
      <c r="Q181" s="7"/>
      <c r="R181" s="7"/>
      <c r="S181" s="7"/>
      <c r="T181" s="6"/>
      <c r="U181" s="6"/>
      <c r="V181" s="6"/>
      <c r="W181" s="6"/>
      <c r="X181" s="6"/>
      <c r="Y181" s="6"/>
      <c r="Z181" s="6"/>
      <c r="AA181" s="6"/>
      <c r="AB181" s="6"/>
      <c r="AC181" s="8"/>
      <c r="AD181" s="8"/>
      <c r="AE181" s="8"/>
      <c r="AF181" s="8"/>
      <c r="AG181" s="8"/>
      <c r="AH181" s="8"/>
      <c r="AI181" s="8"/>
      <c r="AJ181" s="8"/>
      <c r="AK181" s="8"/>
      <c r="AL181" s="8"/>
      <c r="AM181" s="8"/>
      <c r="AN181" s="8"/>
    </row>
    <row r="182" spans="2:40">
      <c r="B182" s="5"/>
      <c r="C182" s="6"/>
      <c r="D182" s="7"/>
      <c r="E182" s="7"/>
      <c r="F182" s="7"/>
      <c r="G182" s="7"/>
      <c r="H182" s="7"/>
      <c r="I182" s="7"/>
      <c r="J182" s="7"/>
      <c r="K182" s="7"/>
      <c r="L182" s="7"/>
      <c r="M182" s="7"/>
      <c r="N182" s="7"/>
      <c r="O182" s="7"/>
      <c r="P182" s="7"/>
      <c r="Q182" s="7"/>
      <c r="R182" s="7"/>
      <c r="S182" s="7"/>
      <c r="T182" s="6"/>
      <c r="U182" s="6"/>
      <c r="V182" s="6"/>
      <c r="W182" s="6"/>
      <c r="X182" s="6"/>
      <c r="Y182" s="6"/>
      <c r="Z182" s="6"/>
      <c r="AA182" s="6"/>
      <c r="AB182" s="6"/>
      <c r="AC182" s="8"/>
      <c r="AD182" s="8"/>
      <c r="AE182" s="8"/>
      <c r="AF182" s="8"/>
      <c r="AG182" s="8"/>
      <c r="AH182" s="8"/>
      <c r="AI182" s="8"/>
      <c r="AJ182" s="8"/>
      <c r="AK182" s="8"/>
      <c r="AL182" s="8"/>
      <c r="AM182" s="8"/>
      <c r="AN182" s="8"/>
    </row>
    <row r="183" spans="2:40">
      <c r="B183" s="21"/>
      <c r="C183" s="6"/>
      <c r="D183" s="7"/>
      <c r="E183" s="7"/>
      <c r="F183" s="7"/>
      <c r="G183" s="7"/>
      <c r="H183" s="7"/>
      <c r="I183" s="7"/>
      <c r="J183" s="7"/>
      <c r="K183" s="7"/>
      <c r="L183" s="7"/>
      <c r="M183" s="7"/>
      <c r="N183" s="7"/>
      <c r="O183" s="7"/>
      <c r="P183" s="7"/>
      <c r="Q183" s="7"/>
      <c r="R183" s="7"/>
      <c r="S183" s="7"/>
      <c r="T183" s="6"/>
      <c r="U183" s="6"/>
      <c r="V183" s="6"/>
      <c r="W183" s="6"/>
      <c r="X183" s="6"/>
      <c r="Y183" s="6"/>
      <c r="Z183" s="6"/>
      <c r="AA183" s="6"/>
      <c r="AB183" s="6"/>
      <c r="AC183" s="8"/>
      <c r="AD183" s="8"/>
      <c r="AE183" s="8"/>
      <c r="AF183" s="8"/>
      <c r="AG183" s="8"/>
      <c r="AH183" s="8"/>
      <c r="AI183" s="8"/>
      <c r="AJ183" s="8"/>
      <c r="AK183" s="8"/>
      <c r="AL183" s="8"/>
      <c r="AM183" s="8"/>
      <c r="AN183" s="8"/>
    </row>
    <row r="184" spans="2:40">
      <c r="B184" s="21"/>
      <c r="C184" s="6"/>
      <c r="D184" s="7"/>
      <c r="E184" s="7"/>
      <c r="F184" s="7"/>
      <c r="G184" s="7"/>
      <c r="H184" s="7"/>
      <c r="I184" s="7"/>
      <c r="J184" s="7"/>
      <c r="K184" s="7"/>
      <c r="L184" s="7"/>
      <c r="M184" s="7"/>
      <c r="N184" s="7"/>
      <c r="O184" s="7"/>
      <c r="P184" s="7"/>
      <c r="Q184" s="7"/>
      <c r="R184" s="7"/>
      <c r="S184" s="7"/>
      <c r="T184" s="6"/>
      <c r="U184" s="6"/>
      <c r="V184" s="6"/>
      <c r="W184" s="6"/>
      <c r="X184" s="6"/>
      <c r="Y184" s="6"/>
      <c r="Z184" s="6"/>
      <c r="AA184" s="6"/>
      <c r="AB184" s="6"/>
      <c r="AC184" s="8"/>
      <c r="AD184" s="8"/>
      <c r="AE184" s="8"/>
      <c r="AF184" s="8"/>
      <c r="AG184" s="8"/>
      <c r="AH184" s="8"/>
      <c r="AI184" s="8"/>
      <c r="AJ184" s="8"/>
      <c r="AK184" s="8"/>
      <c r="AL184" s="8"/>
      <c r="AM184" s="8"/>
      <c r="AN184" s="8"/>
    </row>
    <row r="185" spans="2:40">
      <c r="B185" s="21"/>
      <c r="C185" s="6"/>
      <c r="D185" s="7"/>
      <c r="E185" s="7"/>
      <c r="F185" s="7"/>
      <c r="G185" s="7"/>
      <c r="H185" s="7"/>
      <c r="I185" s="7"/>
      <c r="J185" s="7"/>
      <c r="K185" s="7"/>
      <c r="L185" s="7"/>
      <c r="M185" s="7"/>
      <c r="N185" s="7"/>
      <c r="O185" s="7"/>
      <c r="P185" s="7"/>
      <c r="Q185" s="7"/>
      <c r="R185" s="7"/>
      <c r="S185" s="7"/>
      <c r="T185" s="6"/>
      <c r="U185" s="6"/>
      <c r="V185" s="6"/>
      <c r="W185" s="6"/>
      <c r="X185" s="6"/>
      <c r="Y185" s="6"/>
      <c r="Z185" s="6"/>
      <c r="AA185" s="6"/>
      <c r="AB185" s="6"/>
      <c r="AC185" s="8"/>
      <c r="AD185" s="8"/>
      <c r="AE185" s="8"/>
      <c r="AF185" s="8"/>
      <c r="AG185" s="8"/>
      <c r="AH185" s="8"/>
      <c r="AI185" s="8"/>
      <c r="AJ185" s="8"/>
      <c r="AK185" s="8"/>
      <c r="AL185" s="8"/>
      <c r="AM185" s="8"/>
      <c r="AN185" s="8"/>
    </row>
    <row r="186" spans="2:40" ht="14.5">
      <c r="B186" s="22"/>
      <c r="C186" s="6"/>
      <c r="D186" s="7"/>
      <c r="E186" s="7"/>
      <c r="F186" s="7"/>
      <c r="G186" s="7"/>
      <c r="H186" s="7"/>
      <c r="I186" s="7"/>
      <c r="J186" s="7"/>
      <c r="K186" s="7"/>
      <c r="L186" s="7"/>
      <c r="M186" s="7"/>
      <c r="N186" s="7"/>
      <c r="O186" s="7"/>
      <c r="P186" s="7"/>
      <c r="Q186" s="7"/>
      <c r="R186" s="7"/>
      <c r="S186" s="7"/>
      <c r="T186" s="6"/>
      <c r="U186" s="6"/>
      <c r="V186" s="6"/>
      <c r="W186" s="6"/>
      <c r="X186" s="6"/>
      <c r="Y186" s="6"/>
      <c r="Z186" s="6"/>
      <c r="AA186" s="6"/>
      <c r="AB186" s="6"/>
      <c r="AC186" s="8"/>
      <c r="AD186" s="8"/>
      <c r="AE186" s="8"/>
      <c r="AF186" s="8"/>
      <c r="AG186" s="8"/>
      <c r="AH186" s="8"/>
      <c r="AI186" s="8"/>
      <c r="AJ186" s="8"/>
      <c r="AK186" s="8"/>
      <c r="AL186" s="8"/>
      <c r="AM186" s="8"/>
      <c r="AN186" s="8"/>
    </row>
    <row r="187" spans="2:40">
      <c r="B187" s="21"/>
      <c r="C187" s="6"/>
      <c r="D187" s="7"/>
      <c r="E187" s="7"/>
      <c r="F187" s="7"/>
      <c r="G187" s="7"/>
      <c r="H187" s="7"/>
      <c r="I187" s="7"/>
      <c r="J187" s="7"/>
      <c r="K187" s="7"/>
      <c r="L187" s="7"/>
      <c r="M187" s="7"/>
      <c r="N187" s="7"/>
      <c r="O187" s="7"/>
      <c r="P187" s="7"/>
      <c r="Q187" s="7"/>
      <c r="R187" s="7"/>
      <c r="S187" s="7"/>
      <c r="T187" s="6"/>
      <c r="U187" s="6"/>
      <c r="V187" s="6"/>
      <c r="W187" s="6"/>
      <c r="X187" s="6"/>
      <c r="Y187" s="6"/>
      <c r="Z187" s="6"/>
      <c r="AA187" s="6"/>
      <c r="AB187" s="6"/>
      <c r="AC187" s="8"/>
      <c r="AD187" s="8"/>
      <c r="AE187" s="8"/>
      <c r="AF187" s="8"/>
      <c r="AG187" s="8"/>
      <c r="AH187" s="8"/>
      <c r="AI187" s="8"/>
      <c r="AJ187" s="8"/>
      <c r="AK187" s="8"/>
      <c r="AL187" s="8"/>
      <c r="AM187" s="8"/>
      <c r="AN187" s="8"/>
    </row>
    <row r="188" spans="2:40">
      <c r="B188" s="24"/>
      <c r="C188" s="20"/>
      <c r="D188" s="20"/>
      <c r="E188" s="13"/>
      <c r="F188" s="13"/>
      <c r="G188" s="13"/>
      <c r="H188" s="13"/>
      <c r="I188" s="13"/>
      <c r="J188" s="13"/>
      <c r="K188" s="13"/>
      <c r="L188" s="13"/>
      <c r="M188" s="13"/>
      <c r="N188" s="13"/>
      <c r="O188" s="6"/>
      <c r="P188" s="6"/>
      <c r="Q188" s="6"/>
      <c r="R188" s="6"/>
      <c r="S188" s="6"/>
      <c r="T188" s="6"/>
      <c r="U188" s="6"/>
      <c r="V188" s="6"/>
      <c r="W188" s="6"/>
      <c r="X188" s="6"/>
      <c r="Y188" s="6"/>
      <c r="Z188" s="6"/>
      <c r="AA188" s="6"/>
      <c r="AB188" s="6"/>
      <c r="AC188" s="8"/>
      <c r="AD188" s="8"/>
      <c r="AE188" s="8"/>
      <c r="AF188" s="8"/>
      <c r="AG188" s="8"/>
      <c r="AH188" s="8"/>
      <c r="AI188" s="8"/>
      <c r="AJ188" s="8"/>
      <c r="AK188" s="8"/>
      <c r="AL188" s="8"/>
      <c r="AM188" s="8"/>
      <c r="AN188" s="8"/>
    </row>
    <row r="189" spans="2:40">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row>
    <row r="190" spans="2:40">
      <c r="B190" s="2" t="s">
        <v>385</v>
      </c>
      <c r="C190" s="30">
        <f>C$2</f>
        <v>1998</v>
      </c>
      <c r="D190" s="30">
        <f t="shared" ref="D190:AN190" si="25">D$2</f>
        <v>1999</v>
      </c>
      <c r="E190" s="30">
        <f t="shared" si="25"/>
        <v>2000</v>
      </c>
      <c r="F190" s="30">
        <f t="shared" si="25"/>
        <v>2001</v>
      </c>
      <c r="G190" s="30">
        <f t="shared" si="25"/>
        <v>2002</v>
      </c>
      <c r="H190" s="30">
        <f t="shared" si="25"/>
        <v>2003</v>
      </c>
      <c r="I190" s="30">
        <f t="shared" si="25"/>
        <v>2004</v>
      </c>
      <c r="J190" s="30">
        <f t="shared" si="25"/>
        <v>2005</v>
      </c>
      <c r="K190" s="30">
        <f t="shared" si="25"/>
        <v>2006</v>
      </c>
      <c r="L190" s="30">
        <f t="shared" si="25"/>
        <v>2007</v>
      </c>
      <c r="M190" s="30">
        <f t="shared" si="25"/>
        <v>2008</v>
      </c>
      <c r="N190" s="30">
        <f t="shared" si="25"/>
        <v>2009</v>
      </c>
      <c r="O190" s="30">
        <f t="shared" si="25"/>
        <v>2010</v>
      </c>
      <c r="P190" s="30">
        <f t="shared" si="25"/>
        <v>2011</v>
      </c>
      <c r="Q190" s="30">
        <f t="shared" si="25"/>
        <v>2012</v>
      </c>
      <c r="R190" s="30">
        <f t="shared" si="25"/>
        <v>2013</v>
      </c>
      <c r="S190" s="30">
        <f t="shared" si="25"/>
        <v>2014</v>
      </c>
      <c r="T190" s="30">
        <f t="shared" si="25"/>
        <v>2015</v>
      </c>
      <c r="U190" s="30">
        <f t="shared" si="25"/>
        <v>2016</v>
      </c>
      <c r="V190" s="30">
        <f t="shared" si="25"/>
        <v>2017</v>
      </c>
      <c r="W190" s="30">
        <f t="shared" si="25"/>
        <v>2018</v>
      </c>
      <c r="X190" s="30">
        <f t="shared" si="25"/>
        <v>2019</v>
      </c>
      <c r="Y190" s="30">
        <f t="shared" si="25"/>
        <v>2020</v>
      </c>
      <c r="Z190" s="30">
        <f t="shared" si="25"/>
        <v>2021</v>
      </c>
      <c r="AA190" s="30">
        <f t="shared" si="25"/>
        <v>2022</v>
      </c>
      <c r="AB190" s="30">
        <f t="shared" si="25"/>
        <v>2023</v>
      </c>
      <c r="AC190" s="30">
        <f t="shared" si="25"/>
        <v>2024</v>
      </c>
      <c r="AD190" s="30">
        <f t="shared" si="25"/>
        <v>2025</v>
      </c>
      <c r="AE190" s="30">
        <f t="shared" si="25"/>
        <v>2026</v>
      </c>
      <c r="AF190" s="30">
        <f t="shared" si="25"/>
        <v>2027</v>
      </c>
      <c r="AG190" s="30">
        <f t="shared" si="25"/>
        <v>2028</v>
      </c>
      <c r="AH190" s="30">
        <f t="shared" si="25"/>
        <v>2029</v>
      </c>
      <c r="AI190" s="30">
        <f t="shared" si="25"/>
        <v>2030</v>
      </c>
      <c r="AJ190" s="30">
        <f t="shared" si="25"/>
        <v>2031</v>
      </c>
      <c r="AK190" s="30">
        <f t="shared" si="25"/>
        <v>2032</v>
      </c>
      <c r="AL190" s="30">
        <f t="shared" si="25"/>
        <v>2033</v>
      </c>
      <c r="AM190" s="30">
        <f t="shared" si="25"/>
        <v>2034</v>
      </c>
      <c r="AN190" s="30">
        <f t="shared" si="25"/>
        <v>2035</v>
      </c>
    </row>
    <row r="191" spans="2:40">
      <c r="B191" s="4" t="str">
        <f>[19]DCF!A34</f>
        <v>Rf</v>
      </c>
      <c r="C191" s="869">
        <f>DCF!B39</f>
        <v>7.0999999999999994E-2</v>
      </c>
      <c r="D191" s="25"/>
      <c r="E191" s="25"/>
      <c r="F191" s="25"/>
      <c r="G191" s="25"/>
      <c r="H191" s="25"/>
      <c r="I191" s="25"/>
      <c r="J191" s="25"/>
      <c r="K191" s="25"/>
      <c r="L191" s="6"/>
      <c r="M191" s="13"/>
      <c r="N191" s="13"/>
      <c r="O191" s="6"/>
      <c r="P191" s="6"/>
      <c r="Q191" s="6"/>
      <c r="R191" s="6"/>
      <c r="S191" s="6"/>
      <c r="T191" s="6"/>
      <c r="U191" s="6"/>
      <c r="V191" s="6"/>
      <c r="W191" s="6"/>
      <c r="X191" s="6"/>
      <c r="Y191" s="6"/>
      <c r="Z191" s="6"/>
      <c r="AA191" s="6"/>
      <c r="AB191" s="6"/>
      <c r="AC191" s="8"/>
      <c r="AD191" s="8"/>
      <c r="AE191" s="8"/>
      <c r="AF191" s="8"/>
      <c r="AG191" s="8"/>
      <c r="AH191" s="8"/>
      <c r="AI191" s="8"/>
      <c r="AJ191" s="8"/>
      <c r="AK191" s="8"/>
      <c r="AL191" s="8"/>
      <c r="AM191" s="8"/>
      <c r="AN191" s="8"/>
    </row>
    <row r="192" spans="2:40">
      <c r="B192" s="4" t="str">
        <f>[19]DCF!A35</f>
        <v>Tax rate</v>
      </c>
      <c r="C192" s="869">
        <f>DCF!B40</f>
        <v>0.22</v>
      </c>
      <c r="D192" s="13"/>
      <c r="E192" s="13"/>
      <c r="F192" s="6"/>
      <c r="G192" s="7"/>
      <c r="H192" s="7"/>
      <c r="I192" s="7"/>
      <c r="J192" s="13"/>
      <c r="K192" s="13"/>
      <c r="L192" s="13"/>
      <c r="M192" s="13"/>
      <c r="N192" s="13"/>
      <c r="O192" s="6"/>
      <c r="P192" s="6"/>
      <c r="Q192" s="6"/>
      <c r="R192" s="6"/>
      <c r="S192" s="6"/>
      <c r="T192" s="6"/>
      <c r="U192" s="6"/>
      <c r="V192" s="6"/>
      <c r="W192" s="6"/>
      <c r="X192" s="6"/>
      <c r="Y192" s="6"/>
      <c r="Z192" s="6"/>
      <c r="AA192" s="6"/>
      <c r="AB192" s="6"/>
      <c r="AC192" s="8"/>
      <c r="AD192" s="8"/>
      <c r="AE192" s="8"/>
      <c r="AF192" s="8"/>
      <c r="AG192" s="8"/>
      <c r="AH192" s="8"/>
      <c r="AI192" s="8"/>
      <c r="AJ192" s="8"/>
      <c r="AK192" s="8"/>
      <c r="AL192" s="8"/>
      <c r="AM192" s="8"/>
      <c r="AN192" s="8"/>
    </row>
    <row r="193" spans="2:40">
      <c r="B193" s="4" t="str">
        <f>[19]DCF!A36</f>
        <v>Equity premium</v>
      </c>
      <c r="C193" s="869">
        <f>DCF!B41</f>
        <v>0.05</v>
      </c>
      <c r="D193" s="13"/>
      <c r="E193" s="13"/>
      <c r="F193" s="6"/>
      <c r="G193" s="7"/>
      <c r="H193" s="7"/>
      <c r="I193" s="7"/>
      <c r="J193" s="13"/>
      <c r="K193" s="13"/>
      <c r="L193" s="13"/>
      <c r="M193" s="13"/>
      <c r="N193" s="13"/>
      <c r="O193" s="6"/>
      <c r="P193" s="6"/>
      <c r="Q193" s="6"/>
      <c r="R193" s="6"/>
      <c r="S193" s="6"/>
      <c r="T193" s="6"/>
      <c r="U193" s="6"/>
      <c r="V193" s="6"/>
      <c r="W193" s="6"/>
      <c r="X193" s="6"/>
      <c r="Y193" s="6"/>
      <c r="Z193" s="6"/>
      <c r="AA193" s="6"/>
      <c r="AB193" s="6"/>
      <c r="AC193" s="8"/>
      <c r="AD193" s="8"/>
      <c r="AE193" s="8"/>
      <c r="AF193" s="8"/>
      <c r="AG193" s="8"/>
      <c r="AH193" s="8"/>
      <c r="AI193" s="8"/>
      <c r="AJ193" s="8"/>
      <c r="AK193" s="8"/>
      <c r="AL193" s="8"/>
      <c r="AM193" s="8"/>
      <c r="AN193" s="8"/>
    </row>
    <row r="194" spans="2:40">
      <c r="B194" s="4" t="str">
        <f>[19]DCF!A37</f>
        <v>Debt Premium</v>
      </c>
      <c r="C194" s="869">
        <f>DCF!B42</f>
        <v>0.03</v>
      </c>
      <c r="D194" s="13"/>
      <c r="E194" s="13"/>
      <c r="F194" s="6"/>
      <c r="G194" s="7"/>
      <c r="H194" s="7"/>
      <c r="I194" s="7"/>
      <c r="J194" s="13"/>
      <c r="K194" s="13"/>
      <c r="L194" s="13"/>
      <c r="M194" s="13"/>
      <c r="N194" s="13"/>
      <c r="O194" s="6"/>
      <c r="P194" s="6"/>
      <c r="Q194" s="6"/>
      <c r="R194" s="6"/>
      <c r="S194" s="6"/>
      <c r="T194" s="6"/>
      <c r="U194" s="6"/>
      <c r="V194" s="6"/>
      <c r="W194" s="6"/>
      <c r="X194" s="6"/>
      <c r="Y194" s="6"/>
      <c r="Z194" s="6"/>
      <c r="AA194" s="6"/>
      <c r="AB194" s="6"/>
      <c r="AC194" s="8"/>
      <c r="AD194" s="8"/>
      <c r="AE194" s="8"/>
      <c r="AF194" s="8"/>
      <c r="AG194" s="8"/>
      <c r="AH194" s="8"/>
      <c r="AI194" s="8"/>
      <c r="AJ194" s="8"/>
      <c r="AK194" s="8"/>
      <c r="AL194" s="8"/>
      <c r="AM194" s="8"/>
      <c r="AN194" s="8"/>
    </row>
    <row r="195" spans="2:40">
      <c r="B195" s="4" t="str">
        <f>[19]DCF!A38</f>
        <v>Cost of Equity</v>
      </c>
      <c r="C195" s="869">
        <f>DCF!B43</f>
        <v>0.121</v>
      </c>
      <c r="D195" s="13"/>
      <c r="E195" s="13"/>
      <c r="F195" s="6"/>
      <c r="G195" s="7"/>
      <c r="H195" s="7"/>
      <c r="I195" s="7"/>
      <c r="J195" s="13"/>
      <c r="K195" s="13"/>
      <c r="L195" s="13"/>
      <c r="M195" s="13"/>
      <c r="N195" s="13"/>
      <c r="O195" s="6"/>
      <c r="P195" s="6"/>
      <c r="Q195" s="6"/>
      <c r="R195" s="6"/>
      <c r="S195" s="6"/>
      <c r="T195" s="6"/>
      <c r="U195" s="6"/>
      <c r="V195" s="6"/>
      <c r="W195" s="6"/>
      <c r="X195" s="6"/>
      <c r="Y195" s="6"/>
      <c r="Z195" s="6"/>
      <c r="AA195" s="6"/>
      <c r="AB195" s="6"/>
      <c r="AC195" s="8"/>
      <c r="AD195" s="8"/>
      <c r="AE195" s="8"/>
      <c r="AF195" s="8"/>
      <c r="AG195" s="8"/>
      <c r="AH195" s="8"/>
      <c r="AI195" s="8"/>
      <c r="AJ195" s="8"/>
      <c r="AK195" s="8"/>
      <c r="AL195" s="8"/>
      <c r="AM195" s="8"/>
      <c r="AN195" s="8"/>
    </row>
    <row r="196" spans="2:40">
      <c r="B196" s="4" t="str">
        <f>[19]DCF!A39</f>
        <v>Cost of Debt</v>
      </c>
      <c r="C196" s="869">
        <f>DCF!B44</f>
        <v>7.8780000000000003E-2</v>
      </c>
      <c r="D196" s="13"/>
      <c r="E196" s="13"/>
      <c r="F196" s="6"/>
      <c r="G196" s="7"/>
      <c r="H196" s="7"/>
      <c r="I196" s="7"/>
      <c r="J196" s="13"/>
      <c r="K196" s="13"/>
      <c r="L196" s="13"/>
      <c r="M196" s="13"/>
      <c r="N196" s="13"/>
      <c r="O196" s="6"/>
      <c r="P196" s="6"/>
      <c r="Q196" s="6"/>
      <c r="R196" s="6"/>
      <c r="S196" s="6"/>
      <c r="T196" s="6"/>
      <c r="U196" s="6"/>
      <c r="V196" s="6"/>
      <c r="W196" s="6"/>
      <c r="X196" s="6"/>
      <c r="Y196" s="6"/>
      <c r="Z196" s="6"/>
      <c r="AA196" s="6"/>
      <c r="AB196" s="6"/>
      <c r="AC196" s="8"/>
      <c r="AD196" s="8"/>
      <c r="AE196" s="8"/>
      <c r="AF196" s="8"/>
      <c r="AG196" s="8"/>
      <c r="AH196" s="8"/>
      <c r="AI196" s="8"/>
      <c r="AJ196" s="8"/>
      <c r="AK196" s="8"/>
      <c r="AL196" s="8"/>
      <c r="AM196" s="8"/>
      <c r="AN196" s="8"/>
    </row>
    <row r="197" spans="2:40">
      <c r="B197" s="4" t="str">
        <f>[19]DCF!A40</f>
        <v>Debt/Equity</v>
      </c>
      <c r="C197" s="869">
        <f>DCF!E45</f>
        <v>0.53846153846153844</v>
      </c>
      <c r="D197" s="13"/>
      <c r="E197" s="13"/>
      <c r="F197" s="13"/>
      <c r="G197" s="7"/>
      <c r="H197" s="7"/>
      <c r="I197" s="7"/>
      <c r="J197" s="13"/>
      <c r="K197" s="13"/>
      <c r="L197" s="13"/>
      <c r="M197" s="13"/>
      <c r="N197" s="13"/>
      <c r="O197" s="6"/>
      <c r="P197" s="6"/>
      <c r="Q197" s="6"/>
      <c r="R197" s="6"/>
      <c r="S197" s="6"/>
      <c r="T197" s="6"/>
      <c r="U197" s="6"/>
      <c r="V197" s="6"/>
      <c r="W197" s="6"/>
      <c r="X197" s="6"/>
      <c r="Y197" s="6"/>
      <c r="Z197" s="6"/>
      <c r="AA197" s="6"/>
      <c r="AB197" s="6"/>
      <c r="AC197" s="8"/>
      <c r="AD197" s="8"/>
      <c r="AE197" s="8"/>
      <c r="AF197" s="8"/>
      <c r="AG197" s="8"/>
      <c r="AH197" s="8"/>
      <c r="AI197" s="8"/>
      <c r="AJ197" s="8"/>
      <c r="AK197" s="8"/>
      <c r="AL197" s="8"/>
      <c r="AM197" s="8"/>
      <c r="AN197" s="8"/>
    </row>
    <row r="198" spans="2:40">
      <c r="B198" s="4" t="str">
        <f>[19]DCF!A41</f>
        <v>WACC</v>
      </c>
      <c r="C198" s="869">
        <f>DCF!B46</f>
        <v>0.106223</v>
      </c>
      <c r="D198" s="13"/>
      <c r="E198" s="13"/>
      <c r="F198" s="13"/>
      <c r="G198" s="7"/>
      <c r="H198" s="7"/>
      <c r="I198" s="7"/>
      <c r="J198" s="13"/>
      <c r="K198" s="13"/>
      <c r="L198" s="13"/>
      <c r="M198" s="13"/>
      <c r="N198" s="13"/>
      <c r="O198" s="6"/>
      <c r="P198" s="6"/>
      <c r="Q198" s="6"/>
      <c r="R198" s="6"/>
      <c r="S198" s="6"/>
      <c r="T198" s="6"/>
      <c r="U198" s="6"/>
      <c r="V198" s="6"/>
      <c r="W198" s="6"/>
      <c r="X198" s="6"/>
      <c r="Y198" s="6"/>
      <c r="Z198" s="6"/>
      <c r="AA198" s="6"/>
      <c r="AB198" s="6"/>
      <c r="AC198" s="8"/>
      <c r="AD198" s="8"/>
      <c r="AE198" s="8"/>
      <c r="AF198" s="8"/>
      <c r="AG198" s="8"/>
      <c r="AH198" s="8"/>
      <c r="AI198" s="8"/>
      <c r="AJ198" s="8"/>
      <c r="AK198" s="8"/>
      <c r="AL198" s="8"/>
      <c r="AM198" s="8"/>
      <c r="AN198" s="8"/>
    </row>
    <row r="199" spans="2:40">
      <c r="B199" s="4" t="str">
        <f>[19]DCF!A42</f>
        <v>Terminal growth</v>
      </c>
      <c r="C199" s="869">
        <f>DCF!B47</f>
        <v>0.02</v>
      </c>
      <c r="D199" s="13"/>
      <c r="E199" s="13"/>
      <c r="F199" s="13"/>
      <c r="G199" s="13"/>
      <c r="H199" s="13"/>
      <c r="I199" s="13"/>
      <c r="J199" s="13"/>
      <c r="K199" s="13"/>
      <c r="L199" s="13"/>
      <c r="M199" s="13"/>
      <c r="N199" s="13"/>
      <c r="O199" s="6"/>
      <c r="P199" s="6"/>
      <c r="Q199" s="6"/>
      <c r="R199" s="6"/>
      <c r="S199" s="6"/>
      <c r="T199" s="6"/>
      <c r="U199" s="6"/>
      <c r="V199" s="6"/>
      <c r="W199" s="6"/>
      <c r="X199" s="6"/>
      <c r="Y199" s="6"/>
      <c r="Z199" s="6"/>
      <c r="AA199" s="6"/>
      <c r="AB199" s="6"/>
      <c r="AC199" s="8"/>
      <c r="AD199" s="8"/>
      <c r="AE199" s="8"/>
      <c r="AF199" s="8"/>
      <c r="AG199" s="8"/>
      <c r="AH199" s="8"/>
      <c r="AI199" s="8"/>
      <c r="AJ199" s="8"/>
      <c r="AK199" s="8"/>
      <c r="AL199" s="8"/>
      <c r="AM199" s="8"/>
      <c r="AN199" s="8"/>
    </row>
    <row r="200" spans="2:40">
      <c r="C200" s="13"/>
      <c r="D200" s="13"/>
      <c r="E200" s="13"/>
      <c r="F200" s="13"/>
      <c r="G200" s="13"/>
      <c r="H200" s="13"/>
      <c r="I200" s="13"/>
      <c r="J200" s="13"/>
      <c r="K200" s="13"/>
      <c r="L200" s="13"/>
      <c r="M200" s="13"/>
      <c r="N200" s="13"/>
      <c r="O200" s="6"/>
      <c r="P200" s="6"/>
      <c r="Q200" s="6"/>
      <c r="R200" s="6"/>
      <c r="S200" s="6"/>
      <c r="T200" s="6"/>
      <c r="U200" s="6"/>
      <c r="V200" s="6"/>
      <c r="W200" s="6"/>
      <c r="X200" s="6"/>
      <c r="Y200" s="6"/>
      <c r="Z200" s="6"/>
      <c r="AA200" s="6"/>
      <c r="AB200" s="6"/>
      <c r="AC200" s="8"/>
      <c r="AD200" s="8"/>
      <c r="AE200" s="8"/>
      <c r="AF200" s="8"/>
      <c r="AG200" s="8"/>
      <c r="AH200" s="8"/>
      <c r="AI200" s="8"/>
      <c r="AJ200" s="8"/>
      <c r="AK200" s="8"/>
      <c r="AL200" s="8"/>
      <c r="AM200" s="8"/>
      <c r="AN200" s="8"/>
    </row>
    <row r="201" spans="2:40">
      <c r="C201" s="13"/>
      <c r="D201" s="13"/>
      <c r="E201" s="13"/>
      <c r="F201" s="13"/>
      <c r="G201" s="13"/>
      <c r="H201" s="13"/>
      <c r="I201" s="13"/>
      <c r="J201" s="13"/>
      <c r="K201" s="13"/>
      <c r="L201" s="13"/>
      <c r="M201" s="13"/>
      <c r="N201" s="13"/>
      <c r="O201" s="6"/>
      <c r="P201" s="6"/>
      <c r="Q201" s="6"/>
      <c r="R201" s="6"/>
      <c r="S201" s="6"/>
      <c r="T201" s="6"/>
      <c r="U201" s="6"/>
      <c r="V201" s="6"/>
      <c r="W201" s="6"/>
      <c r="X201" s="6"/>
      <c r="Y201" s="6"/>
      <c r="Z201" s="6"/>
      <c r="AA201" s="6"/>
      <c r="AB201" s="6"/>
      <c r="AC201" s="8"/>
      <c r="AD201" s="8"/>
      <c r="AE201" s="8"/>
      <c r="AF201" s="8"/>
      <c r="AG201" s="8"/>
      <c r="AH201" s="8"/>
      <c r="AI201" s="8"/>
      <c r="AJ201" s="8"/>
      <c r="AK201" s="8"/>
      <c r="AL201" s="8"/>
      <c r="AM201" s="8"/>
      <c r="AN201" s="8"/>
    </row>
    <row r="202" spans="2:40">
      <c r="C202" s="13"/>
      <c r="D202" s="13"/>
      <c r="E202" s="13"/>
      <c r="F202" s="13"/>
      <c r="G202" s="13"/>
      <c r="H202" s="13"/>
      <c r="I202" s="13"/>
      <c r="J202" s="13"/>
      <c r="K202" s="13"/>
      <c r="L202" s="13"/>
      <c r="M202" s="13"/>
      <c r="N202" s="13"/>
      <c r="O202" s="6"/>
      <c r="P202" s="6"/>
      <c r="Q202" s="6"/>
      <c r="R202" s="6"/>
      <c r="S202" s="6"/>
      <c r="T202" s="6"/>
      <c r="U202" s="6"/>
      <c r="V202" s="6"/>
      <c r="W202" s="6"/>
      <c r="X202" s="6"/>
      <c r="Y202" s="6"/>
      <c r="Z202" s="6"/>
      <c r="AA202" s="6"/>
      <c r="AB202" s="6"/>
      <c r="AC202" s="8"/>
      <c r="AD202" s="8"/>
      <c r="AE202" s="8"/>
      <c r="AF202" s="8"/>
      <c r="AG202" s="8"/>
      <c r="AH202" s="8"/>
      <c r="AI202" s="8"/>
      <c r="AJ202" s="8"/>
      <c r="AK202" s="8"/>
      <c r="AL202" s="8"/>
      <c r="AM202" s="8"/>
      <c r="AN202" s="8"/>
    </row>
    <row r="203" spans="2:40">
      <c r="C203" s="6"/>
      <c r="D203" s="6"/>
      <c r="E203" s="26"/>
      <c r="F203" s="26"/>
      <c r="G203" s="26"/>
      <c r="H203" s="26"/>
      <c r="I203" s="26"/>
      <c r="J203" s="26"/>
      <c r="K203" s="26"/>
      <c r="L203" s="26"/>
      <c r="M203" s="26"/>
      <c r="N203" s="26"/>
      <c r="O203" s="26"/>
      <c r="P203" s="26"/>
      <c r="Q203" s="26"/>
      <c r="R203" s="26"/>
      <c r="S203" s="26"/>
      <c r="T203" s="26"/>
      <c r="U203" s="26"/>
      <c r="V203" s="26"/>
      <c r="W203" s="26"/>
      <c r="X203" s="6"/>
      <c r="Y203" s="6"/>
      <c r="Z203" s="6"/>
      <c r="AA203" s="6"/>
      <c r="AB203" s="6"/>
      <c r="AC203" s="8"/>
      <c r="AD203" s="8"/>
      <c r="AE203" s="8"/>
      <c r="AF203" s="8"/>
      <c r="AG203" s="8"/>
      <c r="AH203" s="8"/>
      <c r="AI203" s="8"/>
      <c r="AJ203" s="8"/>
      <c r="AK203" s="8"/>
      <c r="AL203" s="8"/>
      <c r="AM203" s="8"/>
      <c r="AN203" s="8"/>
    </row>
    <row r="204" spans="2:40">
      <c r="C204" s="6"/>
      <c r="D204" s="6"/>
      <c r="E204" s="26"/>
      <c r="F204" s="26"/>
      <c r="G204" s="26"/>
      <c r="H204" s="26"/>
      <c r="I204" s="26"/>
      <c r="J204" s="26"/>
      <c r="K204" s="26"/>
      <c r="L204" s="26"/>
      <c r="M204" s="26"/>
      <c r="N204" s="26"/>
      <c r="O204" s="6"/>
      <c r="P204" s="6"/>
      <c r="Q204" s="6"/>
      <c r="R204" s="6"/>
      <c r="S204" s="6"/>
      <c r="T204" s="6"/>
      <c r="U204" s="6"/>
      <c r="V204" s="6"/>
      <c r="W204" s="6"/>
      <c r="X204" s="6"/>
      <c r="Y204" s="6"/>
      <c r="Z204" s="6"/>
      <c r="AA204" s="6"/>
      <c r="AB204" s="6"/>
      <c r="AC204" s="8"/>
      <c r="AD204" s="8"/>
      <c r="AE204" s="8"/>
      <c r="AF204" s="8"/>
      <c r="AG204" s="8"/>
      <c r="AH204" s="8"/>
      <c r="AI204" s="8"/>
      <c r="AJ204" s="8"/>
      <c r="AK204" s="8"/>
      <c r="AL204" s="8"/>
      <c r="AM204" s="8"/>
      <c r="AN204" s="8"/>
    </row>
    <row r="205" spans="2:40">
      <c r="C205" s="6"/>
      <c r="D205" s="6"/>
      <c r="E205" s="27"/>
      <c r="F205" s="27"/>
      <c r="G205" s="27"/>
      <c r="H205" s="27"/>
      <c r="I205" s="27"/>
      <c r="J205" s="27"/>
      <c r="K205" s="27"/>
      <c r="L205" s="27"/>
      <c r="M205" s="27"/>
      <c r="N205" s="27"/>
      <c r="O205" s="6"/>
      <c r="P205" s="6"/>
      <c r="Q205" s="6"/>
      <c r="R205" s="6"/>
      <c r="S205" s="6"/>
      <c r="T205" s="6"/>
      <c r="U205" s="6"/>
      <c r="V205" s="6"/>
      <c r="W205" s="6"/>
      <c r="X205" s="6"/>
      <c r="Y205" s="6"/>
      <c r="Z205" s="6"/>
      <c r="AA205" s="6"/>
      <c r="AB205" s="6"/>
      <c r="AC205" s="8"/>
      <c r="AD205" s="8"/>
      <c r="AE205" s="8"/>
      <c r="AF205" s="8"/>
      <c r="AG205" s="8"/>
      <c r="AH205" s="8"/>
      <c r="AI205" s="8"/>
      <c r="AJ205" s="8"/>
      <c r="AK205" s="8"/>
      <c r="AL205" s="8"/>
      <c r="AM205" s="8"/>
      <c r="AN205" s="8"/>
    </row>
    <row r="206" spans="2:40">
      <c r="C206" s="6"/>
      <c r="D206" s="6"/>
      <c r="E206" s="27"/>
      <c r="F206" s="27"/>
      <c r="G206" s="27"/>
      <c r="H206" s="27"/>
      <c r="I206" s="27"/>
      <c r="J206" s="27"/>
      <c r="K206" s="27"/>
      <c r="L206" s="27"/>
      <c r="M206" s="27"/>
      <c r="N206" s="27"/>
      <c r="O206" s="6"/>
      <c r="P206" s="6"/>
      <c r="Q206" s="6"/>
      <c r="R206" s="6"/>
      <c r="S206" s="6"/>
      <c r="T206" s="6"/>
      <c r="U206" s="6"/>
      <c r="V206" s="6"/>
      <c r="W206" s="6"/>
      <c r="X206" s="6"/>
      <c r="Y206" s="6"/>
      <c r="Z206" s="6"/>
      <c r="AA206" s="6"/>
      <c r="AB206" s="6"/>
      <c r="AC206" s="8"/>
      <c r="AD206" s="8"/>
      <c r="AE206" s="8"/>
      <c r="AF206" s="8"/>
      <c r="AG206" s="8"/>
      <c r="AH206" s="8"/>
      <c r="AI206" s="8"/>
      <c r="AJ206" s="8"/>
      <c r="AK206" s="8"/>
      <c r="AL206" s="8"/>
      <c r="AM206" s="8"/>
      <c r="AN206" s="8"/>
    </row>
    <row r="207" spans="2:40">
      <c r="C207" s="6"/>
      <c r="D207" s="6"/>
      <c r="E207" s="27"/>
      <c r="F207" s="27"/>
      <c r="G207" s="27"/>
      <c r="H207" s="27"/>
      <c r="I207" s="27"/>
      <c r="J207" s="27"/>
      <c r="K207" s="27"/>
      <c r="L207" s="27"/>
      <c r="M207" s="27"/>
      <c r="N207" s="27"/>
      <c r="O207" s="6"/>
      <c r="P207" s="6"/>
      <c r="Q207" s="6"/>
      <c r="R207" s="6"/>
      <c r="S207" s="6"/>
      <c r="T207" s="6"/>
      <c r="U207" s="6"/>
      <c r="V207" s="6"/>
      <c r="W207" s="6"/>
      <c r="X207" s="6"/>
      <c r="Y207" s="6"/>
      <c r="Z207" s="6"/>
      <c r="AA207" s="6"/>
      <c r="AB207" s="6"/>
      <c r="AC207" s="8"/>
      <c r="AD207" s="8"/>
      <c r="AE207" s="8"/>
      <c r="AF207" s="8"/>
      <c r="AG207" s="8"/>
      <c r="AH207" s="8"/>
      <c r="AI207" s="8"/>
      <c r="AJ207" s="8"/>
      <c r="AK207" s="8"/>
      <c r="AL207" s="8"/>
      <c r="AM207" s="8"/>
      <c r="AN207" s="8"/>
    </row>
    <row r="208" spans="2:40">
      <c r="C208" s="6"/>
      <c r="D208" s="6"/>
      <c r="E208" s="27"/>
      <c r="F208" s="27"/>
      <c r="G208" s="27"/>
      <c r="H208" s="27"/>
      <c r="I208" s="27"/>
      <c r="J208" s="27"/>
      <c r="K208" s="27"/>
      <c r="L208" s="27"/>
      <c r="M208" s="27"/>
      <c r="N208" s="27"/>
      <c r="O208" s="6"/>
      <c r="P208" s="6"/>
      <c r="Q208" s="6"/>
      <c r="R208" s="6"/>
      <c r="S208" s="6"/>
      <c r="T208" s="6"/>
      <c r="U208" s="6"/>
      <c r="V208" s="6"/>
      <c r="W208" s="6"/>
      <c r="X208" s="6"/>
      <c r="Y208" s="6"/>
      <c r="Z208" s="6"/>
      <c r="AA208" s="6"/>
      <c r="AB208" s="6"/>
      <c r="AC208" s="8"/>
      <c r="AD208" s="8"/>
      <c r="AE208" s="8"/>
      <c r="AF208" s="8"/>
      <c r="AG208" s="8"/>
      <c r="AH208" s="8"/>
      <c r="AI208" s="8"/>
      <c r="AJ208" s="8"/>
      <c r="AK208" s="8"/>
      <c r="AL208" s="8"/>
      <c r="AM208" s="8"/>
      <c r="AN208" s="8"/>
    </row>
    <row r="209" spans="2:40">
      <c r="C209" s="6"/>
      <c r="D209" s="6"/>
      <c r="E209" s="27"/>
      <c r="F209" s="27"/>
      <c r="G209" s="27"/>
      <c r="H209" s="27"/>
      <c r="I209" s="27"/>
      <c r="J209" s="27"/>
      <c r="K209" s="27"/>
      <c r="L209" s="27"/>
      <c r="M209" s="27"/>
      <c r="N209" s="27"/>
      <c r="O209" s="6"/>
      <c r="P209" s="6"/>
      <c r="Q209" s="6"/>
      <c r="R209" s="6"/>
      <c r="S209" s="6"/>
      <c r="T209" s="6"/>
      <c r="U209" s="6"/>
      <c r="V209" s="6"/>
      <c r="W209" s="6"/>
      <c r="X209" s="6"/>
      <c r="Y209" s="6"/>
      <c r="Z209" s="6"/>
      <c r="AA209" s="6"/>
      <c r="AB209" s="6"/>
      <c r="AC209" s="8"/>
      <c r="AD209" s="8"/>
      <c r="AE209" s="8"/>
      <c r="AF209" s="8"/>
      <c r="AG209" s="8"/>
      <c r="AH209" s="8"/>
      <c r="AI209" s="8"/>
      <c r="AJ209" s="8"/>
      <c r="AK209" s="8"/>
      <c r="AL209" s="8"/>
      <c r="AM209" s="8"/>
      <c r="AN209" s="8"/>
    </row>
    <row r="210" spans="2:40">
      <c r="C210" s="6"/>
      <c r="D210" s="6"/>
      <c r="E210" s="27"/>
      <c r="F210" s="27"/>
      <c r="G210" s="27"/>
      <c r="H210" s="27"/>
      <c r="I210" s="27"/>
      <c r="J210" s="27"/>
      <c r="K210" s="27"/>
      <c r="L210" s="27"/>
      <c r="M210" s="27"/>
      <c r="N210" s="27"/>
      <c r="O210" s="6"/>
      <c r="P210" s="6"/>
      <c r="Q210" s="6"/>
      <c r="R210" s="6"/>
      <c r="S210" s="6"/>
      <c r="T210" s="6"/>
      <c r="U210" s="6"/>
      <c r="V210" s="6"/>
      <c r="W210" s="6"/>
      <c r="X210" s="6"/>
      <c r="Y210" s="6"/>
      <c r="Z210" s="6"/>
      <c r="AA210" s="6"/>
      <c r="AB210" s="6"/>
      <c r="AC210" s="8"/>
      <c r="AD210" s="8"/>
      <c r="AE210" s="8"/>
      <c r="AF210" s="8"/>
      <c r="AG210" s="8"/>
      <c r="AH210" s="8"/>
      <c r="AI210" s="8"/>
      <c r="AJ210" s="8"/>
      <c r="AK210" s="8"/>
      <c r="AL210" s="8"/>
      <c r="AM210" s="8"/>
      <c r="AN210" s="8"/>
    </row>
    <row r="211" spans="2:40">
      <c r="C211" s="6"/>
      <c r="D211" s="6"/>
      <c r="E211" s="27"/>
      <c r="F211" s="27"/>
      <c r="G211" s="27"/>
      <c r="H211" s="27"/>
      <c r="I211" s="27"/>
      <c r="J211" s="27"/>
      <c r="K211" s="27"/>
      <c r="L211" s="27"/>
      <c r="M211" s="27"/>
      <c r="N211" s="27"/>
      <c r="O211" s="6"/>
      <c r="P211" s="6"/>
      <c r="Q211" s="6"/>
      <c r="R211" s="6"/>
      <c r="S211" s="6"/>
      <c r="T211" s="6"/>
      <c r="U211" s="6"/>
      <c r="V211" s="6"/>
      <c r="W211" s="6"/>
      <c r="X211" s="6"/>
      <c r="Y211" s="6"/>
      <c r="Z211" s="6"/>
      <c r="AA211" s="6"/>
      <c r="AB211" s="6"/>
      <c r="AC211" s="8"/>
      <c r="AD211" s="8"/>
      <c r="AE211" s="8"/>
      <c r="AF211" s="8"/>
      <c r="AG211" s="8"/>
      <c r="AH211" s="8"/>
      <c r="AI211" s="8"/>
      <c r="AJ211" s="8"/>
      <c r="AK211" s="8"/>
      <c r="AL211" s="8"/>
      <c r="AM211" s="8"/>
      <c r="AN211" s="8"/>
    </row>
    <row r="212" spans="2:40">
      <c r="C212" s="6"/>
      <c r="D212" s="6"/>
      <c r="E212" s="27"/>
      <c r="F212" s="27"/>
      <c r="G212" s="27"/>
      <c r="H212" s="27"/>
      <c r="I212" s="27"/>
      <c r="J212" s="27"/>
      <c r="K212" s="27"/>
      <c r="L212" s="27"/>
      <c r="M212" s="27"/>
      <c r="N212" s="27"/>
      <c r="O212" s="6"/>
      <c r="P212" s="6"/>
      <c r="Q212" s="6"/>
      <c r="R212" s="6"/>
      <c r="S212" s="6"/>
      <c r="T212" s="6"/>
      <c r="U212" s="6"/>
      <c r="V212" s="6"/>
      <c r="W212" s="6"/>
      <c r="X212" s="6"/>
      <c r="Y212" s="6"/>
      <c r="Z212" s="6"/>
      <c r="AA212" s="6"/>
      <c r="AB212" s="6"/>
      <c r="AC212" s="8"/>
      <c r="AD212" s="8"/>
      <c r="AE212" s="8"/>
      <c r="AF212" s="8"/>
      <c r="AG212" s="8"/>
      <c r="AH212" s="8"/>
      <c r="AI212" s="8"/>
      <c r="AJ212" s="8"/>
      <c r="AK212" s="8"/>
      <c r="AL212" s="8"/>
      <c r="AM212" s="8"/>
      <c r="AN212" s="8"/>
    </row>
    <row r="213" spans="2:40">
      <c r="C213" s="6"/>
      <c r="D213" s="6"/>
      <c r="E213" s="27"/>
      <c r="F213" s="27"/>
      <c r="G213" s="27"/>
      <c r="H213" s="27"/>
      <c r="I213" s="27"/>
      <c r="J213" s="27"/>
      <c r="K213" s="27"/>
      <c r="L213" s="27"/>
      <c r="M213" s="27"/>
      <c r="N213" s="27"/>
      <c r="O213" s="6"/>
      <c r="P213" s="6"/>
      <c r="Q213" s="6"/>
      <c r="R213" s="6"/>
      <c r="S213" s="6"/>
      <c r="T213" s="6"/>
      <c r="U213" s="6"/>
      <c r="V213" s="6"/>
      <c r="W213" s="6"/>
      <c r="X213" s="6"/>
      <c r="Y213" s="6"/>
      <c r="Z213" s="6"/>
      <c r="AA213" s="6"/>
      <c r="AB213" s="6"/>
      <c r="AC213" s="8"/>
      <c r="AD213" s="8"/>
      <c r="AE213" s="8"/>
      <c r="AF213" s="8"/>
      <c r="AG213" s="8"/>
      <c r="AH213" s="8"/>
      <c r="AI213" s="8"/>
      <c r="AJ213" s="8"/>
      <c r="AK213" s="8"/>
      <c r="AL213" s="8"/>
      <c r="AM213" s="8"/>
      <c r="AN213" s="8"/>
    </row>
    <row r="214" spans="2:40">
      <c r="C214" s="6"/>
      <c r="D214" s="6"/>
      <c r="E214" s="27"/>
      <c r="F214" s="27"/>
      <c r="G214" s="27"/>
      <c r="H214" s="27"/>
      <c r="I214" s="27"/>
      <c r="J214" s="27"/>
      <c r="K214" s="27"/>
      <c r="L214" s="27"/>
      <c r="M214" s="27"/>
      <c r="N214" s="27"/>
      <c r="O214" s="6"/>
      <c r="P214" s="6"/>
      <c r="Q214" s="6"/>
      <c r="R214" s="6"/>
      <c r="S214" s="6"/>
      <c r="T214" s="6"/>
      <c r="U214" s="6"/>
      <c r="V214" s="6"/>
      <c r="W214" s="6"/>
      <c r="X214" s="6"/>
      <c r="Y214" s="6"/>
      <c r="Z214" s="6"/>
      <c r="AA214" s="6"/>
      <c r="AB214" s="6"/>
      <c r="AC214" s="8"/>
      <c r="AD214" s="8"/>
      <c r="AE214" s="8"/>
      <c r="AF214" s="8"/>
      <c r="AG214" s="8"/>
      <c r="AH214" s="8"/>
      <c r="AI214" s="8"/>
      <c r="AJ214" s="8"/>
      <c r="AK214" s="8"/>
      <c r="AL214" s="8"/>
      <c r="AM214" s="8"/>
      <c r="AN214" s="8"/>
    </row>
    <row r="215" spans="2:40">
      <c r="C215" s="6"/>
      <c r="D215" s="6"/>
      <c r="E215" s="27"/>
      <c r="F215" s="27"/>
      <c r="G215" s="27"/>
      <c r="H215" s="27"/>
      <c r="I215" s="27"/>
      <c r="J215" s="27"/>
      <c r="K215" s="27"/>
      <c r="L215" s="27"/>
      <c r="M215" s="27"/>
      <c r="N215" s="27"/>
      <c r="O215" s="6"/>
      <c r="P215" s="6"/>
      <c r="Q215" s="6"/>
      <c r="R215" s="6"/>
      <c r="S215" s="6"/>
      <c r="T215" s="6"/>
      <c r="U215" s="6"/>
      <c r="V215" s="6"/>
      <c r="W215" s="6"/>
      <c r="X215" s="6"/>
      <c r="Y215" s="6"/>
      <c r="Z215" s="6"/>
      <c r="AA215" s="6"/>
      <c r="AB215" s="6"/>
      <c r="AC215" s="8"/>
      <c r="AD215" s="8"/>
      <c r="AE215" s="8"/>
      <c r="AF215" s="8"/>
      <c r="AG215" s="8"/>
      <c r="AH215" s="8"/>
      <c r="AI215" s="8"/>
      <c r="AJ215" s="8"/>
      <c r="AK215" s="8"/>
      <c r="AL215" s="8"/>
      <c r="AM215" s="8"/>
      <c r="AN215" s="8"/>
    </row>
    <row r="216" spans="2:40">
      <c r="C216" s="6"/>
      <c r="D216" s="6"/>
      <c r="E216" s="27"/>
      <c r="F216" s="27"/>
      <c r="G216" s="27"/>
      <c r="H216" s="27"/>
      <c r="I216" s="27"/>
      <c r="J216" s="27"/>
      <c r="K216" s="27"/>
      <c r="L216" s="27"/>
      <c r="M216" s="27"/>
      <c r="N216" s="27"/>
      <c r="O216" s="6"/>
      <c r="P216" s="6"/>
      <c r="Q216" s="6"/>
      <c r="R216" s="6"/>
      <c r="S216" s="6"/>
      <c r="T216" s="6"/>
      <c r="U216" s="6"/>
      <c r="V216" s="6"/>
      <c r="W216" s="6"/>
      <c r="X216" s="6"/>
      <c r="Y216" s="6"/>
      <c r="Z216" s="6"/>
      <c r="AA216" s="6"/>
      <c r="AB216" s="6"/>
      <c r="AC216" s="8"/>
      <c r="AD216" s="8"/>
      <c r="AE216" s="8"/>
      <c r="AF216" s="8"/>
      <c r="AG216" s="8"/>
      <c r="AH216" s="8"/>
      <c r="AI216" s="8"/>
      <c r="AJ216" s="8"/>
      <c r="AK216" s="8"/>
      <c r="AL216" s="8"/>
      <c r="AM216" s="8"/>
      <c r="AN216" s="8"/>
    </row>
    <row r="217" spans="2:40">
      <c r="C217" s="6"/>
      <c r="D217" s="6"/>
      <c r="E217" s="27"/>
      <c r="F217" s="27"/>
      <c r="G217" s="27"/>
      <c r="H217" s="27"/>
      <c r="I217" s="27"/>
      <c r="J217" s="27"/>
      <c r="K217" s="27"/>
      <c r="L217" s="27"/>
      <c r="M217" s="27"/>
      <c r="N217" s="27"/>
      <c r="O217" s="6"/>
      <c r="P217" s="6"/>
      <c r="Q217" s="6"/>
      <c r="R217" s="6"/>
      <c r="S217" s="6"/>
      <c r="T217" s="6"/>
      <c r="U217" s="6"/>
      <c r="V217" s="6"/>
      <c r="W217" s="6"/>
      <c r="X217" s="6"/>
      <c r="Y217" s="6"/>
      <c r="Z217" s="6"/>
      <c r="AA217" s="6"/>
      <c r="AB217" s="6"/>
      <c r="AC217" s="8"/>
      <c r="AD217" s="8"/>
      <c r="AE217" s="8"/>
      <c r="AF217" s="8"/>
      <c r="AG217" s="8"/>
      <c r="AH217" s="8"/>
      <c r="AI217" s="8"/>
      <c r="AJ217" s="8"/>
      <c r="AK217" s="8"/>
      <c r="AL217" s="8"/>
      <c r="AM217" s="8"/>
      <c r="AN217" s="8"/>
    </row>
    <row r="218" spans="2:40">
      <c r="C218" s="6"/>
      <c r="D218" s="6"/>
      <c r="E218" s="27"/>
      <c r="F218" s="27"/>
      <c r="G218" s="27"/>
      <c r="H218" s="27"/>
      <c r="I218" s="27"/>
      <c r="J218" s="27"/>
      <c r="K218" s="27"/>
      <c r="L218" s="27"/>
      <c r="M218" s="27"/>
      <c r="N218" s="27"/>
      <c r="O218" s="6"/>
      <c r="P218" s="6"/>
      <c r="Q218" s="6"/>
      <c r="R218" s="6"/>
      <c r="S218" s="6"/>
      <c r="T218" s="6"/>
      <c r="U218" s="6"/>
      <c r="V218" s="6"/>
      <c r="W218" s="6"/>
      <c r="X218" s="6"/>
      <c r="Y218" s="6"/>
      <c r="Z218" s="6"/>
      <c r="AA218" s="6"/>
      <c r="AB218" s="6"/>
      <c r="AC218" s="8"/>
      <c r="AD218" s="8"/>
      <c r="AE218" s="8"/>
      <c r="AF218" s="8"/>
      <c r="AG218" s="8"/>
      <c r="AH218" s="8"/>
      <c r="AI218" s="8"/>
      <c r="AJ218" s="8"/>
      <c r="AK218" s="8"/>
      <c r="AL218" s="8"/>
      <c r="AM218" s="8"/>
      <c r="AN218" s="8"/>
    </row>
    <row r="219" spans="2:40">
      <c r="C219" s="6"/>
      <c r="D219" s="6"/>
      <c r="E219" s="27"/>
      <c r="F219" s="27"/>
      <c r="G219" s="27"/>
      <c r="H219" s="27"/>
      <c r="I219" s="27"/>
      <c r="J219" s="27"/>
      <c r="K219" s="27"/>
      <c r="L219" s="27"/>
      <c r="M219" s="27"/>
      <c r="N219" s="27"/>
      <c r="O219" s="6"/>
      <c r="P219" s="6"/>
      <c r="Q219" s="6"/>
      <c r="R219" s="6"/>
      <c r="S219" s="6"/>
      <c r="T219" s="6"/>
      <c r="U219" s="6"/>
      <c r="V219" s="6"/>
      <c r="W219" s="6"/>
      <c r="X219" s="6"/>
      <c r="Y219" s="6"/>
      <c r="Z219" s="6"/>
      <c r="AA219" s="6"/>
      <c r="AB219" s="6"/>
      <c r="AC219" s="8"/>
      <c r="AD219" s="8"/>
      <c r="AE219" s="8"/>
      <c r="AF219" s="8"/>
      <c r="AG219" s="8"/>
      <c r="AH219" s="8"/>
      <c r="AI219" s="8"/>
      <c r="AJ219" s="8"/>
      <c r="AK219" s="8"/>
      <c r="AL219" s="8"/>
      <c r="AM219" s="8"/>
      <c r="AN219" s="8"/>
    </row>
    <row r="220" spans="2:40">
      <c r="C220" s="6"/>
      <c r="D220" s="6"/>
      <c r="E220" s="27"/>
      <c r="F220" s="27"/>
      <c r="G220" s="27"/>
      <c r="H220" s="27"/>
      <c r="I220" s="27"/>
      <c r="J220" s="27"/>
      <c r="K220" s="27"/>
      <c r="L220" s="27"/>
      <c r="M220" s="27"/>
      <c r="N220" s="27"/>
      <c r="O220" s="6"/>
      <c r="P220" s="6"/>
      <c r="Q220" s="6"/>
      <c r="R220" s="6"/>
      <c r="S220" s="6"/>
      <c r="T220" s="6"/>
      <c r="U220" s="6"/>
      <c r="V220" s="6"/>
      <c r="W220" s="6"/>
      <c r="X220" s="6"/>
      <c r="Y220" s="6"/>
      <c r="Z220" s="6"/>
      <c r="AA220" s="6"/>
      <c r="AB220" s="6"/>
      <c r="AC220" s="8"/>
      <c r="AD220" s="8"/>
      <c r="AE220" s="8"/>
      <c r="AF220" s="8"/>
      <c r="AG220" s="8"/>
      <c r="AH220" s="8"/>
      <c r="AI220" s="8"/>
      <c r="AJ220" s="8"/>
      <c r="AK220" s="8"/>
      <c r="AL220" s="8"/>
      <c r="AM220" s="8"/>
      <c r="AN220" s="8"/>
    </row>
    <row r="221" spans="2:40">
      <c r="C221" s="6"/>
      <c r="D221" s="6"/>
      <c r="E221" s="27"/>
      <c r="F221" s="27"/>
      <c r="G221" s="27"/>
      <c r="H221" s="27"/>
      <c r="I221" s="27"/>
      <c r="J221" s="27"/>
      <c r="K221" s="27"/>
      <c r="L221" s="27"/>
      <c r="M221" s="27"/>
      <c r="N221" s="27"/>
      <c r="O221" s="6"/>
      <c r="P221" s="6"/>
      <c r="Q221" s="6"/>
      <c r="R221" s="6"/>
      <c r="S221" s="6"/>
      <c r="T221" s="6"/>
      <c r="U221" s="6"/>
      <c r="V221" s="6"/>
      <c r="W221" s="6"/>
      <c r="X221" s="6"/>
      <c r="Y221" s="6"/>
      <c r="Z221" s="6"/>
      <c r="AA221" s="6"/>
      <c r="AB221" s="6"/>
      <c r="AC221" s="8"/>
      <c r="AD221" s="8"/>
      <c r="AE221" s="8"/>
      <c r="AF221" s="8"/>
      <c r="AG221" s="8"/>
      <c r="AH221" s="8"/>
      <c r="AI221" s="8"/>
      <c r="AJ221" s="8"/>
      <c r="AK221" s="8"/>
      <c r="AL221" s="8"/>
      <c r="AM221" s="8"/>
      <c r="AN221" s="8"/>
    </row>
    <row r="222" spans="2:40">
      <c r="C222" s="13"/>
      <c r="D222" s="6"/>
      <c r="E222" s="13"/>
      <c r="F222" s="13"/>
      <c r="G222" s="13"/>
      <c r="H222" s="13"/>
      <c r="I222" s="13"/>
      <c r="J222" s="13"/>
      <c r="K222" s="13"/>
      <c r="L222" s="13"/>
      <c r="M222" s="13"/>
      <c r="N222" s="13"/>
      <c r="O222" s="6"/>
      <c r="P222" s="6"/>
      <c r="Q222" s="6"/>
      <c r="R222" s="6"/>
      <c r="S222" s="6"/>
      <c r="T222" s="6"/>
      <c r="U222" s="6"/>
      <c r="V222" s="6"/>
      <c r="W222" s="6"/>
      <c r="X222" s="6"/>
      <c r="Y222" s="6"/>
      <c r="Z222" s="6"/>
      <c r="AA222" s="6"/>
      <c r="AB222" s="6"/>
      <c r="AC222" s="8"/>
      <c r="AD222" s="8"/>
      <c r="AE222" s="8"/>
      <c r="AF222" s="8"/>
      <c r="AG222" s="8"/>
      <c r="AH222" s="8"/>
      <c r="AI222" s="8"/>
      <c r="AJ222" s="8"/>
      <c r="AK222" s="8"/>
      <c r="AL222" s="8"/>
      <c r="AM222" s="8"/>
      <c r="AN222" s="8"/>
    </row>
    <row r="223" spans="2:40">
      <c r="B223" s="28"/>
      <c r="C223" s="13"/>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8"/>
      <c r="AD223" s="8"/>
      <c r="AE223" s="8"/>
      <c r="AF223" s="8"/>
      <c r="AG223" s="8"/>
      <c r="AH223" s="8"/>
      <c r="AI223" s="8"/>
      <c r="AJ223" s="8"/>
      <c r="AK223" s="8"/>
      <c r="AL223" s="8"/>
      <c r="AM223" s="8"/>
      <c r="AN223" s="8"/>
    </row>
    <row r="224" spans="2:40">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8"/>
      <c r="AD224" s="8"/>
      <c r="AE224" s="8"/>
      <c r="AF224" s="8"/>
      <c r="AG224" s="8"/>
      <c r="AH224" s="8"/>
      <c r="AI224" s="8"/>
      <c r="AJ224" s="8"/>
      <c r="AK224" s="8"/>
      <c r="AL224" s="8"/>
      <c r="AM224" s="8"/>
      <c r="AN224" s="8"/>
    </row>
    <row r="225" spans="2:40">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8"/>
      <c r="AD225" s="8"/>
      <c r="AE225" s="8"/>
      <c r="AF225" s="8"/>
      <c r="AG225" s="8"/>
      <c r="AH225" s="8"/>
      <c r="AI225" s="8"/>
      <c r="AJ225" s="8"/>
      <c r="AK225" s="8"/>
      <c r="AL225" s="8"/>
      <c r="AM225" s="8"/>
      <c r="AN225" s="8"/>
    </row>
    <row r="226" spans="2:40">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8"/>
      <c r="AD226" s="8"/>
      <c r="AE226" s="8"/>
      <c r="AF226" s="8"/>
      <c r="AG226" s="8"/>
      <c r="AH226" s="8"/>
      <c r="AI226" s="8"/>
      <c r="AJ226" s="8"/>
      <c r="AK226" s="8"/>
      <c r="AL226" s="8"/>
      <c r="AM226" s="8"/>
      <c r="AN226" s="8"/>
    </row>
    <row r="227" spans="2:40">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8"/>
      <c r="AD227" s="8"/>
      <c r="AE227" s="8"/>
      <c r="AF227" s="8"/>
      <c r="AG227" s="8"/>
      <c r="AH227" s="8"/>
      <c r="AI227" s="8"/>
      <c r="AJ227" s="8"/>
      <c r="AK227" s="8"/>
      <c r="AL227" s="8"/>
      <c r="AM227" s="8"/>
      <c r="AN227" s="8"/>
    </row>
    <row r="228" spans="2:40">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8"/>
      <c r="AD228" s="8"/>
      <c r="AE228" s="8"/>
      <c r="AF228" s="8"/>
      <c r="AG228" s="8"/>
      <c r="AH228" s="8"/>
      <c r="AI228" s="8"/>
      <c r="AJ228" s="8"/>
      <c r="AK228" s="8"/>
      <c r="AL228" s="8"/>
      <c r="AM228" s="8"/>
      <c r="AN228" s="8"/>
    </row>
    <row r="229" spans="2:40">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8"/>
      <c r="AD229" s="8"/>
      <c r="AE229" s="8"/>
      <c r="AF229" s="8"/>
      <c r="AG229" s="8"/>
      <c r="AH229" s="8"/>
      <c r="AI229" s="8"/>
      <c r="AJ229" s="8"/>
      <c r="AK229" s="8"/>
      <c r="AL229" s="8"/>
      <c r="AM229" s="8"/>
      <c r="AN229" s="8"/>
    </row>
    <row r="230" spans="2:40">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8"/>
      <c r="AD230" s="8"/>
      <c r="AE230" s="8"/>
      <c r="AF230" s="8"/>
      <c r="AG230" s="8"/>
      <c r="AH230" s="8"/>
      <c r="AI230" s="8"/>
      <c r="AJ230" s="8"/>
      <c r="AK230" s="8"/>
      <c r="AL230" s="8"/>
      <c r="AM230" s="8"/>
      <c r="AN230" s="8"/>
    </row>
    <row r="231" spans="2:40">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8"/>
      <c r="AD231" s="8"/>
      <c r="AE231" s="8"/>
      <c r="AF231" s="8"/>
      <c r="AG231" s="8"/>
      <c r="AH231" s="8"/>
      <c r="AI231" s="8"/>
      <c r="AJ231" s="8"/>
      <c r="AK231" s="8"/>
      <c r="AL231" s="8"/>
      <c r="AM231" s="8"/>
      <c r="AN231" s="8"/>
    </row>
    <row r="232" spans="2:40">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8"/>
      <c r="AD232" s="8"/>
      <c r="AE232" s="8"/>
      <c r="AF232" s="8"/>
      <c r="AG232" s="8"/>
      <c r="AH232" s="8"/>
      <c r="AI232" s="8"/>
      <c r="AJ232" s="8"/>
      <c r="AK232" s="8"/>
      <c r="AL232" s="8"/>
      <c r="AM232" s="8"/>
      <c r="AN232" s="8"/>
    </row>
    <row r="233" spans="2:40">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8"/>
      <c r="AD233" s="8"/>
      <c r="AE233" s="8"/>
      <c r="AF233" s="8"/>
      <c r="AG233" s="8"/>
      <c r="AH233" s="8"/>
      <c r="AI233" s="8"/>
      <c r="AJ233" s="8"/>
      <c r="AK233" s="8"/>
      <c r="AL233" s="8"/>
      <c r="AM233" s="8"/>
      <c r="AN233" s="8"/>
    </row>
    <row r="234" spans="2:40">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8"/>
      <c r="AD234" s="8"/>
      <c r="AE234" s="8"/>
      <c r="AF234" s="8"/>
      <c r="AG234" s="8"/>
      <c r="AH234" s="8"/>
      <c r="AI234" s="8"/>
      <c r="AJ234" s="8"/>
      <c r="AK234" s="8"/>
      <c r="AL234" s="8"/>
      <c r="AM234" s="8"/>
      <c r="AN234" s="8"/>
    </row>
    <row r="235" spans="2:40">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8"/>
      <c r="AD235" s="8"/>
      <c r="AE235" s="8"/>
      <c r="AF235" s="8"/>
      <c r="AG235" s="8"/>
      <c r="AH235" s="8"/>
      <c r="AI235" s="8"/>
      <c r="AJ235" s="8"/>
      <c r="AK235" s="8"/>
      <c r="AL235" s="8"/>
      <c r="AM235" s="8"/>
      <c r="AN235" s="8"/>
    </row>
    <row r="236" spans="2:40">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8"/>
      <c r="AD236" s="8"/>
      <c r="AE236" s="8"/>
      <c r="AF236" s="8"/>
      <c r="AG236" s="8"/>
      <c r="AH236" s="8"/>
      <c r="AI236" s="8"/>
      <c r="AJ236" s="8"/>
      <c r="AK236" s="8"/>
      <c r="AL236" s="8"/>
      <c r="AM236" s="8"/>
      <c r="AN236" s="8"/>
    </row>
    <row r="237" spans="2:40">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8"/>
      <c r="AD237" s="8"/>
      <c r="AE237" s="8"/>
      <c r="AF237" s="8"/>
      <c r="AG237" s="8"/>
      <c r="AH237" s="8"/>
      <c r="AI237" s="8"/>
      <c r="AJ237" s="8"/>
      <c r="AK237" s="8"/>
      <c r="AL237" s="8"/>
      <c r="AM237" s="8"/>
      <c r="AN237" s="8"/>
    </row>
    <row r="238" spans="2:40">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8"/>
      <c r="AD238" s="8"/>
      <c r="AE238" s="8"/>
      <c r="AF238" s="8"/>
      <c r="AG238" s="8"/>
      <c r="AH238" s="8"/>
      <c r="AI238" s="8"/>
      <c r="AJ238" s="8"/>
      <c r="AK238" s="8"/>
      <c r="AL238" s="8"/>
      <c r="AM238" s="8"/>
      <c r="AN238" s="8"/>
    </row>
    <row r="239" spans="2:40">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8"/>
      <c r="AD239" s="8"/>
      <c r="AE239" s="8"/>
      <c r="AF239" s="8"/>
      <c r="AG239" s="8"/>
      <c r="AH239" s="8"/>
      <c r="AI239" s="8"/>
      <c r="AJ239" s="8"/>
      <c r="AK239" s="8"/>
      <c r="AL239" s="8"/>
      <c r="AM239" s="8"/>
      <c r="AN239" s="8"/>
    </row>
    <row r="240" spans="2:40">
      <c r="B240" s="29" t="s">
        <v>386</v>
      </c>
      <c r="C240" s="30">
        <f>C$2</f>
        <v>1998</v>
      </c>
      <c r="D240" s="30">
        <f t="shared" ref="D240:AN240" si="26">D$2</f>
        <v>1999</v>
      </c>
      <c r="E240" s="30">
        <f t="shared" si="26"/>
        <v>2000</v>
      </c>
      <c r="F240" s="30">
        <f t="shared" si="26"/>
        <v>2001</v>
      </c>
      <c r="G240" s="30">
        <f t="shared" si="26"/>
        <v>2002</v>
      </c>
      <c r="H240" s="30">
        <f t="shared" si="26"/>
        <v>2003</v>
      </c>
      <c r="I240" s="30">
        <f t="shared" si="26"/>
        <v>2004</v>
      </c>
      <c r="J240" s="30">
        <f t="shared" si="26"/>
        <v>2005</v>
      </c>
      <c r="K240" s="30">
        <f t="shared" si="26"/>
        <v>2006</v>
      </c>
      <c r="L240" s="30">
        <f t="shared" si="26"/>
        <v>2007</v>
      </c>
      <c r="M240" s="30">
        <f t="shared" si="26"/>
        <v>2008</v>
      </c>
      <c r="N240" s="30">
        <f t="shared" si="26"/>
        <v>2009</v>
      </c>
      <c r="O240" s="30">
        <f t="shared" si="26"/>
        <v>2010</v>
      </c>
      <c r="P240" s="30">
        <f t="shared" si="26"/>
        <v>2011</v>
      </c>
      <c r="Q240" s="30">
        <f t="shared" si="26"/>
        <v>2012</v>
      </c>
      <c r="R240" s="30">
        <f t="shared" si="26"/>
        <v>2013</v>
      </c>
      <c r="S240" s="30">
        <f t="shared" si="26"/>
        <v>2014</v>
      </c>
      <c r="T240" s="30">
        <f t="shared" si="26"/>
        <v>2015</v>
      </c>
      <c r="U240" s="30">
        <f t="shared" si="26"/>
        <v>2016</v>
      </c>
      <c r="V240" s="30">
        <f t="shared" si="26"/>
        <v>2017</v>
      </c>
      <c r="W240" s="30">
        <f t="shared" si="26"/>
        <v>2018</v>
      </c>
      <c r="X240" s="30">
        <f t="shared" si="26"/>
        <v>2019</v>
      </c>
      <c r="Y240" s="30">
        <f t="shared" si="26"/>
        <v>2020</v>
      </c>
      <c r="Z240" s="30">
        <f t="shared" si="26"/>
        <v>2021</v>
      </c>
      <c r="AA240" s="30">
        <f t="shared" si="26"/>
        <v>2022</v>
      </c>
      <c r="AB240" s="30">
        <f t="shared" si="26"/>
        <v>2023</v>
      </c>
      <c r="AC240" s="30">
        <f t="shared" si="26"/>
        <v>2024</v>
      </c>
      <c r="AD240" s="30">
        <f t="shared" si="26"/>
        <v>2025</v>
      </c>
      <c r="AE240" s="30">
        <f t="shared" si="26"/>
        <v>2026</v>
      </c>
      <c r="AF240" s="30">
        <f t="shared" si="26"/>
        <v>2027</v>
      </c>
      <c r="AG240" s="30">
        <f t="shared" si="26"/>
        <v>2028</v>
      </c>
      <c r="AH240" s="30">
        <f t="shared" si="26"/>
        <v>2029</v>
      </c>
      <c r="AI240" s="30">
        <f t="shared" si="26"/>
        <v>2030</v>
      </c>
      <c r="AJ240" s="30">
        <f t="shared" si="26"/>
        <v>2031</v>
      </c>
      <c r="AK240" s="30">
        <f t="shared" si="26"/>
        <v>2032</v>
      </c>
      <c r="AL240" s="30">
        <f t="shared" si="26"/>
        <v>2033</v>
      </c>
      <c r="AM240" s="30">
        <f t="shared" si="26"/>
        <v>2034</v>
      </c>
      <c r="AN240" s="30">
        <f t="shared" si="26"/>
        <v>2035</v>
      </c>
    </row>
    <row r="241" spans="2:40">
      <c r="B241" s="1"/>
      <c r="C241" s="31"/>
      <c r="D241" s="31"/>
      <c r="E241" s="31"/>
      <c r="F241" s="31"/>
      <c r="G241" s="31"/>
      <c r="H241" s="31"/>
      <c r="I241" s="31"/>
      <c r="J241" s="31"/>
      <c r="K241" s="31"/>
      <c r="L241" s="31"/>
      <c r="M241" s="31"/>
      <c r="N241" s="31"/>
      <c r="O241" s="31"/>
      <c r="P241" s="31"/>
      <c r="Q241" s="31"/>
      <c r="R241" s="31"/>
      <c r="S241" s="31"/>
      <c r="T241" s="31"/>
      <c r="U241" s="32"/>
      <c r="V241" s="33"/>
      <c r="W241" s="33"/>
      <c r="X241" s="33"/>
      <c r="Y241" s="33"/>
      <c r="Z241" s="33"/>
      <c r="AA241" s="33"/>
      <c r="AB241" s="33"/>
      <c r="AC241" s="34"/>
      <c r="AD241" s="34"/>
      <c r="AE241" s="34"/>
      <c r="AF241" s="34"/>
      <c r="AG241" s="34"/>
      <c r="AH241" s="34"/>
      <c r="AI241" s="34"/>
      <c r="AJ241" s="34"/>
      <c r="AK241" s="34"/>
      <c r="AL241" s="34"/>
      <c r="AM241" s="34"/>
      <c r="AN241" s="34"/>
    </row>
    <row r="242" spans="2:40" ht="14.5">
      <c r="B242" s="35" t="s">
        <v>44</v>
      </c>
      <c r="C242" s="31"/>
      <c r="D242" s="31"/>
      <c r="E242" s="36"/>
      <c r="F242" s="36"/>
      <c r="G242" s="37"/>
      <c r="H242" s="37"/>
      <c r="I242" s="36">
        <f>I55</f>
        <v>0</v>
      </c>
      <c r="J242" s="36">
        <f t="shared" ref="J242:AA242" si="27">J55</f>
        <v>0</v>
      </c>
      <c r="K242" s="36">
        <f t="shared" si="27"/>
        <v>0</v>
      </c>
      <c r="L242" s="36">
        <f t="shared" si="27"/>
        <v>236242.19999999998</v>
      </c>
      <c r="M242" s="36">
        <f t="shared" si="27"/>
        <v>239077.10639999999</v>
      </c>
      <c r="N242" s="36">
        <f t="shared" si="27"/>
        <v>241946.03167679999</v>
      </c>
      <c r="O242" s="36">
        <f t="shared" si="27"/>
        <v>244849.38405692158</v>
      </c>
      <c r="P242" s="36">
        <f t="shared" si="27"/>
        <v>247787.57666560463</v>
      </c>
      <c r="Q242" s="36">
        <f t="shared" si="27"/>
        <v>248452</v>
      </c>
      <c r="R242" s="36">
        <f t="shared" si="27"/>
        <v>251806</v>
      </c>
      <c r="S242" s="36">
        <f t="shared" si="27"/>
        <v>255129</v>
      </c>
      <c r="T242" s="36">
        <f t="shared" si="27"/>
        <v>258383</v>
      </c>
      <c r="U242" s="36">
        <f t="shared" si="27"/>
        <v>261554</v>
      </c>
      <c r="V242" s="36">
        <f t="shared" si="27"/>
        <v>264645</v>
      </c>
      <c r="W242" s="36">
        <f t="shared" si="27"/>
        <v>267663</v>
      </c>
      <c r="X242" s="36">
        <f t="shared" si="27"/>
        <v>269582.87800000003</v>
      </c>
      <c r="Y242" s="36">
        <f t="shared" si="27"/>
        <v>271857.96999999997</v>
      </c>
      <c r="Z242" s="36">
        <f t="shared" si="27"/>
        <v>273753.19099999999</v>
      </c>
      <c r="AA242" s="36">
        <f t="shared" si="27"/>
        <v>275501.33899999998</v>
      </c>
      <c r="AB242" s="36">
        <f t="shared" ref="AB242:AC242" si="28">AB55</f>
        <v>277154.34703399998</v>
      </c>
      <c r="AC242" s="36">
        <f t="shared" si="28"/>
        <v>279798.049</v>
      </c>
      <c r="AD242" s="36">
        <f t="shared" ref="AD242:AG242" si="29">AD55</f>
        <v>281476.83729400003</v>
      </c>
      <c r="AE242" s="36">
        <f t="shared" si="29"/>
        <v>283165.69831776404</v>
      </c>
      <c r="AF242" s="36">
        <f t="shared" si="29"/>
        <v>284864.69250767061</v>
      </c>
      <c r="AG242" s="36">
        <f t="shared" si="29"/>
        <v>286573.88066271663</v>
      </c>
      <c r="AH242" s="36">
        <f t="shared" ref="AH242:AI242" si="30">AH55</f>
        <v>288293.32394669292</v>
      </c>
      <c r="AI242" s="36">
        <f t="shared" si="30"/>
        <v>290023.08389037306</v>
      </c>
      <c r="AJ242" s="34"/>
      <c r="AK242" s="34"/>
      <c r="AL242" s="34"/>
      <c r="AM242" s="34"/>
      <c r="AN242" s="34"/>
    </row>
    <row r="243" spans="2:40" ht="14.5">
      <c r="B243" s="35" t="s">
        <v>387</v>
      </c>
      <c r="C243" s="31"/>
      <c r="D243" s="31"/>
      <c r="E243" s="36"/>
      <c r="F243" s="36"/>
      <c r="G243" s="37"/>
      <c r="H243" s="37"/>
      <c r="I243" s="36"/>
      <c r="J243" s="36"/>
      <c r="K243" s="36"/>
      <c r="L243" s="36">
        <f>L51</f>
        <v>15469</v>
      </c>
      <c r="M243" s="36">
        <f t="shared" ref="M243:AA243" si="31">M51</f>
        <v>26016</v>
      </c>
      <c r="N243" s="36">
        <f t="shared" si="31"/>
        <v>31100</v>
      </c>
      <c r="O243" s="36">
        <f t="shared" si="31"/>
        <v>40400</v>
      </c>
      <c r="P243" s="36">
        <f t="shared" si="31"/>
        <v>46400</v>
      </c>
      <c r="Q243" s="36">
        <f t="shared" si="31"/>
        <v>45800</v>
      </c>
      <c r="R243" s="36">
        <f t="shared" si="31"/>
        <v>60500</v>
      </c>
      <c r="S243" s="36">
        <f t="shared" si="31"/>
        <v>59600</v>
      </c>
      <c r="T243" s="36">
        <f t="shared" si="31"/>
        <v>42000</v>
      </c>
      <c r="U243" s="36">
        <f t="shared" si="31"/>
        <v>46500</v>
      </c>
      <c r="V243" s="36">
        <f t="shared" si="31"/>
        <v>53500</v>
      </c>
      <c r="W243" s="36">
        <f t="shared" si="31"/>
        <v>54900</v>
      </c>
      <c r="X243" s="36">
        <f t="shared" si="31"/>
        <v>56700</v>
      </c>
      <c r="Y243" s="36">
        <f t="shared" si="31"/>
        <v>57890</v>
      </c>
      <c r="Z243" s="36">
        <f t="shared" si="31"/>
        <v>57910</v>
      </c>
      <c r="AA243" s="36">
        <f t="shared" si="31"/>
        <v>57500</v>
      </c>
      <c r="AB243" s="36">
        <f t="shared" ref="AB243:AC243" si="32">AB51</f>
        <v>57500</v>
      </c>
      <c r="AC243" s="36">
        <f t="shared" si="32"/>
        <v>58800</v>
      </c>
      <c r="AD243" s="36">
        <f t="shared" ref="AD243:AG243" si="33">AD51</f>
        <v>82771.271720245146</v>
      </c>
      <c r="AE243" s="36">
        <f t="shared" si="33"/>
        <v>83969.257163598711</v>
      </c>
      <c r="AF243" s="36">
        <f t="shared" si="33"/>
        <v>85182.942914061918</v>
      </c>
      <c r="AG243" s="36">
        <f t="shared" si="33"/>
        <v>86412.523357124315</v>
      </c>
      <c r="AH243" s="36">
        <f t="shared" ref="AH243:AI243" si="34">AH51</f>
        <v>87658.195197739857</v>
      </c>
      <c r="AI243" s="36">
        <f t="shared" si="34"/>
        <v>88920.15748729551</v>
      </c>
      <c r="AJ243" s="34"/>
      <c r="AK243" s="34"/>
      <c r="AL243" s="34"/>
      <c r="AM243" s="34"/>
      <c r="AN243" s="34"/>
    </row>
    <row r="244" spans="2:40" ht="14.5">
      <c r="B244" s="35" t="s">
        <v>388</v>
      </c>
      <c r="C244" s="31"/>
      <c r="D244" s="31"/>
      <c r="E244" s="37"/>
      <c r="F244" s="36"/>
      <c r="G244" s="37"/>
      <c r="H244" s="37"/>
      <c r="I244" s="37"/>
      <c r="J244" s="37"/>
      <c r="K244" s="37"/>
      <c r="L244" s="36"/>
      <c r="M244" s="36"/>
      <c r="N244" s="36"/>
      <c r="O244" s="36"/>
      <c r="P244" s="36"/>
      <c r="Q244" s="36"/>
      <c r="R244" s="607">
        <f>'Income Statement'!AG42</f>
        <v>0.219613537769904</v>
      </c>
      <c r="S244" s="607">
        <f>'Income Statement'!AL42</f>
        <v>0.20917600603520053</v>
      </c>
      <c r="T244" s="607">
        <f>'Income Statement'!AQ42</f>
        <v>0.14981657662143286</v>
      </c>
      <c r="U244" s="607">
        <f>'Income Statement'!AV42</f>
        <v>0.14139153596818235</v>
      </c>
      <c r="V244" s="607">
        <f>'Income Statement'!BA42</f>
        <v>0.14861111111111111</v>
      </c>
      <c r="W244" s="607">
        <f>'Income Statement'!BF42</f>
        <v>0.19899379458330918</v>
      </c>
      <c r="X244" s="607">
        <f>'Income Statement'!BK42</f>
        <v>0.20203420829132041</v>
      </c>
      <c r="Y244" s="607">
        <f>'Income Statement'!BP42</f>
        <v>0.1985904737565905</v>
      </c>
      <c r="Z244" s="607">
        <f>'Income Statement'!BU42</f>
        <v>0.17506733940572031</v>
      </c>
      <c r="AA244" s="607">
        <f>'Income Statement'!BZ42</f>
        <v>0.16305501513370144</v>
      </c>
      <c r="AB244" s="607">
        <f>'Income Statement'!CE42</f>
        <v>0.1612158644278493</v>
      </c>
      <c r="AC244" s="607">
        <f>'Income Statement'!CJ42</f>
        <v>0.16287530760630523</v>
      </c>
      <c r="AD244" s="607">
        <f>'Income Statement'!CO42</f>
        <v>0.22699999999999998</v>
      </c>
      <c r="AE244" s="607">
        <f>'Income Statement'!CP42</f>
        <v>0.22800000000000001</v>
      </c>
      <c r="AF244" s="607">
        <f>'Income Statement'!CQ42</f>
        <v>0.22900000000000001</v>
      </c>
      <c r="AG244" s="607">
        <f>'Income Statement'!CR42</f>
        <v>0.23</v>
      </c>
      <c r="AH244" s="607">
        <f>'Income Statement'!CS42</f>
        <v>0.23100000000000001</v>
      </c>
      <c r="AI244" s="607">
        <f>'Income Statement'!CT42</f>
        <v>0.23200000000000001</v>
      </c>
      <c r="AJ244" s="38"/>
      <c r="AK244" s="38"/>
      <c r="AL244" s="38"/>
      <c r="AM244" s="38"/>
      <c r="AN244" s="38"/>
    </row>
    <row r="245" spans="2:40" ht="14.5">
      <c r="B245" s="35" t="s">
        <v>259</v>
      </c>
      <c r="C245" s="31"/>
      <c r="D245" s="31"/>
      <c r="E245" s="36"/>
      <c r="F245" s="36"/>
      <c r="G245" s="37"/>
      <c r="H245" s="37"/>
      <c r="I245" s="36"/>
      <c r="J245" s="36"/>
      <c r="K245" s="36"/>
      <c r="L245" s="36">
        <f>'Income Statement'!C290</f>
        <v>0</v>
      </c>
      <c r="M245" s="36">
        <f>'Income Statement'!H290</f>
        <v>0</v>
      </c>
      <c r="N245" s="36">
        <f>'Income Statement'!M290</f>
        <v>0</v>
      </c>
      <c r="O245" s="36">
        <f>'Income Statement'!R290</f>
        <v>0</v>
      </c>
      <c r="P245" s="36">
        <f>'Income Statement'!W290</f>
        <v>0</v>
      </c>
      <c r="Q245" s="36">
        <f>'Income Statement'!AB290</f>
        <v>0</v>
      </c>
      <c r="R245" s="36">
        <f>'Income Statement'!AG290</f>
        <v>19952</v>
      </c>
      <c r="S245" s="36">
        <f>'Income Statement'!AL290</f>
        <v>18908</v>
      </c>
      <c r="T245" s="36">
        <f>'Income Statement'!AQ290</f>
        <v>19193</v>
      </c>
      <c r="U245" s="36">
        <f>'Income Statement'!AV290</f>
        <v>18374</v>
      </c>
      <c r="V245" s="36">
        <f>'Income Statement'!BA290</f>
        <v>20261</v>
      </c>
      <c r="W245" s="36">
        <f>'Income Statement'!BF290</f>
        <v>19883</v>
      </c>
      <c r="X245" s="36">
        <f>'Income Statement'!BK290</f>
        <v>22843</v>
      </c>
      <c r="Y245" s="36">
        <f>'Income Statement'!BP290</f>
        <v>24130</v>
      </c>
      <c r="Z245" s="36">
        <f>'Income Statement'!BU290</f>
        <v>24508</v>
      </c>
      <c r="AA245" s="36">
        <f>'Income Statement'!BZ290</f>
        <v>26549</v>
      </c>
      <c r="AB245" s="36">
        <f>'Income Statement'!CE290</f>
        <v>29402</v>
      </c>
      <c r="AC245" s="36">
        <f>'Income Statement'!CJ290</f>
        <v>31578.474000000002</v>
      </c>
      <c r="AD245" s="36">
        <f>'Income Statement'!CO290</f>
        <v>37221.398591966368</v>
      </c>
      <c r="AE245" s="36">
        <f>'Income Statement'!CP290</f>
        <v>41459.597463978644</v>
      </c>
      <c r="AF245" s="36">
        <f>'Income Statement'!CQ290</f>
        <v>43253.569136634302</v>
      </c>
      <c r="AG245" s="36">
        <f>'Income Statement'!CR290</f>
        <v>45122.297079598582</v>
      </c>
      <c r="AH245" s="36">
        <f>'Income Statement'!CS290</f>
        <v>47068.874235069161</v>
      </c>
      <c r="AI245" s="36">
        <f>'Income Statement'!CT290</f>
        <v>49096.521772284206</v>
      </c>
      <c r="AJ245" s="38"/>
      <c r="AK245" s="38"/>
      <c r="AL245" s="38"/>
      <c r="AM245" s="38"/>
      <c r="AN245" s="38"/>
    </row>
    <row r="246" spans="2:40" ht="14.5">
      <c r="B246" s="35" t="s">
        <v>389</v>
      </c>
      <c r="C246" s="31"/>
      <c r="D246" s="31"/>
      <c r="E246" s="36"/>
      <c r="F246" s="36"/>
      <c r="G246" s="37"/>
      <c r="H246" s="37"/>
      <c r="I246" s="36"/>
      <c r="J246" s="36"/>
      <c r="K246" s="36"/>
      <c r="L246" s="36">
        <f>L18</f>
        <v>7990</v>
      </c>
      <c r="M246" s="36">
        <f t="shared" ref="M246:AA246" si="35">M18</f>
        <v>12061.33</v>
      </c>
      <c r="N246" s="36">
        <f t="shared" si="35"/>
        <v>13707</v>
      </c>
      <c r="O246" s="36">
        <f t="shared" si="35"/>
        <v>17460</v>
      </c>
      <c r="P246" s="36">
        <f t="shared" si="35"/>
        <v>18262</v>
      </c>
      <c r="Q246" s="36">
        <f t="shared" si="35"/>
        <v>20969</v>
      </c>
      <c r="R246" s="36">
        <f t="shared" si="35"/>
        <v>21266</v>
      </c>
      <c r="S246" s="36">
        <f t="shared" si="35"/>
        <v>23460</v>
      </c>
      <c r="T246" s="36">
        <f t="shared" si="35"/>
        <v>22895</v>
      </c>
      <c r="U246" s="36">
        <f t="shared" si="35"/>
        <v>21341</v>
      </c>
      <c r="V246" s="36">
        <f t="shared" si="35"/>
        <v>22901</v>
      </c>
      <c r="W246" s="36">
        <f t="shared" si="35"/>
        <v>22938.811999999998</v>
      </c>
      <c r="X246" s="36">
        <f t="shared" si="35"/>
        <v>25132.851999999999</v>
      </c>
      <c r="Y246" s="36">
        <f t="shared" si="35"/>
        <v>26009.095000000001</v>
      </c>
      <c r="Z246" s="36">
        <f t="shared" si="35"/>
        <v>26754.050000000003</v>
      </c>
      <c r="AA246" s="36">
        <f t="shared" si="35"/>
        <v>29141.994000000002</v>
      </c>
      <c r="AB246" s="36">
        <f t="shared" ref="AB246:AC246" si="36">AB18</f>
        <v>32322.651000000005</v>
      </c>
      <c r="AC246" s="36">
        <f t="shared" si="36"/>
        <v>34391.597000000002</v>
      </c>
      <c r="AD246" s="36">
        <f t="shared" ref="AD246:AG246" si="37">AD18</f>
        <v>42474.105831966364</v>
      </c>
      <c r="AE246" s="36">
        <f t="shared" si="37"/>
        <v>47281.52542977938</v>
      </c>
      <c r="AF246" s="36">
        <f t="shared" si="37"/>
        <v>49342.820741226758</v>
      </c>
      <c r="AG246" s="36">
        <f t="shared" si="37"/>
        <v>51491.024704882409</v>
      </c>
      <c r="AH246" s="36">
        <f t="shared" ref="AH246:AI246" si="38">AH18</f>
        <v>53729.794804044934</v>
      </c>
      <c r="AI246" s="36">
        <f t="shared" si="38"/>
        <v>56062.943842146051</v>
      </c>
      <c r="AJ246" s="38"/>
      <c r="AK246" s="38"/>
      <c r="AL246" s="38"/>
      <c r="AM246" s="38"/>
      <c r="AN246" s="38"/>
    </row>
    <row r="247" spans="2:40" ht="14.5">
      <c r="B247" s="35" t="s">
        <v>2</v>
      </c>
      <c r="C247" s="31"/>
      <c r="D247" s="31"/>
      <c r="E247" s="36"/>
      <c r="F247" s="36"/>
      <c r="G247" s="37"/>
      <c r="H247" s="37"/>
      <c r="I247" s="36"/>
      <c r="J247" s="36"/>
      <c r="K247" s="36"/>
      <c r="L247" s="36">
        <f>L19</f>
        <v>3509</v>
      </c>
      <c r="M247" s="36">
        <f t="shared" ref="M247:AA247" si="39">M19</f>
        <v>5132</v>
      </c>
      <c r="N247" s="36">
        <f t="shared" si="39"/>
        <v>6205</v>
      </c>
      <c r="O247" s="36">
        <f t="shared" si="39"/>
        <v>9287</v>
      </c>
      <c r="P247" s="36">
        <f t="shared" si="39"/>
        <v>9348</v>
      </c>
      <c r="Q247" s="36">
        <f t="shared" si="39"/>
        <v>9745</v>
      </c>
      <c r="R247" s="36">
        <f t="shared" si="39"/>
        <v>8659</v>
      </c>
      <c r="S247" s="36">
        <f t="shared" si="39"/>
        <v>8623</v>
      </c>
      <c r="T247" s="36">
        <f t="shared" si="39"/>
        <v>8393</v>
      </c>
      <c r="U247" s="36">
        <f t="shared" si="39"/>
        <v>8057</v>
      </c>
      <c r="V247" s="36">
        <f t="shared" si="39"/>
        <v>8321</v>
      </c>
      <c r="W247" s="36">
        <f t="shared" si="39"/>
        <v>8513</v>
      </c>
      <c r="X247" s="36">
        <f t="shared" si="39"/>
        <v>9966</v>
      </c>
      <c r="Y247" s="36">
        <f t="shared" si="39"/>
        <v>13060</v>
      </c>
      <c r="Z247" s="36">
        <f t="shared" si="39"/>
        <v>13287</v>
      </c>
      <c r="AA247" s="36">
        <f t="shared" si="39"/>
        <v>14235</v>
      </c>
      <c r="AB247" s="36">
        <f t="shared" ref="AB247:AC247" si="40">AB19</f>
        <v>15885</v>
      </c>
      <c r="AC247" s="36">
        <f t="shared" si="40"/>
        <v>17879</v>
      </c>
      <c r="AD247" s="36">
        <f t="shared" ref="AD247:AG247" si="41">AD19</f>
        <v>18547.777952688124</v>
      </c>
      <c r="AE247" s="36">
        <f t="shared" si="41"/>
        <v>22026.102884302556</v>
      </c>
      <c r="AF247" s="36">
        <f t="shared" si="41"/>
        <v>24266.810115801967</v>
      </c>
      <c r="AG247" s="36">
        <f t="shared" si="41"/>
        <v>26620.859772424206</v>
      </c>
      <c r="AH247" s="36">
        <f t="shared" ref="AH247:AI247" si="42">AH19</f>
        <v>27939.493298103363</v>
      </c>
      <c r="AI247" s="36">
        <f t="shared" si="42"/>
        <v>29320.919629442382</v>
      </c>
      <c r="AJ247" s="38"/>
      <c r="AK247" s="38"/>
      <c r="AL247" s="38"/>
      <c r="AM247" s="38"/>
      <c r="AN247" s="38"/>
    </row>
    <row r="248" spans="2:40" ht="14.5">
      <c r="B248" s="35" t="s">
        <v>141</v>
      </c>
      <c r="C248" s="31"/>
      <c r="D248" s="31"/>
      <c r="E248" s="36"/>
      <c r="F248" s="36"/>
      <c r="G248" s="37"/>
      <c r="H248" s="37"/>
      <c r="I248" s="36"/>
      <c r="J248" s="36"/>
      <c r="K248" s="36"/>
      <c r="L248" s="36">
        <f>L23</f>
        <v>-3359</v>
      </c>
      <c r="M248" s="36">
        <f t="shared" ref="M248:AA248" si="43">M23</f>
        <v>-6250</v>
      </c>
      <c r="N248" s="36">
        <f t="shared" si="43"/>
        <v>922.30000000000018</v>
      </c>
      <c r="O248" s="36">
        <f t="shared" si="43"/>
        <v>4439</v>
      </c>
      <c r="P248" s="36">
        <f t="shared" si="43"/>
        <v>2826</v>
      </c>
      <c r="Q248" s="36">
        <f t="shared" si="43"/>
        <v>-431</v>
      </c>
      <c r="R248" s="36">
        <f t="shared" si="43"/>
        <v>1265</v>
      </c>
      <c r="S248" s="36">
        <f t="shared" si="43"/>
        <v>1528</v>
      </c>
      <c r="T248" s="36">
        <f t="shared" si="43"/>
        <v>4247</v>
      </c>
      <c r="U248" s="36">
        <f t="shared" si="43"/>
        <v>2473</v>
      </c>
      <c r="V248" s="36">
        <f t="shared" si="43"/>
        <v>1624</v>
      </c>
      <c r="W248" s="36">
        <f t="shared" si="43"/>
        <v>1721</v>
      </c>
      <c r="X248" s="36">
        <f t="shared" si="43"/>
        <v>1970</v>
      </c>
      <c r="Y248" s="36">
        <f t="shared" si="43"/>
        <v>6905</v>
      </c>
      <c r="Z248" s="36">
        <f t="shared" si="43"/>
        <v>3366</v>
      </c>
      <c r="AA248" s="36">
        <f t="shared" si="43"/>
        <v>5172</v>
      </c>
      <c r="AB248" s="36">
        <f t="shared" ref="AB248:AC248" si="44">AB23</f>
        <v>8727</v>
      </c>
      <c r="AC248" s="36">
        <f t="shared" si="44"/>
        <v>10497</v>
      </c>
      <c r="AD248" s="36">
        <f t="shared" ref="AD248:AG248" si="45">AD23</f>
        <v>-1839.7928466557314</v>
      </c>
      <c r="AE248" s="36">
        <f t="shared" si="45"/>
        <v>11624.167289751093</v>
      </c>
      <c r="AF248" s="36">
        <f t="shared" si="45"/>
        <v>13904.817760144348</v>
      </c>
      <c r="AG248" s="36">
        <f t="shared" si="45"/>
        <v>15807.744584398901</v>
      </c>
      <c r="AH248" s="36">
        <f t="shared" ref="AH248:AI248" si="46">AH23</f>
        <v>16656.236389253929</v>
      </c>
      <c r="AI248" s="36">
        <f t="shared" si="46"/>
        <v>17267.38670338098</v>
      </c>
      <c r="AJ248" s="38"/>
      <c r="AK248" s="38"/>
      <c r="AL248" s="38"/>
      <c r="AM248" s="38"/>
      <c r="AN248" s="38"/>
    </row>
    <row r="249" spans="2:40" ht="14.5">
      <c r="B249" s="35" t="s">
        <v>250</v>
      </c>
      <c r="C249" s="31"/>
      <c r="D249" s="31"/>
      <c r="E249" s="36"/>
      <c r="F249" s="36"/>
      <c r="G249" s="37"/>
      <c r="H249" s="37"/>
      <c r="I249" s="36"/>
      <c r="J249" s="36"/>
      <c r="K249" s="36"/>
      <c r="L249" s="36">
        <f>L24</f>
        <v>-2620.02</v>
      </c>
      <c r="M249" s="36">
        <f t="shared" ref="M249:AA249" si="47">M24</f>
        <v>-4875</v>
      </c>
      <c r="N249" s="36">
        <f t="shared" si="47"/>
        <v>719.39400000000012</v>
      </c>
      <c r="O249" s="36">
        <f t="shared" si="47"/>
        <v>3462.42</v>
      </c>
      <c r="P249" s="36">
        <f t="shared" si="47"/>
        <v>2204.2800000000002</v>
      </c>
      <c r="Q249" s="36">
        <f t="shared" si="47"/>
        <v>-336.18</v>
      </c>
      <c r="R249" s="36">
        <f t="shared" si="47"/>
        <v>986.7</v>
      </c>
      <c r="S249" s="36">
        <f t="shared" si="47"/>
        <v>1191.8400000000001</v>
      </c>
      <c r="T249" s="36">
        <f t="shared" si="47"/>
        <v>3312.6600000000003</v>
      </c>
      <c r="U249" s="36">
        <f t="shared" si="47"/>
        <v>1928.94</v>
      </c>
      <c r="V249" s="36">
        <f t="shared" si="47"/>
        <v>1266.72</v>
      </c>
      <c r="W249" s="36">
        <f t="shared" si="47"/>
        <v>1342.38</v>
      </c>
      <c r="X249" s="36">
        <f t="shared" si="47"/>
        <v>1536.6000000000001</v>
      </c>
      <c r="Y249" s="36">
        <f t="shared" si="47"/>
        <v>5385.9000000000005</v>
      </c>
      <c r="Z249" s="36">
        <f t="shared" si="47"/>
        <v>2625.48</v>
      </c>
      <c r="AA249" s="36">
        <f t="shared" si="47"/>
        <v>4034.1600000000003</v>
      </c>
      <c r="AB249" s="36">
        <f t="shared" ref="AB249:AC249" si="48">AB24</f>
        <v>6807.06</v>
      </c>
      <c r="AC249" s="36">
        <f t="shared" si="48"/>
        <v>8187.66</v>
      </c>
      <c r="AD249" s="36">
        <f t="shared" ref="AD249:AG249" si="49">AD24</f>
        <v>-1435.0384203914705</v>
      </c>
      <c r="AE249" s="36">
        <f t="shared" si="49"/>
        <v>9066.8504860058529</v>
      </c>
      <c r="AF249" s="36">
        <f t="shared" si="49"/>
        <v>10845.757852912591</v>
      </c>
      <c r="AG249" s="36">
        <f t="shared" si="49"/>
        <v>12330.040775831143</v>
      </c>
      <c r="AH249" s="36">
        <f t="shared" ref="AH249:AI249" si="50">AH24</f>
        <v>12991.864383618065</v>
      </c>
      <c r="AI249" s="36">
        <f t="shared" si="50"/>
        <v>13468.561628637164</v>
      </c>
      <c r="AJ249" s="38"/>
      <c r="AK249" s="38"/>
      <c r="AL249" s="38"/>
      <c r="AM249" s="38"/>
      <c r="AN249" s="38"/>
    </row>
    <row r="250" spans="2:40" ht="14.5">
      <c r="B250" s="35" t="s">
        <v>390</v>
      </c>
      <c r="C250" s="31"/>
      <c r="D250" s="31"/>
      <c r="E250" s="36"/>
      <c r="F250" s="36"/>
      <c r="G250" s="37"/>
      <c r="H250" s="37"/>
      <c r="I250" s="36"/>
      <c r="J250" s="36"/>
      <c r="K250" s="36"/>
      <c r="L250" s="36">
        <f>'Income Statement'!C102</f>
        <v>150.34936000000002</v>
      </c>
      <c r="M250" s="36">
        <f>'Income Statement'!H102</f>
        <v>423</v>
      </c>
      <c r="N250" s="36">
        <f>'Income Statement'!M102</f>
        <v>558.28347508660363</v>
      </c>
      <c r="O250" s="36">
        <f>'Income Statement'!R102</f>
        <v>388.11634844778962</v>
      </c>
      <c r="P250" s="36">
        <f>'Income Statement'!W102</f>
        <v>356.37480798771122</v>
      </c>
      <c r="Q250" s="36">
        <f>'Income Statement'!AB102</f>
        <v>390.7826009693606</v>
      </c>
      <c r="R250" s="36">
        <f>'Income Statement'!AG102</f>
        <v>337.5454935152037</v>
      </c>
      <c r="S250" s="36">
        <f>'Income Statement'!AL102</f>
        <v>250.36768023607377</v>
      </c>
      <c r="T250" s="36">
        <f>'Income Statement'!AQ102</f>
        <v>225.35776383955485</v>
      </c>
      <c r="U250" s="36">
        <f>'Income Statement'!AV102</f>
        <v>141.97539121891955</v>
      </c>
      <c r="V250" s="36">
        <f>'Income Statement'!BA102</f>
        <v>113.58031297513566</v>
      </c>
      <c r="W250" s="36">
        <f>'Income Statement'!BF102</f>
        <v>97.679069158616656</v>
      </c>
      <c r="X250" s="36">
        <f>'Income Statement'!BK102</f>
        <v>91.818325009099652</v>
      </c>
      <c r="Y250" s="36">
        <f>'Income Statement'!BP102</f>
        <v>86.309225508553666</v>
      </c>
      <c r="Z250" s="36">
        <f>'Income Statement'!BU102</f>
        <v>81.130671978040439</v>
      </c>
      <c r="AA250" s="36">
        <f>'Income Statement'!BZ102</f>
        <v>76.262831659358014</v>
      </c>
      <c r="AB250" s="36">
        <f>'Income Statement'!CE102</f>
        <v>71.687061759796535</v>
      </c>
      <c r="AC250" s="36">
        <f>'Income Statement'!CJ102</f>
        <v>67.815960424767525</v>
      </c>
      <c r="AD250" s="36">
        <f>'Income Statement'!CO102</f>
        <v>64.520104748123828</v>
      </c>
      <c r="AE250" s="36">
        <f>'Income Statement'!CP102</f>
        <v>61.697995366440892</v>
      </c>
      <c r="AF250" s="36">
        <f>'Income Statement'!CQ102</f>
        <v>59.269192080845578</v>
      </c>
      <c r="AG250" s="36">
        <f>'Income Statement'!CR102</f>
        <v>57.169320166936465</v>
      </c>
      <c r="AH250" s="36">
        <f>'Income Statement'!CS102</f>
        <v>55.346392926206256</v>
      </c>
      <c r="AI250" s="36">
        <f>'Income Statement'!CT102</f>
        <v>53.758072436439072</v>
      </c>
      <c r="AJ250" s="38"/>
      <c r="AK250" s="38"/>
      <c r="AL250" s="38"/>
      <c r="AM250" s="38"/>
      <c r="AN250" s="38"/>
    </row>
    <row r="251" spans="2:40" ht="14.5">
      <c r="B251" s="35" t="s">
        <v>40</v>
      </c>
      <c r="C251" s="31"/>
      <c r="D251" s="31"/>
      <c r="E251" s="36"/>
      <c r="F251" s="36"/>
      <c r="G251" s="37"/>
      <c r="H251" s="37"/>
      <c r="I251" s="36"/>
      <c r="J251" s="36"/>
      <c r="K251" s="36"/>
      <c r="L251" s="36">
        <f>'Income Statement'!C136</f>
        <v>53273.05943379872</v>
      </c>
      <c r="M251" s="36">
        <f>'Income Statement'!H136</f>
        <v>48455.264955204686</v>
      </c>
      <c r="N251" s="36">
        <f>'Income Statement'!M136</f>
        <v>36000</v>
      </c>
      <c r="O251" s="36">
        <f>'Income Statement'!R136</f>
        <v>34000</v>
      </c>
      <c r="P251" s="36">
        <f>'Income Statement'!W136</f>
        <v>32000</v>
      </c>
      <c r="Q251" s="36">
        <f>'Income Statement'!AB136</f>
        <v>31000</v>
      </c>
      <c r="R251" s="36">
        <f>'Income Statement'!AG136</f>
        <v>27000</v>
      </c>
      <c r="S251" s="36">
        <f>'Income Statement'!AL136</f>
        <v>24000</v>
      </c>
      <c r="T251" s="36">
        <f>'Income Statement'!AQ136</f>
        <v>34000</v>
      </c>
      <c r="U251" s="36">
        <f>'Income Statement'!AV136</f>
        <v>35000</v>
      </c>
      <c r="V251" s="36">
        <f>'Income Statement'!BA136</f>
        <v>34000</v>
      </c>
      <c r="W251" s="36">
        <f>'Income Statement'!BF136</f>
        <v>31500</v>
      </c>
      <c r="X251" s="36">
        <f>'Income Statement'!BK136</f>
        <v>34500</v>
      </c>
      <c r="Y251" s="36">
        <f>'Income Statement'!BP136</f>
        <v>35750</v>
      </c>
      <c r="Z251" s="36">
        <f>'Income Statement'!BU136</f>
        <v>36500</v>
      </c>
      <c r="AA251" s="36">
        <f>'Income Statement'!BZ136</f>
        <v>38750</v>
      </c>
      <c r="AB251" s="36">
        <f>'Income Statement'!CE136</f>
        <v>41750</v>
      </c>
      <c r="AC251" s="36">
        <f>'Income Statement'!CJ136</f>
        <v>42500</v>
      </c>
      <c r="AD251" s="36">
        <f>'Income Statement'!CO136</f>
        <v>35590.859765589783</v>
      </c>
      <c r="AE251" s="36">
        <f>'Income Statement'!CP136</f>
        <v>39374.791688700709</v>
      </c>
      <c r="AF251" s="36">
        <f>'Income Statement'!CQ136</f>
        <v>40551.975897513599</v>
      </c>
      <c r="AG251" s="36">
        <f>'Income Statement'!CR136</f>
        <v>41761.340435812359</v>
      </c>
      <c r="AH251" s="36">
        <f>'Income Statement'!CS136</f>
        <v>43003.794818341128</v>
      </c>
      <c r="AI251" s="36">
        <f>'Income Statement'!CT136</f>
        <v>44280.274625380138</v>
      </c>
      <c r="AJ251" s="38"/>
      <c r="AK251" s="38"/>
      <c r="AL251" s="38"/>
      <c r="AM251" s="38"/>
      <c r="AN251" s="38"/>
    </row>
    <row r="252" spans="2:40" ht="14.5">
      <c r="B252" s="592" t="s">
        <v>824</v>
      </c>
      <c r="C252" s="31"/>
      <c r="D252" s="31"/>
      <c r="E252" s="36"/>
      <c r="F252" s="36"/>
      <c r="G252" s="37"/>
      <c r="H252" s="37"/>
      <c r="I252" s="36"/>
      <c r="J252" s="36"/>
      <c r="K252" s="36"/>
      <c r="L252" s="591">
        <f>'Income Statement'!C168</f>
        <v>0</v>
      </c>
      <c r="M252" s="591">
        <f>'Income Statement'!H168</f>
        <v>0</v>
      </c>
      <c r="N252" s="591">
        <f>'Income Statement'!M168</f>
        <v>0</v>
      </c>
      <c r="O252" s="591">
        <f>'Income Statement'!R168</f>
        <v>0</v>
      </c>
      <c r="P252" s="591">
        <f>'Income Statement'!W168</f>
        <v>0</v>
      </c>
      <c r="Q252" s="591">
        <f>'Income Statement'!AB168</f>
        <v>0</v>
      </c>
      <c r="R252" s="591">
        <f>'Income Statement'!AG168</f>
        <v>0</v>
      </c>
      <c r="S252" s="591">
        <f>'Income Statement'!AL168</f>
        <v>0</v>
      </c>
      <c r="T252" s="591">
        <f>'Income Statement'!AQ168</f>
        <v>0.69</v>
      </c>
      <c r="U252" s="591">
        <f>'Income Statement'!AV168</f>
        <v>1.3873724841466777</v>
      </c>
      <c r="V252" s="591">
        <f>'Income Statement'!BA168</f>
        <v>2.7186684073107052</v>
      </c>
      <c r="W252" s="591">
        <f>'Income Statement'!BF168</f>
        <v>3.5088932266428454</v>
      </c>
      <c r="X252" s="591">
        <f>'Income Statement'!BK168</f>
        <v>4.9599595213674563</v>
      </c>
      <c r="Y252" s="591">
        <f>'Income Statement'!BP168</f>
        <v>7.2025186133397092</v>
      </c>
      <c r="Z252" s="591">
        <f>'Income Statement'!BU168</f>
        <v>9.5417485486928708</v>
      </c>
      <c r="AA252" s="591">
        <f>'Income Statement'!BZ168</f>
        <v>11.616316449333828</v>
      </c>
      <c r="AB252" s="591">
        <f>'Income Statement'!CE168</f>
        <v>13.914059254274507</v>
      </c>
      <c r="AC252" s="591">
        <f>'Income Statement'!CJ168</f>
        <v>15.098612236557788</v>
      </c>
      <c r="AD252" s="591">
        <f>'Income Statement'!CO168</f>
        <v>16.293866705634038</v>
      </c>
      <c r="AE252" s="591">
        <f>'Income Statement'!CP168</f>
        <v>17.454753880162446</v>
      </c>
      <c r="AF252" s="591">
        <f>'Income Statement'!CQ168</f>
        <v>18.573990968085948</v>
      </c>
      <c r="AG252" s="591">
        <f>'Income Statement'!CR168</f>
        <v>19.645895489597311</v>
      </c>
      <c r="AH252" s="591">
        <f>'Income Statement'!CS168</f>
        <v>20.666283182073304</v>
      </c>
      <c r="AI252" s="591">
        <f>'Income Statement'!CT168</f>
        <v>21.632330207898093</v>
      </c>
      <c r="AJ252" s="38"/>
      <c r="AK252" s="38"/>
      <c r="AL252" s="38"/>
      <c r="AM252" s="38"/>
      <c r="AN252" s="38"/>
    </row>
    <row r="253" spans="2:40" ht="14.5">
      <c r="B253" s="35"/>
      <c r="C253" s="31"/>
      <c r="D253" s="31"/>
      <c r="E253" s="36"/>
      <c r="F253" s="36"/>
      <c r="G253" s="37"/>
      <c r="H253" s="37"/>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8"/>
      <c r="AK253" s="38"/>
      <c r="AL253" s="38"/>
      <c r="AM253" s="38"/>
      <c r="AN253" s="38"/>
    </row>
    <row r="254" spans="2:40">
      <c r="B254" s="608" t="s">
        <v>840</v>
      </c>
      <c r="C254" s="2">
        <f>C$2</f>
        <v>1998</v>
      </c>
      <c r="D254" s="2">
        <f t="shared" ref="D254:AN254" si="51">D$2</f>
        <v>1999</v>
      </c>
      <c r="E254" s="2">
        <f t="shared" si="51"/>
        <v>2000</v>
      </c>
      <c r="F254" s="2">
        <f t="shared" si="51"/>
        <v>2001</v>
      </c>
      <c r="G254" s="2">
        <f t="shared" si="51"/>
        <v>2002</v>
      </c>
      <c r="H254" s="2">
        <f t="shared" si="51"/>
        <v>2003</v>
      </c>
      <c r="I254" s="2">
        <f t="shared" si="51"/>
        <v>2004</v>
      </c>
      <c r="J254" s="2">
        <f t="shared" si="51"/>
        <v>2005</v>
      </c>
      <c r="K254" s="2">
        <f t="shared" si="51"/>
        <v>2006</v>
      </c>
      <c r="L254" s="2">
        <f t="shared" si="51"/>
        <v>2007</v>
      </c>
      <c r="M254" s="2">
        <f t="shared" si="51"/>
        <v>2008</v>
      </c>
      <c r="N254" s="2">
        <f t="shared" si="51"/>
        <v>2009</v>
      </c>
      <c r="O254" s="2">
        <f t="shared" si="51"/>
        <v>2010</v>
      </c>
      <c r="P254" s="2">
        <f t="shared" si="51"/>
        <v>2011</v>
      </c>
      <c r="Q254" s="2">
        <f t="shared" si="51"/>
        <v>2012</v>
      </c>
      <c r="R254" s="2">
        <f t="shared" si="51"/>
        <v>2013</v>
      </c>
      <c r="S254" s="2">
        <f t="shared" si="51"/>
        <v>2014</v>
      </c>
      <c r="T254" s="2">
        <f t="shared" si="51"/>
        <v>2015</v>
      </c>
      <c r="U254" s="2">
        <f t="shared" si="51"/>
        <v>2016</v>
      </c>
      <c r="V254" s="2">
        <f t="shared" si="51"/>
        <v>2017</v>
      </c>
      <c r="W254" s="2">
        <f t="shared" si="51"/>
        <v>2018</v>
      </c>
      <c r="X254" s="2">
        <f t="shared" si="51"/>
        <v>2019</v>
      </c>
      <c r="Y254" s="2">
        <f t="shared" si="51"/>
        <v>2020</v>
      </c>
      <c r="Z254" s="2">
        <f t="shared" si="51"/>
        <v>2021</v>
      </c>
      <c r="AA254" s="2">
        <f t="shared" si="51"/>
        <v>2022</v>
      </c>
      <c r="AB254" s="2">
        <f t="shared" si="51"/>
        <v>2023</v>
      </c>
      <c r="AC254" s="2">
        <f t="shared" si="51"/>
        <v>2024</v>
      </c>
      <c r="AD254" s="2">
        <f t="shared" si="51"/>
        <v>2025</v>
      </c>
      <c r="AE254" s="2">
        <f t="shared" si="51"/>
        <v>2026</v>
      </c>
      <c r="AF254" s="2">
        <f t="shared" si="51"/>
        <v>2027</v>
      </c>
      <c r="AG254" s="2">
        <f t="shared" si="51"/>
        <v>2028</v>
      </c>
      <c r="AH254" s="2">
        <f t="shared" si="51"/>
        <v>2029</v>
      </c>
      <c r="AI254" s="2">
        <f t="shared" si="51"/>
        <v>2030</v>
      </c>
      <c r="AJ254" s="2">
        <f t="shared" si="51"/>
        <v>2031</v>
      </c>
      <c r="AK254" s="2">
        <f t="shared" si="51"/>
        <v>2032</v>
      </c>
      <c r="AL254" s="2">
        <f t="shared" si="51"/>
        <v>2033</v>
      </c>
      <c r="AM254" s="2">
        <f t="shared" si="51"/>
        <v>2034</v>
      </c>
      <c r="AN254" s="2">
        <f t="shared" si="51"/>
        <v>2035</v>
      </c>
    </row>
    <row r="255" spans="2:40" ht="14.5">
      <c r="B255" s="609"/>
      <c r="C255" s="610"/>
      <c r="D255" s="610"/>
      <c r="E255" s="611"/>
      <c r="F255" s="611"/>
      <c r="G255" s="611"/>
      <c r="H255" s="611"/>
      <c r="I255" s="611"/>
      <c r="J255" s="611"/>
      <c r="K255" s="611"/>
      <c r="L255" s="611"/>
      <c r="M255" s="611"/>
      <c r="N255" s="611"/>
      <c r="O255" s="611"/>
      <c r="P255" s="611"/>
      <c r="Q255" s="611"/>
      <c r="R255" s="611"/>
      <c r="S255" s="611"/>
      <c r="T255" s="611"/>
      <c r="U255" s="611"/>
      <c r="V255" s="611"/>
      <c r="W255" s="611"/>
      <c r="X255" s="611"/>
      <c r="Y255" s="611"/>
      <c r="Z255" s="611"/>
      <c r="AA255" s="611"/>
      <c r="AB255" s="611"/>
      <c r="AC255" s="611"/>
      <c r="AD255" s="611"/>
      <c r="AE255" s="611"/>
      <c r="AF255" s="611"/>
      <c r="AG255" s="611"/>
      <c r="AH255" s="611"/>
      <c r="AI255" s="611"/>
      <c r="AJ255" s="612"/>
      <c r="AK255" s="612"/>
      <c r="AL255" s="612"/>
      <c r="AM255" s="612"/>
      <c r="AN255" s="612"/>
    </row>
    <row r="256" spans="2:40" ht="14.5">
      <c r="B256" s="592" t="s">
        <v>44</v>
      </c>
      <c r="C256" s="610"/>
      <c r="D256" s="610"/>
      <c r="E256" s="611"/>
      <c r="F256" s="611"/>
      <c r="G256" s="611"/>
      <c r="H256" s="611"/>
      <c r="I256" s="611"/>
      <c r="J256" s="611"/>
      <c r="K256" s="611"/>
      <c r="L256" s="611"/>
      <c r="M256" s="611"/>
      <c r="N256" s="611"/>
      <c r="O256" s="611"/>
      <c r="P256" s="611"/>
      <c r="Q256" s="611"/>
      <c r="R256" s="611"/>
      <c r="S256" s="611"/>
      <c r="T256" s="611"/>
      <c r="U256" s="611"/>
      <c r="V256" s="611"/>
      <c r="W256" s="611"/>
      <c r="X256" s="611"/>
      <c r="Y256" s="611"/>
      <c r="Z256" s="611"/>
      <c r="AA256" s="611"/>
      <c r="AB256" s="611"/>
      <c r="AC256" s="611"/>
      <c r="AD256" s="611"/>
      <c r="AE256" s="611"/>
      <c r="AF256" s="611"/>
      <c r="AG256" s="611"/>
      <c r="AH256" s="611"/>
      <c r="AI256" s="611"/>
      <c r="AJ256" s="612"/>
      <c r="AK256" s="612"/>
      <c r="AL256" s="612"/>
      <c r="AM256" s="612"/>
      <c r="AN256" s="612"/>
    </row>
    <row r="257" spans="2:40" ht="14.5">
      <c r="B257" s="592" t="s">
        <v>841</v>
      </c>
      <c r="C257" s="610"/>
      <c r="D257" s="610"/>
      <c r="E257" s="611"/>
      <c r="F257" s="611"/>
      <c r="G257" s="611"/>
      <c r="H257" s="611"/>
      <c r="I257" s="611"/>
      <c r="J257" s="611"/>
      <c r="K257" s="611"/>
      <c r="L257" s="611"/>
      <c r="M257" s="611"/>
      <c r="N257" s="611"/>
      <c r="O257" s="611"/>
      <c r="P257" s="611"/>
      <c r="Q257" s="611"/>
      <c r="R257" s="611"/>
      <c r="S257" s="611"/>
      <c r="T257" s="611"/>
      <c r="U257" s="611"/>
      <c r="V257" s="611"/>
      <c r="W257" s="611"/>
      <c r="X257" s="611"/>
      <c r="Y257" s="611"/>
      <c r="Z257" s="611">
        <f>'Income Statement'!BU180</f>
        <v>0</v>
      </c>
      <c r="AA257" s="611">
        <f>'Income Statement'!BZ180</f>
        <v>123</v>
      </c>
      <c r="AB257" s="611"/>
      <c r="AC257" s="611"/>
      <c r="AD257" s="611"/>
      <c r="AE257" s="611"/>
      <c r="AF257" s="611"/>
      <c r="AG257" s="611"/>
      <c r="AH257" s="611"/>
      <c r="AI257" s="611"/>
      <c r="AJ257" s="612"/>
      <c r="AK257" s="612"/>
      <c r="AL257" s="612"/>
      <c r="AM257" s="612"/>
      <c r="AN257" s="612"/>
    </row>
    <row r="258" spans="2:40" ht="14.5">
      <c r="B258" s="592" t="s">
        <v>388</v>
      </c>
      <c r="C258" s="610"/>
      <c r="D258" s="610"/>
      <c r="E258" s="611"/>
      <c r="F258" s="611"/>
      <c r="G258" s="611"/>
      <c r="H258" s="611"/>
      <c r="I258" s="611"/>
      <c r="J258" s="611"/>
      <c r="K258" s="611"/>
      <c r="L258" s="611"/>
      <c r="M258" s="611"/>
      <c r="N258" s="611"/>
      <c r="O258" s="611"/>
      <c r="P258" s="611"/>
      <c r="Q258" s="611"/>
      <c r="R258" s="611"/>
      <c r="S258" s="611"/>
      <c r="T258" s="611"/>
      <c r="U258" s="611"/>
      <c r="V258" s="611"/>
      <c r="W258" s="611"/>
      <c r="X258" s="611"/>
      <c r="Y258" s="611"/>
      <c r="Z258" s="611"/>
      <c r="AA258" s="611"/>
      <c r="AB258" s="611"/>
      <c r="AC258" s="611"/>
      <c r="AD258" s="611"/>
      <c r="AE258" s="611"/>
      <c r="AF258" s="611"/>
      <c r="AG258" s="611"/>
      <c r="AH258" s="611"/>
      <c r="AI258" s="611"/>
      <c r="AJ258" s="612"/>
      <c r="AK258" s="612"/>
      <c r="AL258" s="612"/>
      <c r="AM258" s="612"/>
      <c r="AN258" s="612"/>
    </row>
    <row r="259" spans="2:40" ht="14.5">
      <c r="B259" s="592" t="s">
        <v>40</v>
      </c>
      <c r="C259" s="610"/>
      <c r="D259" s="610"/>
      <c r="E259" s="611"/>
      <c r="F259" s="611"/>
      <c r="G259" s="611"/>
      <c r="H259" s="611"/>
      <c r="I259" s="611"/>
      <c r="J259" s="611"/>
      <c r="K259" s="611"/>
      <c r="L259" s="611"/>
      <c r="M259" s="611"/>
      <c r="N259" s="611"/>
      <c r="O259" s="611"/>
      <c r="P259" s="611"/>
      <c r="Q259" s="611"/>
      <c r="R259" s="611"/>
      <c r="S259" s="611"/>
      <c r="T259" s="611"/>
      <c r="U259" s="611"/>
      <c r="V259" s="611"/>
      <c r="W259" s="611"/>
      <c r="X259" s="611"/>
      <c r="Y259" s="611"/>
      <c r="Z259" s="611"/>
      <c r="AA259" s="611"/>
      <c r="AB259" s="611"/>
      <c r="AC259" s="611"/>
      <c r="AD259" s="611"/>
      <c r="AE259" s="611"/>
      <c r="AF259" s="611"/>
      <c r="AG259" s="611"/>
      <c r="AH259" s="611"/>
      <c r="AI259" s="611"/>
      <c r="AJ259" s="612"/>
      <c r="AK259" s="612"/>
      <c r="AL259" s="612"/>
      <c r="AM259" s="612"/>
      <c r="AN259" s="612"/>
    </row>
    <row r="260" spans="2:40" ht="14.5">
      <c r="B260" s="592" t="s">
        <v>259</v>
      </c>
      <c r="C260" s="610"/>
      <c r="D260" s="610"/>
      <c r="E260" s="610"/>
      <c r="F260" s="610"/>
      <c r="G260" s="610"/>
      <c r="H260" s="610"/>
      <c r="I260" s="610"/>
      <c r="J260" s="610"/>
      <c r="K260" s="610"/>
      <c r="L260" s="610"/>
      <c r="M260" s="610"/>
      <c r="N260" s="610"/>
      <c r="O260" s="610"/>
      <c r="P260" s="610"/>
      <c r="Q260" s="610"/>
      <c r="R260" s="610"/>
      <c r="S260" s="610"/>
      <c r="T260" s="611"/>
      <c r="U260" s="611"/>
      <c r="V260" s="611"/>
      <c r="W260" s="611"/>
      <c r="X260" s="611"/>
      <c r="Y260" s="611"/>
      <c r="Z260" s="611"/>
      <c r="AA260" s="611"/>
      <c r="AB260" s="611"/>
      <c r="AC260" s="611"/>
      <c r="AD260" s="611"/>
      <c r="AE260" s="611"/>
      <c r="AF260" s="611"/>
      <c r="AG260" s="611"/>
      <c r="AH260" s="611"/>
      <c r="AI260" s="611"/>
      <c r="AJ260" s="612"/>
      <c r="AK260" s="612"/>
      <c r="AL260" s="612"/>
      <c r="AM260" s="612"/>
      <c r="AN260" s="612"/>
    </row>
    <row r="261" spans="2:40" ht="14.5">
      <c r="B261" s="592" t="s">
        <v>389</v>
      </c>
      <c r="C261" s="610"/>
      <c r="D261" s="610"/>
      <c r="E261" s="613"/>
      <c r="F261" s="613"/>
      <c r="G261" s="613"/>
      <c r="H261" s="613"/>
      <c r="I261" s="613"/>
      <c r="J261" s="613"/>
      <c r="K261" s="613"/>
      <c r="L261" s="613"/>
      <c r="M261" s="613"/>
      <c r="N261" s="613"/>
      <c r="O261" s="613"/>
      <c r="P261" s="613"/>
      <c r="Q261" s="613"/>
      <c r="R261" s="613"/>
      <c r="S261" s="613"/>
      <c r="T261" s="613"/>
      <c r="U261" s="613"/>
      <c r="V261" s="613"/>
      <c r="W261" s="613"/>
      <c r="X261" s="613"/>
      <c r="Y261" s="613"/>
      <c r="Z261" s="613"/>
      <c r="AA261" s="613"/>
      <c r="AB261" s="613"/>
      <c r="AC261" s="613"/>
      <c r="AD261" s="613"/>
      <c r="AE261" s="613"/>
      <c r="AF261" s="613"/>
      <c r="AG261" s="613"/>
      <c r="AH261" s="613"/>
      <c r="AI261" s="613"/>
      <c r="AJ261" s="612"/>
      <c r="AK261" s="612"/>
      <c r="AL261" s="612"/>
      <c r="AM261" s="612"/>
      <c r="AN261" s="612"/>
    </row>
    <row r="262" spans="2:40" ht="14.5">
      <c r="B262" s="592" t="s">
        <v>2</v>
      </c>
      <c r="C262" s="610"/>
      <c r="D262" s="610"/>
      <c r="E262" s="611"/>
      <c r="F262" s="611"/>
      <c r="G262" s="611"/>
      <c r="H262" s="611"/>
      <c r="I262" s="611"/>
      <c r="J262" s="611"/>
      <c r="K262" s="611"/>
      <c r="L262" s="611"/>
      <c r="M262" s="611"/>
      <c r="N262" s="611"/>
      <c r="O262" s="611"/>
      <c r="P262" s="611"/>
      <c r="Q262" s="611"/>
      <c r="R262" s="611"/>
      <c r="S262" s="611"/>
      <c r="T262" s="611"/>
      <c r="U262" s="611"/>
      <c r="V262" s="611"/>
      <c r="W262" s="611"/>
      <c r="X262" s="611"/>
      <c r="Y262" s="611"/>
      <c r="Z262" s="611"/>
      <c r="AA262" s="611"/>
      <c r="AB262" s="611"/>
      <c r="AC262" s="611"/>
      <c r="AD262" s="611"/>
      <c r="AE262" s="611"/>
      <c r="AF262" s="611"/>
      <c r="AG262" s="611"/>
      <c r="AH262" s="611"/>
      <c r="AI262" s="611"/>
      <c r="AJ262" s="612"/>
      <c r="AK262" s="612"/>
      <c r="AL262" s="612"/>
      <c r="AM262" s="612"/>
      <c r="AN262" s="612"/>
    </row>
    <row r="263" spans="2:40" ht="14.5">
      <c r="B263" s="592" t="s">
        <v>842</v>
      </c>
      <c r="C263" s="614"/>
      <c r="D263" s="614"/>
      <c r="E263" s="614"/>
      <c r="F263" s="614"/>
      <c r="G263" s="614"/>
      <c r="H263" s="614"/>
      <c r="I263" s="614"/>
      <c r="J263" s="614"/>
      <c r="K263" s="614"/>
      <c r="L263" s="614"/>
      <c r="M263" s="614"/>
      <c r="N263" s="614"/>
      <c r="O263" s="614"/>
      <c r="P263" s="614"/>
      <c r="Q263" s="614"/>
      <c r="R263" s="614"/>
      <c r="S263" s="615"/>
      <c r="T263" s="615"/>
      <c r="U263" s="615"/>
      <c r="V263" s="615"/>
      <c r="W263" s="615"/>
      <c r="X263" s="615"/>
      <c r="Y263" s="615"/>
      <c r="Z263" s="615"/>
      <c r="AA263" s="615"/>
      <c r="AB263" s="615"/>
      <c r="AC263" s="615"/>
      <c r="AD263" s="615"/>
      <c r="AE263" s="615"/>
      <c r="AF263" s="615"/>
      <c r="AG263" s="615"/>
      <c r="AH263" s="615"/>
      <c r="AI263" s="615"/>
      <c r="AJ263" s="612"/>
      <c r="AK263" s="612"/>
      <c r="AL263" s="612"/>
      <c r="AM263" s="612"/>
      <c r="AN263" s="612"/>
    </row>
    <row r="264" spans="2:40">
      <c r="B264" s="592" t="s">
        <v>141</v>
      </c>
    </row>
    <row r="265" spans="2:40">
      <c r="B265" s="592" t="s">
        <v>250</v>
      </c>
    </row>
    <row r="266" spans="2:40">
      <c r="B266" s="592"/>
    </row>
    <row r="267" spans="2:40">
      <c r="B267" s="608" t="s">
        <v>843</v>
      </c>
      <c r="C267" s="2">
        <f>C$2</f>
        <v>1998</v>
      </c>
      <c r="D267" s="2">
        <f t="shared" ref="D267:AN267" si="52">D$2</f>
        <v>1999</v>
      </c>
      <c r="E267" s="2">
        <f t="shared" si="52"/>
        <v>2000</v>
      </c>
      <c r="F267" s="2">
        <f t="shared" si="52"/>
        <v>2001</v>
      </c>
      <c r="G267" s="2">
        <f t="shared" si="52"/>
        <v>2002</v>
      </c>
      <c r="H267" s="2">
        <f t="shared" si="52"/>
        <v>2003</v>
      </c>
      <c r="I267" s="2">
        <f t="shared" si="52"/>
        <v>2004</v>
      </c>
      <c r="J267" s="2">
        <f t="shared" si="52"/>
        <v>2005</v>
      </c>
      <c r="K267" s="2">
        <f t="shared" si="52"/>
        <v>2006</v>
      </c>
      <c r="L267" s="2">
        <f t="shared" si="52"/>
        <v>2007</v>
      </c>
      <c r="M267" s="2">
        <f t="shared" si="52"/>
        <v>2008</v>
      </c>
      <c r="N267" s="2">
        <f t="shared" si="52"/>
        <v>2009</v>
      </c>
      <c r="O267" s="2">
        <f t="shared" si="52"/>
        <v>2010</v>
      </c>
      <c r="P267" s="2">
        <f t="shared" si="52"/>
        <v>2011</v>
      </c>
      <c r="Q267" s="2">
        <f t="shared" si="52"/>
        <v>2012</v>
      </c>
      <c r="R267" s="2">
        <f t="shared" si="52"/>
        <v>2013</v>
      </c>
      <c r="S267" s="2">
        <f t="shared" si="52"/>
        <v>2014</v>
      </c>
      <c r="T267" s="2">
        <f t="shared" si="52"/>
        <v>2015</v>
      </c>
      <c r="U267" s="2">
        <f t="shared" si="52"/>
        <v>2016</v>
      </c>
      <c r="V267" s="2">
        <f t="shared" si="52"/>
        <v>2017</v>
      </c>
      <c r="W267" s="2">
        <f t="shared" si="52"/>
        <v>2018</v>
      </c>
      <c r="X267" s="2">
        <f t="shared" si="52"/>
        <v>2019</v>
      </c>
      <c r="Y267" s="2">
        <f t="shared" si="52"/>
        <v>2020</v>
      </c>
      <c r="Z267" s="2">
        <f t="shared" si="52"/>
        <v>2021</v>
      </c>
      <c r="AA267" s="2">
        <f t="shared" si="52"/>
        <v>2022</v>
      </c>
      <c r="AB267" s="2">
        <f t="shared" si="52"/>
        <v>2023</v>
      </c>
      <c r="AC267" s="2">
        <f t="shared" si="52"/>
        <v>2024</v>
      </c>
      <c r="AD267" s="2">
        <f t="shared" si="52"/>
        <v>2025</v>
      </c>
      <c r="AE267" s="2">
        <f t="shared" si="52"/>
        <v>2026</v>
      </c>
      <c r="AF267" s="2">
        <f t="shared" si="52"/>
        <v>2027</v>
      </c>
      <c r="AG267" s="2">
        <f t="shared" si="52"/>
        <v>2028</v>
      </c>
      <c r="AH267" s="2">
        <f t="shared" si="52"/>
        <v>2029</v>
      </c>
      <c r="AI267" s="2">
        <f t="shared" si="52"/>
        <v>2030</v>
      </c>
      <c r="AJ267" s="2">
        <f t="shared" si="52"/>
        <v>2031</v>
      </c>
      <c r="AK267" s="2">
        <f t="shared" si="52"/>
        <v>2032</v>
      </c>
      <c r="AL267" s="2">
        <f t="shared" si="52"/>
        <v>2033</v>
      </c>
      <c r="AM267" s="2">
        <f t="shared" si="52"/>
        <v>2034</v>
      </c>
      <c r="AN267" s="2">
        <f t="shared" si="52"/>
        <v>2035</v>
      </c>
    </row>
    <row r="268" spans="2:40">
      <c r="B268" s="592"/>
    </row>
    <row r="269" spans="2:40">
      <c r="B269" s="592" t="s">
        <v>844</v>
      </c>
      <c r="G269" s="610"/>
      <c r="H269" s="610"/>
      <c r="I269" s="610"/>
      <c r="J269" s="610"/>
      <c r="K269" s="610"/>
      <c r="L269" s="610"/>
      <c r="M269" s="610"/>
      <c r="N269" s="610"/>
      <c r="O269" s="610"/>
      <c r="P269" s="610"/>
      <c r="Q269" s="610"/>
      <c r="R269" s="610"/>
      <c r="S269" s="610"/>
      <c r="T269" s="610"/>
      <c r="U269" s="610"/>
      <c r="V269" s="610"/>
      <c r="W269" s="610"/>
      <c r="X269" s="610"/>
      <c r="Y269" s="610"/>
      <c r="Z269" s="610"/>
      <c r="AA269" s="610"/>
      <c r="AB269" s="610"/>
      <c r="AC269" s="610"/>
      <c r="AD269" s="610"/>
      <c r="AE269" s="610"/>
      <c r="AF269" s="610"/>
      <c r="AG269" s="610"/>
      <c r="AH269" s="610"/>
      <c r="AI269" s="610"/>
      <c r="AJ269" s="610"/>
      <c r="AK269" s="610"/>
      <c r="AL269" s="610"/>
      <c r="AM269" s="610"/>
      <c r="AN269" s="610"/>
    </row>
    <row r="270" spans="2:40">
      <c r="B270" s="616" t="s">
        <v>259</v>
      </c>
      <c r="G270" s="610"/>
      <c r="H270" s="610"/>
      <c r="I270" s="610"/>
      <c r="J270" s="610"/>
      <c r="K270" s="610"/>
      <c r="L270" s="610"/>
      <c r="M270" s="610"/>
      <c r="N270" s="610"/>
      <c r="O270" s="610"/>
      <c r="P270" s="610"/>
      <c r="Q270" s="610"/>
      <c r="R270" s="610"/>
      <c r="S270" s="610"/>
      <c r="T270" s="610"/>
      <c r="U270" s="610"/>
      <c r="V270" s="610"/>
      <c r="W270" s="610"/>
      <c r="X270" s="610"/>
      <c r="Y270" s="610"/>
      <c r="Z270" s="610"/>
      <c r="AA270" s="610"/>
      <c r="AB270" s="610"/>
      <c r="AC270" s="610"/>
      <c r="AD270" s="610"/>
      <c r="AE270" s="610"/>
      <c r="AF270" s="610"/>
      <c r="AG270" s="610"/>
      <c r="AH270" s="610"/>
      <c r="AI270" s="610"/>
      <c r="AJ270" s="610"/>
      <c r="AK270" s="610"/>
      <c r="AL270" s="610"/>
      <c r="AM270" s="610"/>
      <c r="AN270" s="610"/>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2"/>
  </sheetPr>
  <dimension ref="A1:EQ31"/>
  <sheetViews>
    <sheetView zoomScale="80" zoomScaleNormal="80" workbookViewId="0">
      <pane xSplit="1" ySplit="1" topLeftCell="CL2" activePane="bottomRight" state="frozen"/>
      <selection pane="topRight" activeCell="B1" sqref="B1"/>
      <selection pane="bottomLeft" activeCell="A2" sqref="A2"/>
      <selection pane="bottomRight" activeCell="DA11" sqref="DA11"/>
    </sheetView>
  </sheetViews>
  <sheetFormatPr defaultRowHeight="14.5" outlineLevelCol="1"/>
  <cols>
    <col min="1" max="1" width="16.81640625" style="39" customWidth="1"/>
    <col min="2" max="2" width="10.1796875" style="39" customWidth="1"/>
    <col min="3" max="6" width="10.1796875" style="39" customWidth="1" outlineLevel="1"/>
    <col min="7" max="7" width="10.1796875" style="39" customWidth="1"/>
    <col min="8" max="11" width="10.1796875" style="39" customWidth="1" outlineLevel="1"/>
    <col min="12" max="12" width="10.1796875" style="39" customWidth="1"/>
    <col min="13" max="16" width="10.1796875" style="39" customWidth="1" outlineLevel="1"/>
    <col min="17" max="17" width="10.1796875" style="39" customWidth="1"/>
    <col min="18" max="21" width="10.1796875" style="39" customWidth="1" outlineLevel="1"/>
    <col min="22" max="22" width="10.1796875" style="39" customWidth="1"/>
    <col min="23" max="26" width="10.1796875" style="39" customWidth="1" outlineLevel="1"/>
    <col min="27" max="27" width="10.1796875" style="39" customWidth="1"/>
    <col min="28" max="31" width="10.1796875" style="39" customWidth="1" outlineLevel="1"/>
    <col min="32" max="32" width="10.1796875" style="39" customWidth="1"/>
    <col min="33" max="36" width="10.1796875" style="39" customWidth="1" outlineLevel="1"/>
    <col min="37" max="37" width="10.1796875" style="39" customWidth="1"/>
    <col min="38" max="41" width="10.1796875" style="39" customWidth="1" outlineLevel="1"/>
    <col min="42" max="42" width="10.1796875" style="39" customWidth="1"/>
    <col min="43" max="46" width="10.1796875" style="39" customWidth="1" outlineLevel="1"/>
    <col min="47" max="47" width="10.1796875" style="39" customWidth="1"/>
    <col min="48" max="51" width="10.1796875" style="39" customWidth="1" outlineLevel="1"/>
    <col min="52" max="52" width="10.1796875" style="39" customWidth="1"/>
    <col min="53" max="56" width="10.1796875" style="39" customWidth="1" outlineLevel="1"/>
    <col min="57" max="57" width="10.1796875" style="39" customWidth="1"/>
    <col min="58" max="61" width="10.1796875" style="39" customWidth="1" outlineLevel="1"/>
    <col min="62" max="62" width="10.1796875" style="39" customWidth="1"/>
    <col min="63" max="66" width="10.1796875" style="39" customWidth="1" outlineLevel="1"/>
    <col min="67" max="67" width="10.1796875" style="39" customWidth="1"/>
    <col min="68" max="71" width="10.1796875" style="39" customWidth="1" outlineLevel="1"/>
    <col min="72" max="72" width="10.1796875" style="39" customWidth="1"/>
    <col min="73" max="76" width="10.1796875" style="39" customWidth="1" outlineLevel="1"/>
    <col min="77" max="77" width="10.1796875" style="39" customWidth="1"/>
    <col min="78" max="81" width="10.1796875" style="39" customWidth="1" outlineLevel="1"/>
    <col min="82" max="110" width="10.1796875" style="39" customWidth="1"/>
    <col min="111" max="286" width="9.08984375" style="39"/>
    <col min="287" max="287" width="11" style="39" customWidth="1"/>
    <col min="288" max="288" width="9.08984375" style="39"/>
    <col min="289" max="292" width="0" style="39" hidden="1" customWidth="1"/>
    <col min="293" max="293" width="9.08984375" style="39"/>
    <col min="294" max="297" width="0" style="39" hidden="1" customWidth="1"/>
    <col min="298" max="298" width="9.08984375" style="39"/>
    <col min="299" max="302" width="0" style="39" hidden="1" customWidth="1"/>
    <col min="303" max="303" width="9.36328125" style="39" customWidth="1"/>
    <col min="304" max="307" width="0" style="39" hidden="1" customWidth="1"/>
    <col min="308" max="308" width="9.08984375" style="39"/>
    <col min="309" max="312" width="0" style="39" hidden="1" customWidth="1"/>
    <col min="313" max="313" width="9.08984375" style="39"/>
    <col min="314" max="317" width="0" style="39" hidden="1" customWidth="1"/>
    <col min="318" max="318" width="9.08984375" style="39"/>
    <col min="319" max="322" width="0" style="39" hidden="1" customWidth="1"/>
    <col min="323" max="542" width="9.08984375" style="39"/>
    <col min="543" max="543" width="11" style="39" customWidth="1"/>
    <col min="544" max="544" width="9.08984375" style="39"/>
    <col min="545" max="548" width="0" style="39" hidden="1" customWidth="1"/>
    <col min="549" max="549" width="9.08984375" style="39"/>
    <col min="550" max="553" width="0" style="39" hidden="1" customWidth="1"/>
    <col min="554" max="554" width="9.08984375" style="39"/>
    <col min="555" max="558" width="0" style="39" hidden="1" customWidth="1"/>
    <col min="559" max="559" width="9.36328125" style="39" customWidth="1"/>
    <col min="560" max="563" width="0" style="39" hidden="1" customWidth="1"/>
    <col min="564" max="564" width="9.08984375" style="39"/>
    <col min="565" max="568" width="0" style="39" hidden="1" customWidth="1"/>
    <col min="569" max="569" width="9.08984375" style="39"/>
    <col min="570" max="573" width="0" style="39" hidden="1" customWidth="1"/>
    <col min="574" max="574" width="9.08984375" style="39"/>
    <col min="575" max="578" width="0" style="39" hidden="1" customWidth="1"/>
    <col min="579" max="798" width="9.08984375" style="39"/>
    <col min="799" max="799" width="11" style="39" customWidth="1"/>
    <col min="800" max="800" width="9.08984375" style="39"/>
    <col min="801" max="804" width="0" style="39" hidden="1" customWidth="1"/>
    <col min="805" max="805" width="9.08984375" style="39"/>
    <col min="806" max="809" width="0" style="39" hidden="1" customWidth="1"/>
    <col min="810" max="810" width="9.08984375" style="39"/>
    <col min="811" max="814" width="0" style="39" hidden="1" customWidth="1"/>
    <col min="815" max="815" width="9.36328125" style="39" customWidth="1"/>
    <col min="816" max="819" width="0" style="39" hidden="1" customWidth="1"/>
    <col min="820" max="820" width="9.08984375" style="39"/>
    <col min="821" max="824" width="0" style="39" hidden="1" customWidth="1"/>
    <col min="825" max="825" width="9.08984375" style="39"/>
    <col min="826" max="829" width="0" style="39" hidden="1" customWidth="1"/>
    <col min="830" max="830" width="9.08984375" style="39"/>
    <col min="831" max="834" width="0" style="39" hidden="1" customWidth="1"/>
    <col min="835" max="1054" width="9.08984375" style="39"/>
    <col min="1055" max="1055" width="11" style="39" customWidth="1"/>
    <col min="1056" max="1056" width="9.08984375" style="39"/>
    <col min="1057" max="1060" width="0" style="39" hidden="1" customWidth="1"/>
    <col min="1061" max="1061" width="9.08984375" style="39"/>
    <col min="1062" max="1065" width="0" style="39" hidden="1" customWidth="1"/>
    <col min="1066" max="1066" width="9.08984375" style="39"/>
    <col min="1067" max="1070" width="0" style="39" hidden="1" customWidth="1"/>
    <col min="1071" max="1071" width="9.36328125" style="39" customWidth="1"/>
    <col min="1072" max="1075" width="0" style="39" hidden="1" customWidth="1"/>
    <col min="1076" max="1076" width="9.08984375" style="39"/>
    <col min="1077" max="1080" width="0" style="39" hidden="1" customWidth="1"/>
    <col min="1081" max="1081" width="9.08984375" style="39"/>
    <col min="1082" max="1085" width="0" style="39" hidden="1" customWidth="1"/>
    <col min="1086" max="1086" width="9.08984375" style="39"/>
    <col min="1087" max="1090" width="0" style="39" hidden="1" customWidth="1"/>
    <col min="1091" max="1310" width="9.08984375" style="39"/>
    <col min="1311" max="1311" width="11" style="39" customWidth="1"/>
    <col min="1312" max="1312" width="9.08984375" style="39"/>
    <col min="1313" max="1316" width="0" style="39" hidden="1" customWidth="1"/>
    <col min="1317" max="1317" width="9.08984375" style="39"/>
    <col min="1318" max="1321" width="0" style="39" hidden="1" customWidth="1"/>
    <col min="1322" max="1322" width="9.08984375" style="39"/>
    <col min="1323" max="1326" width="0" style="39" hidden="1" customWidth="1"/>
    <col min="1327" max="1327" width="9.36328125" style="39" customWidth="1"/>
    <col min="1328" max="1331" width="0" style="39" hidden="1" customWidth="1"/>
    <col min="1332" max="1332" width="9.08984375" style="39"/>
    <col min="1333" max="1336" width="0" style="39" hidden="1" customWidth="1"/>
    <col min="1337" max="1337" width="9.08984375" style="39"/>
    <col min="1338" max="1341" width="0" style="39" hidden="1" customWidth="1"/>
    <col min="1342" max="1342" width="9.08984375" style="39"/>
    <col min="1343" max="1346" width="0" style="39" hidden="1" customWidth="1"/>
    <col min="1347" max="1566" width="9.08984375" style="39"/>
    <col min="1567" max="1567" width="11" style="39" customWidth="1"/>
    <col min="1568" max="1568" width="9.08984375" style="39"/>
    <col min="1569" max="1572" width="0" style="39" hidden="1" customWidth="1"/>
    <col min="1573" max="1573" width="9.08984375" style="39"/>
    <col min="1574" max="1577" width="0" style="39" hidden="1" customWidth="1"/>
    <col min="1578" max="1578" width="9.08984375" style="39"/>
    <col min="1579" max="1582" width="0" style="39" hidden="1" customWidth="1"/>
    <col min="1583" max="1583" width="9.36328125" style="39" customWidth="1"/>
    <col min="1584" max="1587" width="0" style="39" hidden="1" customWidth="1"/>
    <col min="1588" max="1588" width="9.08984375" style="39"/>
    <col min="1589" max="1592" width="0" style="39" hidden="1" customWidth="1"/>
    <col min="1593" max="1593" width="9.08984375" style="39"/>
    <col min="1594" max="1597" width="0" style="39" hidden="1" customWidth="1"/>
    <col min="1598" max="1598" width="9.08984375" style="39"/>
    <col min="1599" max="1602" width="0" style="39" hidden="1" customWidth="1"/>
    <col min="1603" max="1822" width="9.08984375" style="39"/>
    <col min="1823" max="1823" width="11" style="39" customWidth="1"/>
    <col min="1824" max="1824" width="9.08984375" style="39"/>
    <col min="1825" max="1828" width="0" style="39" hidden="1" customWidth="1"/>
    <col min="1829" max="1829" width="9.08984375" style="39"/>
    <col min="1830" max="1833" width="0" style="39" hidden="1" customWidth="1"/>
    <col min="1834" max="1834" width="9.08984375" style="39"/>
    <col min="1835" max="1838" width="0" style="39" hidden="1" customWidth="1"/>
    <col min="1839" max="1839" width="9.36328125" style="39" customWidth="1"/>
    <col min="1840" max="1843" width="0" style="39" hidden="1" customWidth="1"/>
    <col min="1844" max="1844" width="9.08984375" style="39"/>
    <col min="1845" max="1848" width="0" style="39" hidden="1" customWidth="1"/>
    <col min="1849" max="1849" width="9.08984375" style="39"/>
    <col min="1850" max="1853" width="0" style="39" hidden="1" customWidth="1"/>
    <col min="1854" max="1854" width="9.08984375" style="39"/>
    <col min="1855" max="1858" width="0" style="39" hidden="1" customWidth="1"/>
    <col min="1859" max="2078" width="9.08984375" style="39"/>
    <col min="2079" max="2079" width="11" style="39" customWidth="1"/>
    <col min="2080" max="2080" width="9.08984375" style="39"/>
    <col min="2081" max="2084" width="0" style="39" hidden="1" customWidth="1"/>
    <col min="2085" max="2085" width="9.08984375" style="39"/>
    <col min="2086" max="2089" width="0" style="39" hidden="1" customWidth="1"/>
    <col min="2090" max="2090" width="9.08984375" style="39"/>
    <col min="2091" max="2094" width="0" style="39" hidden="1" customWidth="1"/>
    <col min="2095" max="2095" width="9.36328125" style="39" customWidth="1"/>
    <col min="2096" max="2099" width="0" style="39" hidden="1" customWidth="1"/>
    <col min="2100" max="2100" width="9.08984375" style="39"/>
    <col min="2101" max="2104" width="0" style="39" hidden="1" customWidth="1"/>
    <col min="2105" max="2105" width="9.08984375" style="39"/>
    <col min="2106" max="2109" width="0" style="39" hidden="1" customWidth="1"/>
    <col min="2110" max="2110" width="9.08984375" style="39"/>
    <col min="2111" max="2114" width="0" style="39" hidden="1" customWidth="1"/>
    <col min="2115" max="2334" width="9.08984375" style="39"/>
    <col min="2335" max="2335" width="11" style="39" customWidth="1"/>
    <col min="2336" max="2336" width="9.08984375" style="39"/>
    <col min="2337" max="2340" width="0" style="39" hidden="1" customWidth="1"/>
    <col min="2341" max="2341" width="9.08984375" style="39"/>
    <col min="2342" max="2345" width="0" style="39" hidden="1" customWidth="1"/>
    <col min="2346" max="2346" width="9.08984375" style="39"/>
    <col min="2347" max="2350" width="0" style="39" hidden="1" customWidth="1"/>
    <col min="2351" max="2351" width="9.36328125" style="39" customWidth="1"/>
    <col min="2352" max="2355" width="0" style="39" hidden="1" customWidth="1"/>
    <col min="2356" max="2356" width="9.08984375" style="39"/>
    <col min="2357" max="2360" width="0" style="39" hidden="1" customWidth="1"/>
    <col min="2361" max="2361" width="9.08984375" style="39"/>
    <col min="2362" max="2365" width="0" style="39" hidden="1" customWidth="1"/>
    <col min="2366" max="2366" width="9.08984375" style="39"/>
    <col min="2367" max="2370" width="0" style="39" hidden="1" customWidth="1"/>
    <col min="2371" max="2590" width="9.08984375" style="39"/>
    <col min="2591" max="2591" width="11" style="39" customWidth="1"/>
    <col min="2592" max="2592" width="9.08984375" style="39"/>
    <col min="2593" max="2596" width="0" style="39" hidden="1" customWidth="1"/>
    <col min="2597" max="2597" width="9.08984375" style="39"/>
    <col min="2598" max="2601" width="0" style="39" hidden="1" customWidth="1"/>
    <col min="2602" max="2602" width="9.08984375" style="39"/>
    <col min="2603" max="2606" width="0" style="39" hidden="1" customWidth="1"/>
    <col min="2607" max="2607" width="9.36328125" style="39" customWidth="1"/>
    <col min="2608" max="2611" width="0" style="39" hidden="1" customWidth="1"/>
    <col min="2612" max="2612" width="9.08984375" style="39"/>
    <col min="2613" max="2616" width="0" style="39" hidden="1" customWidth="1"/>
    <col min="2617" max="2617" width="9.08984375" style="39"/>
    <col min="2618" max="2621" width="0" style="39" hidden="1" customWidth="1"/>
    <col min="2622" max="2622" width="9.08984375" style="39"/>
    <col min="2623" max="2626" width="0" style="39" hidden="1" customWidth="1"/>
    <col min="2627" max="2846" width="9.08984375" style="39"/>
    <col min="2847" max="2847" width="11" style="39" customWidth="1"/>
    <col min="2848" max="2848" width="9.08984375" style="39"/>
    <col min="2849" max="2852" width="0" style="39" hidden="1" customWidth="1"/>
    <col min="2853" max="2853" width="9.08984375" style="39"/>
    <col min="2854" max="2857" width="0" style="39" hidden="1" customWidth="1"/>
    <col min="2858" max="2858" width="9.08984375" style="39"/>
    <col min="2859" max="2862" width="0" style="39" hidden="1" customWidth="1"/>
    <col min="2863" max="2863" width="9.36328125" style="39" customWidth="1"/>
    <col min="2864" max="2867" width="0" style="39" hidden="1" customWidth="1"/>
    <col min="2868" max="2868" width="9.08984375" style="39"/>
    <col min="2869" max="2872" width="0" style="39" hidden="1" customWidth="1"/>
    <col min="2873" max="2873" width="9.08984375" style="39"/>
    <col min="2874" max="2877" width="0" style="39" hidden="1" customWidth="1"/>
    <col min="2878" max="2878" width="9.08984375" style="39"/>
    <col min="2879" max="2882" width="0" style="39" hidden="1" customWidth="1"/>
    <col min="2883" max="3102" width="9.08984375" style="39"/>
    <col min="3103" max="3103" width="11" style="39" customWidth="1"/>
    <col min="3104" max="3104" width="9.08984375" style="39"/>
    <col min="3105" max="3108" width="0" style="39" hidden="1" customWidth="1"/>
    <col min="3109" max="3109" width="9.08984375" style="39"/>
    <col min="3110" max="3113" width="0" style="39" hidden="1" customWidth="1"/>
    <col min="3114" max="3114" width="9.08984375" style="39"/>
    <col min="3115" max="3118" width="0" style="39" hidden="1" customWidth="1"/>
    <col min="3119" max="3119" width="9.36328125" style="39" customWidth="1"/>
    <col min="3120" max="3123" width="0" style="39" hidden="1" customWidth="1"/>
    <col min="3124" max="3124" width="9.08984375" style="39"/>
    <col min="3125" max="3128" width="0" style="39" hidden="1" customWidth="1"/>
    <col min="3129" max="3129" width="9.08984375" style="39"/>
    <col min="3130" max="3133" width="0" style="39" hidden="1" customWidth="1"/>
    <col min="3134" max="3134" width="9.08984375" style="39"/>
    <col min="3135" max="3138" width="0" style="39" hidden="1" customWidth="1"/>
    <col min="3139" max="3358" width="9.08984375" style="39"/>
    <col min="3359" max="3359" width="11" style="39" customWidth="1"/>
    <col min="3360" max="3360" width="9.08984375" style="39"/>
    <col min="3361" max="3364" width="0" style="39" hidden="1" customWidth="1"/>
    <col min="3365" max="3365" width="9.08984375" style="39"/>
    <col min="3366" max="3369" width="0" style="39" hidden="1" customWidth="1"/>
    <col min="3370" max="3370" width="9.08984375" style="39"/>
    <col min="3371" max="3374" width="0" style="39" hidden="1" customWidth="1"/>
    <col min="3375" max="3375" width="9.36328125" style="39" customWidth="1"/>
    <col min="3376" max="3379" width="0" style="39" hidden="1" customWidth="1"/>
    <col min="3380" max="3380" width="9.08984375" style="39"/>
    <col min="3381" max="3384" width="0" style="39" hidden="1" customWidth="1"/>
    <col min="3385" max="3385" width="9.08984375" style="39"/>
    <col min="3386" max="3389" width="0" style="39" hidden="1" customWidth="1"/>
    <col min="3390" max="3390" width="9.08984375" style="39"/>
    <col min="3391" max="3394" width="0" style="39" hidden="1" customWidth="1"/>
    <col min="3395" max="3614" width="9.08984375" style="39"/>
    <col min="3615" max="3615" width="11" style="39" customWidth="1"/>
    <col min="3616" max="3616" width="9.08984375" style="39"/>
    <col min="3617" max="3620" width="0" style="39" hidden="1" customWidth="1"/>
    <col min="3621" max="3621" width="9.08984375" style="39"/>
    <col min="3622" max="3625" width="0" style="39" hidden="1" customWidth="1"/>
    <col min="3626" max="3626" width="9.08984375" style="39"/>
    <col min="3627" max="3630" width="0" style="39" hidden="1" customWidth="1"/>
    <col min="3631" max="3631" width="9.36328125" style="39" customWidth="1"/>
    <col min="3632" max="3635" width="0" style="39" hidden="1" customWidth="1"/>
    <col min="3636" max="3636" width="9.08984375" style="39"/>
    <col min="3637" max="3640" width="0" style="39" hidden="1" customWidth="1"/>
    <col min="3641" max="3641" width="9.08984375" style="39"/>
    <col min="3642" max="3645" width="0" style="39" hidden="1" customWidth="1"/>
    <col min="3646" max="3646" width="9.08984375" style="39"/>
    <col min="3647" max="3650" width="0" style="39" hidden="1" customWidth="1"/>
    <col min="3651" max="3870" width="9.08984375" style="39"/>
    <col min="3871" max="3871" width="11" style="39" customWidth="1"/>
    <col min="3872" max="3872" width="9.08984375" style="39"/>
    <col min="3873" max="3876" width="0" style="39" hidden="1" customWidth="1"/>
    <col min="3877" max="3877" width="9.08984375" style="39"/>
    <col min="3878" max="3881" width="0" style="39" hidden="1" customWidth="1"/>
    <col min="3882" max="3882" width="9.08984375" style="39"/>
    <col min="3883" max="3886" width="0" style="39" hidden="1" customWidth="1"/>
    <col min="3887" max="3887" width="9.36328125" style="39" customWidth="1"/>
    <col min="3888" max="3891" width="0" style="39" hidden="1" customWidth="1"/>
    <col min="3892" max="3892" width="9.08984375" style="39"/>
    <col min="3893" max="3896" width="0" style="39" hidden="1" customWidth="1"/>
    <col min="3897" max="3897" width="9.08984375" style="39"/>
    <col min="3898" max="3901" width="0" style="39" hidden="1" customWidth="1"/>
    <col min="3902" max="3902" width="9.08984375" style="39"/>
    <col min="3903" max="3906" width="0" style="39" hidden="1" customWidth="1"/>
    <col min="3907" max="4126" width="9.08984375" style="39"/>
    <col min="4127" max="4127" width="11" style="39" customWidth="1"/>
    <col min="4128" max="4128" width="9.08984375" style="39"/>
    <col min="4129" max="4132" width="0" style="39" hidden="1" customWidth="1"/>
    <col min="4133" max="4133" width="9.08984375" style="39"/>
    <col min="4134" max="4137" width="0" style="39" hidden="1" customWidth="1"/>
    <col min="4138" max="4138" width="9.08984375" style="39"/>
    <col min="4139" max="4142" width="0" style="39" hidden="1" customWidth="1"/>
    <col min="4143" max="4143" width="9.36328125" style="39" customWidth="1"/>
    <col min="4144" max="4147" width="0" style="39" hidden="1" customWidth="1"/>
    <col min="4148" max="4148" width="9.08984375" style="39"/>
    <col min="4149" max="4152" width="0" style="39" hidden="1" customWidth="1"/>
    <col min="4153" max="4153" width="9.08984375" style="39"/>
    <col min="4154" max="4157" width="0" style="39" hidden="1" customWidth="1"/>
    <col min="4158" max="4158" width="9.08984375" style="39"/>
    <col min="4159" max="4162" width="0" style="39" hidden="1" customWidth="1"/>
    <col min="4163" max="4382" width="9.08984375" style="39"/>
    <col min="4383" max="4383" width="11" style="39" customWidth="1"/>
    <col min="4384" max="4384" width="9.08984375" style="39"/>
    <col min="4385" max="4388" width="0" style="39" hidden="1" customWidth="1"/>
    <col min="4389" max="4389" width="9.08984375" style="39"/>
    <col min="4390" max="4393" width="0" style="39" hidden="1" customWidth="1"/>
    <col min="4394" max="4394" width="9.08984375" style="39"/>
    <col min="4395" max="4398" width="0" style="39" hidden="1" customWidth="1"/>
    <col min="4399" max="4399" width="9.36328125" style="39" customWidth="1"/>
    <col min="4400" max="4403" width="0" style="39" hidden="1" customWidth="1"/>
    <col min="4404" max="4404" width="9.08984375" style="39"/>
    <col min="4405" max="4408" width="0" style="39" hidden="1" customWidth="1"/>
    <col min="4409" max="4409" width="9.08984375" style="39"/>
    <col min="4410" max="4413" width="0" style="39" hidden="1" customWidth="1"/>
    <col min="4414" max="4414" width="9.08984375" style="39"/>
    <col min="4415" max="4418" width="0" style="39" hidden="1" customWidth="1"/>
    <col min="4419" max="4638" width="9.08984375" style="39"/>
    <col min="4639" max="4639" width="11" style="39" customWidth="1"/>
    <col min="4640" max="4640" width="9.08984375" style="39"/>
    <col min="4641" max="4644" width="0" style="39" hidden="1" customWidth="1"/>
    <col min="4645" max="4645" width="9.08984375" style="39"/>
    <col min="4646" max="4649" width="0" style="39" hidden="1" customWidth="1"/>
    <col min="4650" max="4650" width="9.08984375" style="39"/>
    <col min="4651" max="4654" width="0" style="39" hidden="1" customWidth="1"/>
    <col min="4655" max="4655" width="9.36328125" style="39" customWidth="1"/>
    <col min="4656" max="4659" width="0" style="39" hidden="1" customWidth="1"/>
    <col min="4660" max="4660" width="9.08984375" style="39"/>
    <col min="4661" max="4664" width="0" style="39" hidden="1" customWidth="1"/>
    <col min="4665" max="4665" width="9.08984375" style="39"/>
    <col min="4666" max="4669" width="0" style="39" hidden="1" customWidth="1"/>
    <col min="4670" max="4670" width="9.08984375" style="39"/>
    <col min="4671" max="4674" width="0" style="39" hidden="1" customWidth="1"/>
    <col min="4675" max="4894" width="9.08984375" style="39"/>
    <col min="4895" max="4895" width="11" style="39" customWidth="1"/>
    <col min="4896" max="4896" width="9.08984375" style="39"/>
    <col min="4897" max="4900" width="0" style="39" hidden="1" customWidth="1"/>
    <col min="4901" max="4901" width="9.08984375" style="39"/>
    <col min="4902" max="4905" width="0" style="39" hidden="1" customWidth="1"/>
    <col min="4906" max="4906" width="9.08984375" style="39"/>
    <col min="4907" max="4910" width="0" style="39" hidden="1" customWidth="1"/>
    <col min="4911" max="4911" width="9.36328125" style="39" customWidth="1"/>
    <col min="4912" max="4915" width="0" style="39" hidden="1" customWidth="1"/>
    <col min="4916" max="4916" width="9.08984375" style="39"/>
    <col min="4917" max="4920" width="0" style="39" hidden="1" customWidth="1"/>
    <col min="4921" max="4921" width="9.08984375" style="39"/>
    <col min="4922" max="4925" width="0" style="39" hidden="1" customWidth="1"/>
    <col min="4926" max="4926" width="9.08984375" style="39"/>
    <col min="4927" max="4930" width="0" style="39" hidden="1" customWidth="1"/>
    <col min="4931" max="5150" width="9.08984375" style="39"/>
    <col min="5151" max="5151" width="11" style="39" customWidth="1"/>
    <col min="5152" max="5152" width="9.08984375" style="39"/>
    <col min="5153" max="5156" width="0" style="39" hidden="1" customWidth="1"/>
    <col min="5157" max="5157" width="9.08984375" style="39"/>
    <col min="5158" max="5161" width="0" style="39" hidden="1" customWidth="1"/>
    <col min="5162" max="5162" width="9.08984375" style="39"/>
    <col min="5163" max="5166" width="0" style="39" hidden="1" customWidth="1"/>
    <col min="5167" max="5167" width="9.36328125" style="39" customWidth="1"/>
    <col min="5168" max="5171" width="0" style="39" hidden="1" customWidth="1"/>
    <col min="5172" max="5172" width="9.08984375" style="39"/>
    <col min="5173" max="5176" width="0" style="39" hidden="1" customWidth="1"/>
    <col min="5177" max="5177" width="9.08984375" style="39"/>
    <col min="5178" max="5181" width="0" style="39" hidden="1" customWidth="1"/>
    <col min="5182" max="5182" width="9.08984375" style="39"/>
    <col min="5183" max="5186" width="0" style="39" hidden="1" customWidth="1"/>
    <col min="5187" max="5406" width="9.08984375" style="39"/>
    <col min="5407" max="5407" width="11" style="39" customWidth="1"/>
    <col min="5408" max="5408" width="9.08984375" style="39"/>
    <col min="5409" max="5412" width="0" style="39" hidden="1" customWidth="1"/>
    <col min="5413" max="5413" width="9.08984375" style="39"/>
    <col min="5414" max="5417" width="0" style="39" hidden="1" customWidth="1"/>
    <col min="5418" max="5418" width="9.08984375" style="39"/>
    <col min="5419" max="5422" width="0" style="39" hidden="1" customWidth="1"/>
    <col min="5423" max="5423" width="9.36328125" style="39" customWidth="1"/>
    <col min="5424" max="5427" width="0" style="39" hidden="1" customWidth="1"/>
    <col min="5428" max="5428" width="9.08984375" style="39"/>
    <col min="5429" max="5432" width="0" style="39" hidden="1" customWidth="1"/>
    <col min="5433" max="5433" width="9.08984375" style="39"/>
    <col min="5434" max="5437" width="0" style="39" hidden="1" customWidth="1"/>
    <col min="5438" max="5438" width="9.08984375" style="39"/>
    <col min="5439" max="5442" width="0" style="39" hidden="1" customWidth="1"/>
    <col min="5443" max="5662" width="9.08984375" style="39"/>
    <col min="5663" max="5663" width="11" style="39" customWidth="1"/>
    <col min="5664" max="5664" width="9.08984375" style="39"/>
    <col min="5665" max="5668" width="0" style="39" hidden="1" customWidth="1"/>
    <col min="5669" max="5669" width="9.08984375" style="39"/>
    <col min="5670" max="5673" width="0" style="39" hidden="1" customWidth="1"/>
    <col min="5674" max="5674" width="9.08984375" style="39"/>
    <col min="5675" max="5678" width="0" style="39" hidden="1" customWidth="1"/>
    <col min="5679" max="5679" width="9.36328125" style="39" customWidth="1"/>
    <col min="5680" max="5683" width="0" style="39" hidden="1" customWidth="1"/>
    <col min="5684" max="5684" width="9.08984375" style="39"/>
    <col min="5685" max="5688" width="0" style="39" hidden="1" customWidth="1"/>
    <col min="5689" max="5689" width="9.08984375" style="39"/>
    <col min="5690" max="5693" width="0" style="39" hidden="1" customWidth="1"/>
    <col min="5694" max="5694" width="9.08984375" style="39"/>
    <col min="5695" max="5698" width="0" style="39" hidden="1" customWidth="1"/>
    <col min="5699" max="5918" width="9.08984375" style="39"/>
    <col min="5919" max="5919" width="11" style="39" customWidth="1"/>
    <col min="5920" max="5920" width="9.08984375" style="39"/>
    <col min="5921" max="5924" width="0" style="39" hidden="1" customWidth="1"/>
    <col min="5925" max="5925" width="9.08984375" style="39"/>
    <col min="5926" max="5929" width="0" style="39" hidden="1" customWidth="1"/>
    <col min="5930" max="5930" width="9.08984375" style="39"/>
    <col min="5931" max="5934" width="0" style="39" hidden="1" customWidth="1"/>
    <col min="5935" max="5935" width="9.36328125" style="39" customWidth="1"/>
    <col min="5936" max="5939" width="0" style="39" hidden="1" customWidth="1"/>
    <col min="5940" max="5940" width="9.08984375" style="39"/>
    <col min="5941" max="5944" width="0" style="39" hidden="1" customWidth="1"/>
    <col min="5945" max="5945" width="9.08984375" style="39"/>
    <col min="5946" max="5949" width="0" style="39" hidden="1" customWidth="1"/>
    <col min="5950" max="5950" width="9.08984375" style="39"/>
    <col min="5951" max="5954" width="0" style="39" hidden="1" customWidth="1"/>
    <col min="5955" max="6174" width="9.08984375" style="39"/>
    <col min="6175" max="6175" width="11" style="39" customWidth="1"/>
    <col min="6176" max="6176" width="9.08984375" style="39"/>
    <col min="6177" max="6180" width="0" style="39" hidden="1" customWidth="1"/>
    <col min="6181" max="6181" width="9.08984375" style="39"/>
    <col min="6182" max="6185" width="0" style="39" hidden="1" customWidth="1"/>
    <col min="6186" max="6186" width="9.08984375" style="39"/>
    <col min="6187" max="6190" width="0" style="39" hidden="1" customWidth="1"/>
    <col min="6191" max="6191" width="9.36328125" style="39" customWidth="1"/>
    <col min="6192" max="6195" width="0" style="39" hidden="1" customWidth="1"/>
    <col min="6196" max="6196" width="9.08984375" style="39"/>
    <col min="6197" max="6200" width="0" style="39" hidden="1" customWidth="1"/>
    <col min="6201" max="6201" width="9.08984375" style="39"/>
    <col min="6202" max="6205" width="0" style="39" hidden="1" customWidth="1"/>
    <col min="6206" max="6206" width="9.08984375" style="39"/>
    <col min="6207" max="6210" width="0" style="39" hidden="1" customWidth="1"/>
    <col min="6211" max="6430" width="9.08984375" style="39"/>
    <col min="6431" max="6431" width="11" style="39" customWidth="1"/>
    <col min="6432" max="6432" width="9.08984375" style="39"/>
    <col min="6433" max="6436" width="0" style="39" hidden="1" customWidth="1"/>
    <col min="6437" max="6437" width="9.08984375" style="39"/>
    <col min="6438" max="6441" width="0" style="39" hidden="1" customWidth="1"/>
    <col min="6442" max="6442" width="9.08984375" style="39"/>
    <col min="6443" max="6446" width="0" style="39" hidden="1" customWidth="1"/>
    <col min="6447" max="6447" width="9.36328125" style="39" customWidth="1"/>
    <col min="6448" max="6451" width="0" style="39" hidden="1" customWidth="1"/>
    <col min="6452" max="6452" width="9.08984375" style="39"/>
    <col min="6453" max="6456" width="0" style="39" hidden="1" customWidth="1"/>
    <col min="6457" max="6457" width="9.08984375" style="39"/>
    <col min="6458" max="6461" width="0" style="39" hidden="1" customWidth="1"/>
    <col min="6462" max="6462" width="9.08984375" style="39"/>
    <col min="6463" max="6466" width="0" style="39" hidden="1" customWidth="1"/>
    <col min="6467" max="6686" width="9.08984375" style="39"/>
    <col min="6687" max="6687" width="11" style="39" customWidth="1"/>
    <col min="6688" max="6688" width="9.08984375" style="39"/>
    <col min="6689" max="6692" width="0" style="39" hidden="1" customWidth="1"/>
    <col min="6693" max="6693" width="9.08984375" style="39"/>
    <col min="6694" max="6697" width="0" style="39" hidden="1" customWidth="1"/>
    <col min="6698" max="6698" width="9.08984375" style="39"/>
    <col min="6699" max="6702" width="0" style="39" hidden="1" customWidth="1"/>
    <col min="6703" max="6703" width="9.36328125" style="39" customWidth="1"/>
    <col min="6704" max="6707" width="0" style="39" hidden="1" customWidth="1"/>
    <col min="6708" max="6708" width="9.08984375" style="39"/>
    <col min="6709" max="6712" width="0" style="39" hidden="1" customWidth="1"/>
    <col min="6713" max="6713" width="9.08984375" style="39"/>
    <col min="6714" max="6717" width="0" style="39" hidden="1" customWidth="1"/>
    <col min="6718" max="6718" width="9.08984375" style="39"/>
    <col min="6719" max="6722" width="0" style="39" hidden="1" customWidth="1"/>
    <col min="6723" max="6942" width="9.08984375" style="39"/>
    <col min="6943" max="6943" width="11" style="39" customWidth="1"/>
    <col min="6944" max="6944" width="9.08984375" style="39"/>
    <col min="6945" max="6948" width="0" style="39" hidden="1" customWidth="1"/>
    <col min="6949" max="6949" width="9.08984375" style="39"/>
    <col min="6950" max="6953" width="0" style="39" hidden="1" customWidth="1"/>
    <col min="6954" max="6954" width="9.08984375" style="39"/>
    <col min="6955" max="6958" width="0" style="39" hidden="1" customWidth="1"/>
    <col min="6959" max="6959" width="9.36328125" style="39" customWidth="1"/>
    <col min="6960" max="6963" width="0" style="39" hidden="1" customWidth="1"/>
    <col min="6964" max="6964" width="9.08984375" style="39"/>
    <col min="6965" max="6968" width="0" style="39" hidden="1" customWidth="1"/>
    <col min="6969" max="6969" width="9.08984375" style="39"/>
    <col min="6970" max="6973" width="0" style="39" hidden="1" customWidth="1"/>
    <col min="6974" max="6974" width="9.08984375" style="39"/>
    <col min="6975" max="6978" width="0" style="39" hidden="1" customWidth="1"/>
    <col min="6979" max="7198" width="9.08984375" style="39"/>
    <col min="7199" max="7199" width="11" style="39" customWidth="1"/>
    <col min="7200" max="7200" width="9.08984375" style="39"/>
    <col min="7201" max="7204" width="0" style="39" hidden="1" customWidth="1"/>
    <col min="7205" max="7205" width="9.08984375" style="39"/>
    <col min="7206" max="7209" width="0" style="39" hidden="1" customWidth="1"/>
    <col min="7210" max="7210" width="9.08984375" style="39"/>
    <col min="7211" max="7214" width="0" style="39" hidden="1" customWidth="1"/>
    <col min="7215" max="7215" width="9.36328125" style="39" customWidth="1"/>
    <col min="7216" max="7219" width="0" style="39" hidden="1" customWidth="1"/>
    <col min="7220" max="7220" width="9.08984375" style="39"/>
    <col min="7221" max="7224" width="0" style="39" hidden="1" customWidth="1"/>
    <col min="7225" max="7225" width="9.08984375" style="39"/>
    <col min="7226" max="7229" width="0" style="39" hidden="1" customWidth="1"/>
    <col min="7230" max="7230" width="9.08984375" style="39"/>
    <col min="7231" max="7234" width="0" style="39" hidden="1" customWidth="1"/>
    <col min="7235" max="7454" width="9.08984375" style="39"/>
    <col min="7455" max="7455" width="11" style="39" customWidth="1"/>
    <col min="7456" max="7456" width="9.08984375" style="39"/>
    <col min="7457" max="7460" width="0" style="39" hidden="1" customWidth="1"/>
    <col min="7461" max="7461" width="9.08984375" style="39"/>
    <col min="7462" max="7465" width="0" style="39" hidden="1" customWidth="1"/>
    <col min="7466" max="7466" width="9.08984375" style="39"/>
    <col min="7467" max="7470" width="0" style="39" hidden="1" customWidth="1"/>
    <col min="7471" max="7471" width="9.36328125" style="39" customWidth="1"/>
    <col min="7472" max="7475" width="0" style="39" hidden="1" customWidth="1"/>
    <col min="7476" max="7476" width="9.08984375" style="39"/>
    <col min="7477" max="7480" width="0" style="39" hidden="1" customWidth="1"/>
    <col min="7481" max="7481" width="9.08984375" style="39"/>
    <col min="7482" max="7485" width="0" style="39" hidden="1" customWidth="1"/>
    <col min="7486" max="7486" width="9.08984375" style="39"/>
    <col min="7487" max="7490" width="0" style="39" hidden="1" customWidth="1"/>
    <col min="7491" max="7710" width="9.08984375" style="39"/>
    <col min="7711" max="7711" width="11" style="39" customWidth="1"/>
    <col min="7712" max="7712" width="9.08984375" style="39"/>
    <col min="7713" max="7716" width="0" style="39" hidden="1" customWidth="1"/>
    <col min="7717" max="7717" width="9.08984375" style="39"/>
    <col min="7718" max="7721" width="0" style="39" hidden="1" customWidth="1"/>
    <col min="7722" max="7722" width="9.08984375" style="39"/>
    <col min="7723" max="7726" width="0" style="39" hidden="1" customWidth="1"/>
    <col min="7727" max="7727" width="9.36328125" style="39" customWidth="1"/>
    <col min="7728" max="7731" width="0" style="39" hidden="1" customWidth="1"/>
    <col min="7732" max="7732" width="9.08984375" style="39"/>
    <col min="7733" max="7736" width="0" style="39" hidden="1" customWidth="1"/>
    <col min="7737" max="7737" width="9.08984375" style="39"/>
    <col min="7738" max="7741" width="0" style="39" hidden="1" customWidth="1"/>
    <col min="7742" max="7742" width="9.08984375" style="39"/>
    <col min="7743" max="7746" width="0" style="39" hidden="1" customWidth="1"/>
    <col min="7747" max="7966" width="9.08984375" style="39"/>
    <col min="7967" max="7967" width="11" style="39" customWidth="1"/>
    <col min="7968" max="7968" width="9.08984375" style="39"/>
    <col min="7969" max="7972" width="0" style="39" hidden="1" customWidth="1"/>
    <col min="7973" max="7973" width="9.08984375" style="39"/>
    <col min="7974" max="7977" width="0" style="39" hidden="1" customWidth="1"/>
    <col min="7978" max="7978" width="9.08984375" style="39"/>
    <col min="7979" max="7982" width="0" style="39" hidden="1" customWidth="1"/>
    <col min="7983" max="7983" width="9.36328125" style="39" customWidth="1"/>
    <col min="7984" max="7987" width="0" style="39" hidden="1" customWidth="1"/>
    <col min="7988" max="7988" width="9.08984375" style="39"/>
    <col min="7989" max="7992" width="0" style="39" hidden="1" customWidth="1"/>
    <col min="7993" max="7993" width="9.08984375" style="39"/>
    <col min="7994" max="7997" width="0" style="39" hidden="1" customWidth="1"/>
    <col min="7998" max="7998" width="9.08984375" style="39"/>
    <col min="7999" max="8002" width="0" style="39" hidden="1" customWidth="1"/>
    <col min="8003" max="8222" width="9.08984375" style="39"/>
    <col min="8223" max="8223" width="11" style="39" customWidth="1"/>
    <col min="8224" max="8224" width="9.08984375" style="39"/>
    <col min="8225" max="8228" width="0" style="39" hidden="1" customWidth="1"/>
    <col min="8229" max="8229" width="9.08984375" style="39"/>
    <col min="8230" max="8233" width="0" style="39" hidden="1" customWidth="1"/>
    <col min="8234" max="8234" width="9.08984375" style="39"/>
    <col min="8235" max="8238" width="0" style="39" hidden="1" customWidth="1"/>
    <col min="8239" max="8239" width="9.36328125" style="39" customWidth="1"/>
    <col min="8240" max="8243" width="0" style="39" hidden="1" customWidth="1"/>
    <col min="8244" max="8244" width="9.08984375" style="39"/>
    <col min="8245" max="8248" width="0" style="39" hidden="1" customWidth="1"/>
    <col min="8249" max="8249" width="9.08984375" style="39"/>
    <col min="8250" max="8253" width="0" style="39" hidden="1" customWidth="1"/>
    <col min="8254" max="8254" width="9.08984375" style="39"/>
    <col min="8255" max="8258" width="0" style="39" hidden="1" customWidth="1"/>
    <col min="8259" max="8478" width="9.08984375" style="39"/>
    <col min="8479" max="8479" width="11" style="39" customWidth="1"/>
    <col min="8480" max="8480" width="9.08984375" style="39"/>
    <col min="8481" max="8484" width="0" style="39" hidden="1" customWidth="1"/>
    <col min="8485" max="8485" width="9.08984375" style="39"/>
    <col min="8486" max="8489" width="0" style="39" hidden="1" customWidth="1"/>
    <col min="8490" max="8490" width="9.08984375" style="39"/>
    <col min="8491" max="8494" width="0" style="39" hidden="1" customWidth="1"/>
    <col min="8495" max="8495" width="9.36328125" style="39" customWidth="1"/>
    <col min="8496" max="8499" width="0" style="39" hidden="1" customWidth="1"/>
    <col min="8500" max="8500" width="9.08984375" style="39"/>
    <col min="8501" max="8504" width="0" style="39" hidden="1" customWidth="1"/>
    <col min="8505" max="8505" width="9.08984375" style="39"/>
    <col min="8506" max="8509" width="0" style="39" hidden="1" customWidth="1"/>
    <col min="8510" max="8510" width="9.08984375" style="39"/>
    <col min="8511" max="8514" width="0" style="39" hidden="1" customWidth="1"/>
    <col min="8515" max="8734" width="9.08984375" style="39"/>
    <col min="8735" max="8735" width="11" style="39" customWidth="1"/>
    <col min="8736" max="8736" width="9.08984375" style="39"/>
    <col min="8737" max="8740" width="0" style="39" hidden="1" customWidth="1"/>
    <col min="8741" max="8741" width="9.08984375" style="39"/>
    <col min="8742" max="8745" width="0" style="39" hidden="1" customWidth="1"/>
    <col min="8746" max="8746" width="9.08984375" style="39"/>
    <col min="8747" max="8750" width="0" style="39" hidden="1" customWidth="1"/>
    <col min="8751" max="8751" width="9.36328125" style="39" customWidth="1"/>
    <col min="8752" max="8755" width="0" style="39" hidden="1" customWidth="1"/>
    <col min="8756" max="8756" width="9.08984375" style="39"/>
    <col min="8757" max="8760" width="0" style="39" hidden="1" customWidth="1"/>
    <col min="8761" max="8761" width="9.08984375" style="39"/>
    <col min="8762" max="8765" width="0" style="39" hidden="1" customWidth="1"/>
    <col min="8766" max="8766" width="9.08984375" style="39"/>
    <col min="8767" max="8770" width="0" style="39" hidden="1" customWidth="1"/>
    <col min="8771" max="8990" width="9.08984375" style="39"/>
    <col min="8991" max="8991" width="11" style="39" customWidth="1"/>
    <col min="8992" max="8992" width="9.08984375" style="39"/>
    <col min="8993" max="8996" width="0" style="39" hidden="1" customWidth="1"/>
    <col min="8997" max="8997" width="9.08984375" style="39"/>
    <col min="8998" max="9001" width="0" style="39" hidden="1" customWidth="1"/>
    <col min="9002" max="9002" width="9.08984375" style="39"/>
    <col min="9003" max="9006" width="0" style="39" hidden="1" customWidth="1"/>
    <col min="9007" max="9007" width="9.36328125" style="39" customWidth="1"/>
    <col min="9008" max="9011" width="0" style="39" hidden="1" customWidth="1"/>
    <col min="9012" max="9012" width="9.08984375" style="39"/>
    <col min="9013" max="9016" width="0" style="39" hidden="1" customWidth="1"/>
    <col min="9017" max="9017" width="9.08984375" style="39"/>
    <col min="9018" max="9021" width="0" style="39" hidden="1" customWidth="1"/>
    <col min="9022" max="9022" width="9.08984375" style="39"/>
    <col min="9023" max="9026" width="0" style="39" hidden="1" customWidth="1"/>
    <col min="9027" max="9246" width="9.08984375" style="39"/>
    <col min="9247" max="9247" width="11" style="39" customWidth="1"/>
    <col min="9248" max="9248" width="9.08984375" style="39"/>
    <col min="9249" max="9252" width="0" style="39" hidden="1" customWidth="1"/>
    <col min="9253" max="9253" width="9.08984375" style="39"/>
    <col min="9254" max="9257" width="0" style="39" hidden="1" customWidth="1"/>
    <col min="9258" max="9258" width="9.08984375" style="39"/>
    <col min="9259" max="9262" width="0" style="39" hidden="1" customWidth="1"/>
    <col min="9263" max="9263" width="9.36328125" style="39" customWidth="1"/>
    <col min="9264" max="9267" width="0" style="39" hidden="1" customWidth="1"/>
    <col min="9268" max="9268" width="9.08984375" style="39"/>
    <col min="9269" max="9272" width="0" style="39" hidden="1" customWidth="1"/>
    <col min="9273" max="9273" width="9.08984375" style="39"/>
    <col min="9274" max="9277" width="0" style="39" hidden="1" customWidth="1"/>
    <col min="9278" max="9278" width="9.08984375" style="39"/>
    <col min="9279" max="9282" width="0" style="39" hidden="1" customWidth="1"/>
    <col min="9283" max="9502" width="9.08984375" style="39"/>
    <col min="9503" max="9503" width="11" style="39" customWidth="1"/>
    <col min="9504" max="9504" width="9.08984375" style="39"/>
    <col min="9505" max="9508" width="0" style="39" hidden="1" customWidth="1"/>
    <col min="9509" max="9509" width="9.08984375" style="39"/>
    <col min="9510" max="9513" width="0" style="39" hidden="1" customWidth="1"/>
    <col min="9514" max="9514" width="9.08984375" style="39"/>
    <col min="9515" max="9518" width="0" style="39" hidden="1" customWidth="1"/>
    <col min="9519" max="9519" width="9.36328125" style="39" customWidth="1"/>
    <col min="9520" max="9523" width="0" style="39" hidden="1" customWidth="1"/>
    <col min="9524" max="9524" width="9.08984375" style="39"/>
    <col min="9525" max="9528" width="0" style="39" hidden="1" customWidth="1"/>
    <col min="9529" max="9529" width="9.08984375" style="39"/>
    <col min="9530" max="9533" width="0" style="39" hidden="1" customWidth="1"/>
    <col min="9534" max="9534" width="9.08984375" style="39"/>
    <col min="9535" max="9538" width="0" style="39" hidden="1" customWidth="1"/>
    <col min="9539" max="9758" width="9.08984375" style="39"/>
    <col min="9759" max="9759" width="11" style="39" customWidth="1"/>
    <col min="9760" max="9760" width="9.08984375" style="39"/>
    <col min="9761" max="9764" width="0" style="39" hidden="1" customWidth="1"/>
    <col min="9765" max="9765" width="9.08984375" style="39"/>
    <col min="9766" max="9769" width="0" style="39" hidden="1" customWidth="1"/>
    <col min="9770" max="9770" width="9.08984375" style="39"/>
    <col min="9771" max="9774" width="0" style="39" hidden="1" customWidth="1"/>
    <col min="9775" max="9775" width="9.36328125" style="39" customWidth="1"/>
    <col min="9776" max="9779" width="0" style="39" hidden="1" customWidth="1"/>
    <col min="9780" max="9780" width="9.08984375" style="39"/>
    <col min="9781" max="9784" width="0" style="39" hidden="1" customWidth="1"/>
    <col min="9785" max="9785" width="9.08984375" style="39"/>
    <col min="9786" max="9789" width="0" style="39" hidden="1" customWidth="1"/>
    <col min="9790" max="9790" width="9.08984375" style="39"/>
    <col min="9791" max="9794" width="0" style="39" hidden="1" customWidth="1"/>
    <col min="9795" max="10014" width="9.08984375" style="39"/>
    <col min="10015" max="10015" width="11" style="39" customWidth="1"/>
    <col min="10016" max="10016" width="9.08984375" style="39"/>
    <col min="10017" max="10020" width="0" style="39" hidden="1" customWidth="1"/>
    <col min="10021" max="10021" width="9.08984375" style="39"/>
    <col min="10022" max="10025" width="0" style="39" hidden="1" customWidth="1"/>
    <col min="10026" max="10026" width="9.08984375" style="39"/>
    <col min="10027" max="10030" width="0" style="39" hidden="1" customWidth="1"/>
    <col min="10031" max="10031" width="9.36328125" style="39" customWidth="1"/>
    <col min="10032" max="10035" width="0" style="39" hidden="1" customWidth="1"/>
    <col min="10036" max="10036" width="9.08984375" style="39"/>
    <col min="10037" max="10040" width="0" style="39" hidden="1" customWidth="1"/>
    <col min="10041" max="10041" width="9.08984375" style="39"/>
    <col min="10042" max="10045" width="0" style="39" hidden="1" customWidth="1"/>
    <col min="10046" max="10046" width="9.08984375" style="39"/>
    <col min="10047" max="10050" width="0" style="39" hidden="1" customWidth="1"/>
    <col min="10051" max="10270" width="9.08984375" style="39"/>
    <col min="10271" max="10271" width="11" style="39" customWidth="1"/>
    <col min="10272" max="10272" width="9.08984375" style="39"/>
    <col min="10273" max="10276" width="0" style="39" hidden="1" customWidth="1"/>
    <col min="10277" max="10277" width="9.08984375" style="39"/>
    <col min="10278" max="10281" width="0" style="39" hidden="1" customWidth="1"/>
    <col min="10282" max="10282" width="9.08984375" style="39"/>
    <col min="10283" max="10286" width="0" style="39" hidden="1" customWidth="1"/>
    <col min="10287" max="10287" width="9.36328125" style="39" customWidth="1"/>
    <col min="10288" max="10291" width="0" style="39" hidden="1" customWidth="1"/>
    <col min="10292" max="10292" width="9.08984375" style="39"/>
    <col min="10293" max="10296" width="0" style="39" hidden="1" customWidth="1"/>
    <col min="10297" max="10297" width="9.08984375" style="39"/>
    <col min="10298" max="10301" width="0" style="39" hidden="1" customWidth="1"/>
    <col min="10302" max="10302" width="9.08984375" style="39"/>
    <col min="10303" max="10306" width="0" style="39" hidden="1" customWidth="1"/>
    <col min="10307" max="10526" width="9.08984375" style="39"/>
    <col min="10527" max="10527" width="11" style="39" customWidth="1"/>
    <col min="10528" max="10528" width="9.08984375" style="39"/>
    <col min="10529" max="10532" width="0" style="39" hidden="1" customWidth="1"/>
    <col min="10533" max="10533" width="9.08984375" style="39"/>
    <col min="10534" max="10537" width="0" style="39" hidden="1" customWidth="1"/>
    <col min="10538" max="10538" width="9.08984375" style="39"/>
    <col min="10539" max="10542" width="0" style="39" hidden="1" customWidth="1"/>
    <col min="10543" max="10543" width="9.36328125" style="39" customWidth="1"/>
    <col min="10544" max="10547" width="0" style="39" hidden="1" customWidth="1"/>
    <col min="10548" max="10548" width="9.08984375" style="39"/>
    <col min="10549" max="10552" width="0" style="39" hidden="1" customWidth="1"/>
    <col min="10553" max="10553" width="9.08984375" style="39"/>
    <col min="10554" max="10557" width="0" style="39" hidden="1" customWidth="1"/>
    <col min="10558" max="10558" width="9.08984375" style="39"/>
    <col min="10559" max="10562" width="0" style="39" hidden="1" customWidth="1"/>
    <col min="10563" max="10782" width="9.08984375" style="39"/>
    <col min="10783" max="10783" width="11" style="39" customWidth="1"/>
    <col min="10784" max="10784" width="9.08984375" style="39"/>
    <col min="10785" max="10788" width="0" style="39" hidden="1" customWidth="1"/>
    <col min="10789" max="10789" width="9.08984375" style="39"/>
    <col min="10790" max="10793" width="0" style="39" hidden="1" customWidth="1"/>
    <col min="10794" max="10794" width="9.08984375" style="39"/>
    <col min="10795" max="10798" width="0" style="39" hidden="1" customWidth="1"/>
    <col min="10799" max="10799" width="9.36328125" style="39" customWidth="1"/>
    <col min="10800" max="10803" width="0" style="39" hidden="1" customWidth="1"/>
    <col min="10804" max="10804" width="9.08984375" style="39"/>
    <col min="10805" max="10808" width="0" style="39" hidden="1" customWidth="1"/>
    <col min="10809" max="10809" width="9.08984375" style="39"/>
    <col min="10810" max="10813" width="0" style="39" hidden="1" customWidth="1"/>
    <col min="10814" max="10814" width="9.08984375" style="39"/>
    <col min="10815" max="10818" width="0" style="39" hidden="1" customWidth="1"/>
    <col min="10819" max="11038" width="9.08984375" style="39"/>
    <col min="11039" max="11039" width="11" style="39" customWidth="1"/>
    <col min="11040" max="11040" width="9.08984375" style="39"/>
    <col min="11041" max="11044" width="0" style="39" hidden="1" customWidth="1"/>
    <col min="11045" max="11045" width="9.08984375" style="39"/>
    <col min="11046" max="11049" width="0" style="39" hidden="1" customWidth="1"/>
    <col min="11050" max="11050" width="9.08984375" style="39"/>
    <col min="11051" max="11054" width="0" style="39" hidden="1" customWidth="1"/>
    <col min="11055" max="11055" width="9.36328125" style="39" customWidth="1"/>
    <col min="11056" max="11059" width="0" style="39" hidden="1" customWidth="1"/>
    <col min="11060" max="11060" width="9.08984375" style="39"/>
    <col min="11061" max="11064" width="0" style="39" hidden="1" customWidth="1"/>
    <col min="11065" max="11065" width="9.08984375" style="39"/>
    <col min="11066" max="11069" width="0" style="39" hidden="1" customWidth="1"/>
    <col min="11070" max="11070" width="9.08984375" style="39"/>
    <col min="11071" max="11074" width="0" style="39" hidden="1" customWidth="1"/>
    <col min="11075" max="11294" width="9.08984375" style="39"/>
    <col min="11295" max="11295" width="11" style="39" customWidth="1"/>
    <col min="11296" max="11296" width="9.08984375" style="39"/>
    <col min="11297" max="11300" width="0" style="39" hidden="1" customWidth="1"/>
    <col min="11301" max="11301" width="9.08984375" style="39"/>
    <col min="11302" max="11305" width="0" style="39" hidden="1" customWidth="1"/>
    <col min="11306" max="11306" width="9.08984375" style="39"/>
    <col min="11307" max="11310" width="0" style="39" hidden="1" customWidth="1"/>
    <col min="11311" max="11311" width="9.36328125" style="39" customWidth="1"/>
    <col min="11312" max="11315" width="0" style="39" hidden="1" customWidth="1"/>
    <col min="11316" max="11316" width="9.08984375" style="39"/>
    <col min="11317" max="11320" width="0" style="39" hidden="1" customWidth="1"/>
    <col min="11321" max="11321" width="9.08984375" style="39"/>
    <col min="11322" max="11325" width="0" style="39" hidden="1" customWidth="1"/>
    <col min="11326" max="11326" width="9.08984375" style="39"/>
    <col min="11327" max="11330" width="0" style="39" hidden="1" customWidth="1"/>
    <col min="11331" max="11550" width="9.08984375" style="39"/>
    <col min="11551" max="11551" width="11" style="39" customWidth="1"/>
    <col min="11552" max="11552" width="9.08984375" style="39"/>
    <col min="11553" max="11556" width="0" style="39" hidden="1" customWidth="1"/>
    <col min="11557" max="11557" width="9.08984375" style="39"/>
    <col min="11558" max="11561" width="0" style="39" hidden="1" customWidth="1"/>
    <col min="11562" max="11562" width="9.08984375" style="39"/>
    <col min="11563" max="11566" width="0" style="39" hidden="1" customWidth="1"/>
    <col min="11567" max="11567" width="9.36328125" style="39" customWidth="1"/>
    <col min="11568" max="11571" width="0" style="39" hidden="1" customWidth="1"/>
    <col min="11572" max="11572" width="9.08984375" style="39"/>
    <col min="11573" max="11576" width="0" style="39" hidden="1" customWidth="1"/>
    <col min="11577" max="11577" width="9.08984375" style="39"/>
    <col min="11578" max="11581" width="0" style="39" hidden="1" customWidth="1"/>
    <col min="11582" max="11582" width="9.08984375" style="39"/>
    <col min="11583" max="11586" width="0" style="39" hidden="1" customWidth="1"/>
    <col min="11587" max="11806" width="9.08984375" style="39"/>
    <col min="11807" max="11807" width="11" style="39" customWidth="1"/>
    <col min="11808" max="11808" width="9.08984375" style="39"/>
    <col min="11809" max="11812" width="0" style="39" hidden="1" customWidth="1"/>
    <col min="11813" max="11813" width="9.08984375" style="39"/>
    <col min="11814" max="11817" width="0" style="39" hidden="1" customWidth="1"/>
    <col min="11818" max="11818" width="9.08984375" style="39"/>
    <col min="11819" max="11822" width="0" style="39" hidden="1" customWidth="1"/>
    <col min="11823" max="11823" width="9.36328125" style="39" customWidth="1"/>
    <col min="11824" max="11827" width="0" style="39" hidden="1" customWidth="1"/>
    <col min="11828" max="11828" width="9.08984375" style="39"/>
    <col min="11829" max="11832" width="0" style="39" hidden="1" customWidth="1"/>
    <col min="11833" max="11833" width="9.08984375" style="39"/>
    <col min="11834" max="11837" width="0" style="39" hidden="1" customWidth="1"/>
    <col min="11838" max="11838" width="9.08984375" style="39"/>
    <col min="11839" max="11842" width="0" style="39" hidden="1" customWidth="1"/>
    <col min="11843" max="12062" width="9.08984375" style="39"/>
    <col min="12063" max="12063" width="11" style="39" customWidth="1"/>
    <col min="12064" max="12064" width="9.08984375" style="39"/>
    <col min="12065" max="12068" width="0" style="39" hidden="1" customWidth="1"/>
    <col min="12069" max="12069" width="9.08984375" style="39"/>
    <col min="12070" max="12073" width="0" style="39" hidden="1" customWidth="1"/>
    <col min="12074" max="12074" width="9.08984375" style="39"/>
    <col min="12075" max="12078" width="0" style="39" hidden="1" customWidth="1"/>
    <col min="12079" max="12079" width="9.36328125" style="39" customWidth="1"/>
    <col min="12080" max="12083" width="0" style="39" hidden="1" customWidth="1"/>
    <col min="12084" max="12084" width="9.08984375" style="39"/>
    <col min="12085" max="12088" width="0" style="39" hidden="1" customWidth="1"/>
    <col min="12089" max="12089" width="9.08984375" style="39"/>
    <col min="12090" max="12093" width="0" style="39" hidden="1" customWidth="1"/>
    <col min="12094" max="12094" width="9.08984375" style="39"/>
    <col min="12095" max="12098" width="0" style="39" hidden="1" customWidth="1"/>
    <col min="12099" max="12318" width="9.08984375" style="39"/>
    <col min="12319" max="12319" width="11" style="39" customWidth="1"/>
    <col min="12320" max="12320" width="9.08984375" style="39"/>
    <col min="12321" max="12324" width="0" style="39" hidden="1" customWidth="1"/>
    <col min="12325" max="12325" width="9.08984375" style="39"/>
    <col min="12326" max="12329" width="0" style="39" hidden="1" customWidth="1"/>
    <col min="12330" max="12330" width="9.08984375" style="39"/>
    <col min="12331" max="12334" width="0" style="39" hidden="1" customWidth="1"/>
    <col min="12335" max="12335" width="9.36328125" style="39" customWidth="1"/>
    <col min="12336" max="12339" width="0" style="39" hidden="1" customWidth="1"/>
    <col min="12340" max="12340" width="9.08984375" style="39"/>
    <col min="12341" max="12344" width="0" style="39" hidden="1" customWidth="1"/>
    <col min="12345" max="12345" width="9.08984375" style="39"/>
    <col min="12346" max="12349" width="0" style="39" hidden="1" customWidth="1"/>
    <col min="12350" max="12350" width="9.08984375" style="39"/>
    <col min="12351" max="12354" width="0" style="39" hidden="1" customWidth="1"/>
    <col min="12355" max="12574" width="9.08984375" style="39"/>
    <col min="12575" max="12575" width="11" style="39" customWidth="1"/>
    <col min="12576" max="12576" width="9.08984375" style="39"/>
    <col min="12577" max="12580" width="0" style="39" hidden="1" customWidth="1"/>
    <col min="12581" max="12581" width="9.08984375" style="39"/>
    <col min="12582" max="12585" width="0" style="39" hidden="1" customWidth="1"/>
    <col min="12586" max="12586" width="9.08984375" style="39"/>
    <col min="12587" max="12590" width="0" style="39" hidden="1" customWidth="1"/>
    <col min="12591" max="12591" width="9.36328125" style="39" customWidth="1"/>
    <col min="12592" max="12595" width="0" style="39" hidden="1" customWidth="1"/>
    <col min="12596" max="12596" width="9.08984375" style="39"/>
    <col min="12597" max="12600" width="0" style="39" hidden="1" customWidth="1"/>
    <col min="12601" max="12601" width="9.08984375" style="39"/>
    <col min="12602" max="12605" width="0" style="39" hidden="1" customWidth="1"/>
    <col min="12606" max="12606" width="9.08984375" style="39"/>
    <col min="12607" max="12610" width="0" style="39" hidden="1" customWidth="1"/>
    <col min="12611" max="12830" width="9.08984375" style="39"/>
    <col min="12831" max="12831" width="11" style="39" customWidth="1"/>
    <col min="12832" max="12832" width="9.08984375" style="39"/>
    <col min="12833" max="12836" width="0" style="39" hidden="1" customWidth="1"/>
    <col min="12837" max="12837" width="9.08984375" style="39"/>
    <col min="12838" max="12841" width="0" style="39" hidden="1" customWidth="1"/>
    <col min="12842" max="12842" width="9.08984375" style="39"/>
    <col min="12843" max="12846" width="0" style="39" hidden="1" customWidth="1"/>
    <col min="12847" max="12847" width="9.36328125" style="39" customWidth="1"/>
    <col min="12848" max="12851" width="0" style="39" hidden="1" customWidth="1"/>
    <col min="12852" max="12852" width="9.08984375" style="39"/>
    <col min="12853" max="12856" width="0" style="39" hidden="1" customWidth="1"/>
    <col min="12857" max="12857" width="9.08984375" style="39"/>
    <col min="12858" max="12861" width="0" style="39" hidden="1" customWidth="1"/>
    <col min="12862" max="12862" width="9.08984375" style="39"/>
    <col min="12863" max="12866" width="0" style="39" hidden="1" customWidth="1"/>
    <col min="12867" max="13086" width="9.08984375" style="39"/>
    <col min="13087" max="13087" width="11" style="39" customWidth="1"/>
    <col min="13088" max="13088" width="9.08984375" style="39"/>
    <col min="13089" max="13092" width="0" style="39" hidden="1" customWidth="1"/>
    <col min="13093" max="13093" width="9.08984375" style="39"/>
    <col min="13094" max="13097" width="0" style="39" hidden="1" customWidth="1"/>
    <col min="13098" max="13098" width="9.08984375" style="39"/>
    <col min="13099" max="13102" width="0" style="39" hidden="1" customWidth="1"/>
    <col min="13103" max="13103" width="9.36328125" style="39" customWidth="1"/>
    <col min="13104" max="13107" width="0" style="39" hidden="1" customWidth="1"/>
    <col min="13108" max="13108" width="9.08984375" style="39"/>
    <col min="13109" max="13112" width="0" style="39" hidden="1" customWidth="1"/>
    <col min="13113" max="13113" width="9.08984375" style="39"/>
    <col min="13114" max="13117" width="0" style="39" hidden="1" customWidth="1"/>
    <col min="13118" max="13118" width="9.08984375" style="39"/>
    <col min="13119" max="13122" width="0" style="39" hidden="1" customWidth="1"/>
    <col min="13123" max="13342" width="9.08984375" style="39"/>
    <col min="13343" max="13343" width="11" style="39" customWidth="1"/>
    <col min="13344" max="13344" width="9.08984375" style="39"/>
    <col min="13345" max="13348" width="0" style="39" hidden="1" customWidth="1"/>
    <col min="13349" max="13349" width="9.08984375" style="39"/>
    <col min="13350" max="13353" width="0" style="39" hidden="1" customWidth="1"/>
    <col min="13354" max="13354" width="9.08984375" style="39"/>
    <col min="13355" max="13358" width="0" style="39" hidden="1" customWidth="1"/>
    <col min="13359" max="13359" width="9.36328125" style="39" customWidth="1"/>
    <col min="13360" max="13363" width="0" style="39" hidden="1" customWidth="1"/>
    <col min="13364" max="13364" width="9.08984375" style="39"/>
    <col min="13365" max="13368" width="0" style="39" hidden="1" customWidth="1"/>
    <col min="13369" max="13369" width="9.08984375" style="39"/>
    <col min="13370" max="13373" width="0" style="39" hidden="1" customWidth="1"/>
    <col min="13374" max="13374" width="9.08984375" style="39"/>
    <col min="13375" max="13378" width="0" style="39" hidden="1" customWidth="1"/>
    <col min="13379" max="13598" width="9.08984375" style="39"/>
    <col min="13599" max="13599" width="11" style="39" customWidth="1"/>
    <col min="13600" max="13600" width="9.08984375" style="39"/>
    <col min="13601" max="13604" width="0" style="39" hidden="1" customWidth="1"/>
    <col min="13605" max="13605" width="9.08984375" style="39"/>
    <col min="13606" max="13609" width="0" style="39" hidden="1" customWidth="1"/>
    <col min="13610" max="13610" width="9.08984375" style="39"/>
    <col min="13611" max="13614" width="0" style="39" hidden="1" customWidth="1"/>
    <col min="13615" max="13615" width="9.36328125" style="39" customWidth="1"/>
    <col min="13616" max="13619" width="0" style="39" hidden="1" customWidth="1"/>
    <col min="13620" max="13620" width="9.08984375" style="39"/>
    <col min="13621" max="13624" width="0" style="39" hidden="1" customWidth="1"/>
    <col min="13625" max="13625" width="9.08984375" style="39"/>
    <col min="13626" max="13629" width="0" style="39" hidden="1" customWidth="1"/>
    <col min="13630" max="13630" width="9.08984375" style="39"/>
    <col min="13631" max="13634" width="0" style="39" hidden="1" customWidth="1"/>
    <col min="13635" max="13854" width="9.08984375" style="39"/>
    <col min="13855" max="13855" width="11" style="39" customWidth="1"/>
    <col min="13856" max="13856" width="9.08984375" style="39"/>
    <col min="13857" max="13860" width="0" style="39" hidden="1" customWidth="1"/>
    <col min="13861" max="13861" width="9.08984375" style="39"/>
    <col min="13862" max="13865" width="0" style="39" hidden="1" customWidth="1"/>
    <col min="13866" max="13866" width="9.08984375" style="39"/>
    <col min="13867" max="13870" width="0" style="39" hidden="1" customWidth="1"/>
    <col min="13871" max="13871" width="9.36328125" style="39" customWidth="1"/>
    <col min="13872" max="13875" width="0" style="39" hidden="1" customWidth="1"/>
    <col min="13876" max="13876" width="9.08984375" style="39"/>
    <col min="13877" max="13880" width="0" style="39" hidden="1" customWidth="1"/>
    <col min="13881" max="13881" width="9.08984375" style="39"/>
    <col min="13882" max="13885" width="0" style="39" hidden="1" customWidth="1"/>
    <col min="13886" max="13886" width="9.08984375" style="39"/>
    <col min="13887" max="13890" width="0" style="39" hidden="1" customWidth="1"/>
    <col min="13891" max="14110" width="9.08984375" style="39"/>
    <col min="14111" max="14111" width="11" style="39" customWidth="1"/>
    <col min="14112" max="14112" width="9.08984375" style="39"/>
    <col min="14113" max="14116" width="0" style="39" hidden="1" customWidth="1"/>
    <col min="14117" max="14117" width="9.08984375" style="39"/>
    <col min="14118" max="14121" width="0" style="39" hidden="1" customWidth="1"/>
    <col min="14122" max="14122" width="9.08984375" style="39"/>
    <col min="14123" max="14126" width="0" style="39" hidden="1" customWidth="1"/>
    <col min="14127" max="14127" width="9.36328125" style="39" customWidth="1"/>
    <col min="14128" max="14131" width="0" style="39" hidden="1" customWidth="1"/>
    <col min="14132" max="14132" width="9.08984375" style="39"/>
    <col min="14133" max="14136" width="0" style="39" hidden="1" customWidth="1"/>
    <col min="14137" max="14137" width="9.08984375" style="39"/>
    <col min="14138" max="14141" width="0" style="39" hidden="1" customWidth="1"/>
    <col min="14142" max="14142" width="9.08984375" style="39"/>
    <col min="14143" max="14146" width="0" style="39" hidden="1" customWidth="1"/>
    <col min="14147" max="14366" width="9.08984375" style="39"/>
    <col min="14367" max="14367" width="11" style="39" customWidth="1"/>
    <col min="14368" max="14368" width="9.08984375" style="39"/>
    <col min="14369" max="14372" width="0" style="39" hidden="1" customWidth="1"/>
    <col min="14373" max="14373" width="9.08984375" style="39"/>
    <col min="14374" max="14377" width="0" style="39" hidden="1" customWidth="1"/>
    <col min="14378" max="14378" width="9.08984375" style="39"/>
    <col min="14379" max="14382" width="0" style="39" hidden="1" customWidth="1"/>
    <col min="14383" max="14383" width="9.36328125" style="39" customWidth="1"/>
    <col min="14384" max="14387" width="0" style="39" hidden="1" customWidth="1"/>
    <col min="14388" max="14388" width="9.08984375" style="39"/>
    <col min="14389" max="14392" width="0" style="39" hidden="1" customWidth="1"/>
    <col min="14393" max="14393" width="9.08984375" style="39"/>
    <col min="14394" max="14397" width="0" style="39" hidden="1" customWidth="1"/>
    <col min="14398" max="14398" width="9.08984375" style="39"/>
    <col min="14399" max="14402" width="0" style="39" hidden="1" customWidth="1"/>
    <col min="14403" max="14622" width="9.08984375" style="39"/>
    <col min="14623" max="14623" width="11" style="39" customWidth="1"/>
    <col min="14624" max="14624" width="9.08984375" style="39"/>
    <col min="14625" max="14628" width="0" style="39" hidden="1" customWidth="1"/>
    <col min="14629" max="14629" width="9.08984375" style="39"/>
    <col min="14630" max="14633" width="0" style="39" hidden="1" customWidth="1"/>
    <col min="14634" max="14634" width="9.08984375" style="39"/>
    <col min="14635" max="14638" width="0" style="39" hidden="1" customWidth="1"/>
    <col min="14639" max="14639" width="9.36328125" style="39" customWidth="1"/>
    <col min="14640" max="14643" width="0" style="39" hidden="1" customWidth="1"/>
    <col min="14644" max="14644" width="9.08984375" style="39"/>
    <col min="14645" max="14648" width="0" style="39" hidden="1" customWidth="1"/>
    <col min="14649" max="14649" width="9.08984375" style="39"/>
    <col min="14650" max="14653" width="0" style="39" hidden="1" customWidth="1"/>
    <col min="14654" max="14654" width="9.08984375" style="39"/>
    <col min="14655" max="14658" width="0" style="39" hidden="1" customWidth="1"/>
    <col min="14659" max="14878" width="9.08984375" style="39"/>
    <col min="14879" max="14879" width="11" style="39" customWidth="1"/>
    <col min="14880" max="14880" width="9.08984375" style="39"/>
    <col min="14881" max="14884" width="0" style="39" hidden="1" customWidth="1"/>
    <col min="14885" max="14885" width="9.08984375" style="39"/>
    <col min="14886" max="14889" width="0" style="39" hidden="1" customWidth="1"/>
    <col min="14890" max="14890" width="9.08984375" style="39"/>
    <col min="14891" max="14894" width="0" style="39" hidden="1" customWidth="1"/>
    <col min="14895" max="14895" width="9.36328125" style="39" customWidth="1"/>
    <col min="14896" max="14899" width="0" style="39" hidden="1" customWidth="1"/>
    <col min="14900" max="14900" width="9.08984375" style="39"/>
    <col min="14901" max="14904" width="0" style="39" hidden="1" customWidth="1"/>
    <col min="14905" max="14905" width="9.08984375" style="39"/>
    <col min="14906" max="14909" width="0" style="39" hidden="1" customWidth="1"/>
    <col min="14910" max="14910" width="9.08984375" style="39"/>
    <col min="14911" max="14914" width="0" style="39" hidden="1" customWidth="1"/>
    <col min="14915" max="15134" width="9.08984375" style="39"/>
    <col min="15135" max="15135" width="11" style="39" customWidth="1"/>
    <col min="15136" max="15136" width="9.08984375" style="39"/>
    <col min="15137" max="15140" width="0" style="39" hidden="1" customWidth="1"/>
    <col min="15141" max="15141" width="9.08984375" style="39"/>
    <col min="15142" max="15145" width="0" style="39" hidden="1" customWidth="1"/>
    <col min="15146" max="15146" width="9.08984375" style="39"/>
    <col min="15147" max="15150" width="0" style="39" hidden="1" customWidth="1"/>
    <col min="15151" max="15151" width="9.36328125" style="39" customWidth="1"/>
    <col min="15152" max="15155" width="0" style="39" hidden="1" customWidth="1"/>
    <col min="15156" max="15156" width="9.08984375" style="39"/>
    <col min="15157" max="15160" width="0" style="39" hidden="1" customWidth="1"/>
    <col min="15161" max="15161" width="9.08984375" style="39"/>
    <col min="15162" max="15165" width="0" style="39" hidden="1" customWidth="1"/>
    <col min="15166" max="15166" width="9.08984375" style="39"/>
    <col min="15167" max="15170" width="0" style="39" hidden="1" customWidth="1"/>
    <col min="15171" max="15390" width="9.08984375" style="39"/>
    <col min="15391" max="15391" width="11" style="39" customWidth="1"/>
    <col min="15392" max="15392" width="9.08984375" style="39"/>
    <col min="15393" max="15396" width="0" style="39" hidden="1" customWidth="1"/>
    <col min="15397" max="15397" width="9.08984375" style="39"/>
    <col min="15398" max="15401" width="0" style="39" hidden="1" customWidth="1"/>
    <col min="15402" max="15402" width="9.08984375" style="39"/>
    <col min="15403" max="15406" width="0" style="39" hidden="1" customWidth="1"/>
    <col min="15407" max="15407" width="9.36328125" style="39" customWidth="1"/>
    <col min="15408" max="15411" width="0" style="39" hidden="1" customWidth="1"/>
    <col min="15412" max="15412" width="9.08984375" style="39"/>
    <col min="15413" max="15416" width="0" style="39" hidden="1" customWidth="1"/>
    <col min="15417" max="15417" width="9.08984375" style="39"/>
    <col min="15418" max="15421" width="0" style="39" hidden="1" customWidth="1"/>
    <col min="15422" max="15422" width="9.08984375" style="39"/>
    <col min="15423" max="15426" width="0" style="39" hidden="1" customWidth="1"/>
    <col min="15427" max="15646" width="9.08984375" style="39"/>
    <col min="15647" max="15647" width="11" style="39" customWidth="1"/>
    <col min="15648" max="15648" width="9.08984375" style="39"/>
    <col min="15649" max="15652" width="0" style="39" hidden="1" customWidth="1"/>
    <col min="15653" max="15653" width="9.08984375" style="39"/>
    <col min="15654" max="15657" width="0" style="39" hidden="1" customWidth="1"/>
    <col min="15658" max="15658" width="9.08984375" style="39"/>
    <col min="15659" max="15662" width="0" style="39" hidden="1" customWidth="1"/>
    <col min="15663" max="15663" width="9.36328125" style="39" customWidth="1"/>
    <col min="15664" max="15667" width="0" style="39" hidden="1" customWidth="1"/>
    <col min="15668" max="15668" width="9.08984375" style="39"/>
    <col min="15669" max="15672" width="0" style="39" hidden="1" customWidth="1"/>
    <col min="15673" max="15673" width="9.08984375" style="39"/>
    <col min="15674" max="15677" width="0" style="39" hidden="1" customWidth="1"/>
    <col min="15678" max="15678" width="9.08984375" style="39"/>
    <col min="15679" max="15682" width="0" style="39" hidden="1" customWidth="1"/>
    <col min="15683" max="15902" width="9.08984375" style="39"/>
    <col min="15903" max="15903" width="11" style="39" customWidth="1"/>
    <col min="15904" max="15904" width="9.08984375" style="39"/>
    <col min="15905" max="15908" width="0" style="39" hidden="1" customWidth="1"/>
    <col min="15909" max="15909" width="9.08984375" style="39"/>
    <col min="15910" max="15913" width="0" style="39" hidden="1" customWidth="1"/>
    <col min="15914" max="15914" width="9.08984375" style="39"/>
    <col min="15915" max="15918" width="0" style="39" hidden="1" customWidth="1"/>
    <col min="15919" max="15919" width="9.36328125" style="39" customWidth="1"/>
    <col min="15920" max="15923" width="0" style="39" hidden="1" customWidth="1"/>
    <col min="15924" max="15924" width="9.08984375" style="39"/>
    <col min="15925" max="15928" width="0" style="39" hidden="1" customWidth="1"/>
    <col min="15929" max="15929" width="9.08984375" style="39"/>
    <col min="15930" max="15933" width="0" style="39" hidden="1" customWidth="1"/>
    <col min="15934" max="15934" width="9.08984375" style="39"/>
    <col min="15935" max="15938" width="0" style="39" hidden="1" customWidth="1"/>
    <col min="15939" max="16158" width="9.08984375" style="39"/>
    <col min="16159" max="16159" width="11" style="39" customWidth="1"/>
    <col min="16160" max="16160" width="9.08984375" style="39"/>
    <col min="16161" max="16164" width="0" style="39" hidden="1" customWidth="1"/>
    <col min="16165" max="16165" width="9.08984375" style="39"/>
    <col min="16166" max="16169" width="0" style="39" hidden="1" customWidth="1"/>
    <col min="16170" max="16170" width="9.08984375" style="39"/>
    <col min="16171" max="16174" width="0" style="39" hidden="1" customWidth="1"/>
    <col min="16175" max="16175" width="9.36328125" style="39" customWidth="1"/>
    <col min="16176" max="16179" width="0" style="39" hidden="1" customWidth="1"/>
    <col min="16180" max="16180" width="9.08984375" style="39"/>
    <col min="16181" max="16184" width="0" style="39" hidden="1" customWidth="1"/>
    <col min="16185" max="16185" width="9.08984375" style="39"/>
    <col min="16186" max="16189" width="0" style="39" hidden="1" customWidth="1"/>
    <col min="16190" max="16190" width="9.08984375" style="39"/>
    <col min="16191" max="16194" width="0" style="39" hidden="1" customWidth="1"/>
    <col min="16195" max="16384" width="9.08984375" style="39"/>
  </cols>
  <sheetData>
    <row r="1" spans="1:147">
      <c r="A1" s="145"/>
      <c r="B1" s="75">
        <v>38322</v>
      </c>
      <c r="C1" s="75" t="s">
        <v>539</v>
      </c>
      <c r="D1" s="75" t="s">
        <v>540</v>
      </c>
      <c r="E1" s="75" t="s">
        <v>541</v>
      </c>
      <c r="F1" s="75" t="s">
        <v>542</v>
      </c>
      <c r="G1" s="75">
        <v>38687</v>
      </c>
      <c r="H1" s="75" t="s">
        <v>539</v>
      </c>
      <c r="I1" s="75" t="s">
        <v>540</v>
      </c>
      <c r="J1" s="75" t="s">
        <v>541</v>
      </c>
      <c r="K1" s="75" t="s">
        <v>542</v>
      </c>
      <c r="L1" s="75">
        <v>39052</v>
      </c>
      <c r="M1" s="75" t="s">
        <v>539</v>
      </c>
      <c r="N1" s="75" t="s">
        <v>540</v>
      </c>
      <c r="O1" s="75" t="s">
        <v>541</v>
      </c>
      <c r="P1" s="75" t="s">
        <v>542</v>
      </c>
      <c r="Q1" s="75">
        <v>39417</v>
      </c>
      <c r="R1" s="75" t="s">
        <v>539</v>
      </c>
      <c r="S1" s="75" t="s">
        <v>540</v>
      </c>
      <c r="T1" s="75" t="s">
        <v>541</v>
      </c>
      <c r="U1" s="75" t="s">
        <v>542</v>
      </c>
      <c r="V1" s="75">
        <v>39783</v>
      </c>
      <c r="W1" s="75" t="s">
        <v>539</v>
      </c>
      <c r="X1" s="75" t="s">
        <v>540</v>
      </c>
      <c r="Y1" s="75" t="s">
        <v>541</v>
      </c>
      <c r="Z1" s="75" t="s">
        <v>542</v>
      </c>
      <c r="AA1" s="75">
        <v>40148</v>
      </c>
      <c r="AB1" s="75" t="s">
        <v>539</v>
      </c>
      <c r="AC1" s="75" t="s">
        <v>540</v>
      </c>
      <c r="AD1" s="75" t="s">
        <v>541</v>
      </c>
      <c r="AE1" s="75" t="s">
        <v>542</v>
      </c>
      <c r="AF1" s="75">
        <v>40513</v>
      </c>
      <c r="AG1" s="75" t="s">
        <v>539</v>
      </c>
      <c r="AH1" s="75" t="s">
        <v>540</v>
      </c>
      <c r="AI1" s="75" t="s">
        <v>541</v>
      </c>
      <c r="AJ1" s="75" t="s">
        <v>542</v>
      </c>
      <c r="AK1" s="75">
        <v>40878</v>
      </c>
      <c r="AL1" s="75" t="s">
        <v>539</v>
      </c>
      <c r="AM1" s="75" t="s">
        <v>540</v>
      </c>
      <c r="AN1" s="75" t="s">
        <v>541</v>
      </c>
      <c r="AO1" s="75" t="s">
        <v>542</v>
      </c>
      <c r="AP1" s="75">
        <v>41244</v>
      </c>
      <c r="AQ1" s="75" t="s">
        <v>539</v>
      </c>
      <c r="AR1" s="75" t="s">
        <v>540</v>
      </c>
      <c r="AS1" s="75" t="s">
        <v>541</v>
      </c>
      <c r="AT1" s="75" t="s">
        <v>542</v>
      </c>
      <c r="AU1" s="75">
        <v>41609</v>
      </c>
      <c r="AV1" s="75" t="s">
        <v>539</v>
      </c>
      <c r="AW1" s="75" t="s">
        <v>540</v>
      </c>
      <c r="AX1" s="75" t="s">
        <v>541</v>
      </c>
      <c r="AY1" s="75" t="s">
        <v>542</v>
      </c>
      <c r="AZ1" s="75">
        <v>41974</v>
      </c>
      <c r="BA1" s="75" t="s">
        <v>539</v>
      </c>
      <c r="BB1" s="75" t="s">
        <v>540</v>
      </c>
      <c r="BC1" s="75" t="s">
        <v>541</v>
      </c>
      <c r="BD1" s="75" t="s">
        <v>542</v>
      </c>
      <c r="BE1" s="75">
        <v>42339</v>
      </c>
      <c r="BF1" s="75" t="s">
        <v>539</v>
      </c>
      <c r="BG1" s="75" t="s">
        <v>540</v>
      </c>
      <c r="BH1" s="75" t="s">
        <v>541</v>
      </c>
      <c r="BI1" s="75" t="s">
        <v>542</v>
      </c>
      <c r="BJ1" s="75">
        <v>42705</v>
      </c>
      <c r="BK1" s="75" t="s">
        <v>539</v>
      </c>
      <c r="BL1" s="75" t="s">
        <v>540</v>
      </c>
      <c r="BM1" s="75" t="s">
        <v>541</v>
      </c>
      <c r="BN1" s="75" t="s">
        <v>542</v>
      </c>
      <c r="BO1" s="75">
        <v>43070</v>
      </c>
      <c r="BP1" s="75" t="s">
        <v>539</v>
      </c>
      <c r="BQ1" s="75" t="s">
        <v>540</v>
      </c>
      <c r="BR1" s="75" t="s">
        <v>541</v>
      </c>
      <c r="BS1" s="75" t="s">
        <v>542</v>
      </c>
      <c r="BT1" s="75">
        <v>43435</v>
      </c>
      <c r="BU1" s="75" t="s">
        <v>539</v>
      </c>
      <c r="BV1" s="75" t="s">
        <v>540</v>
      </c>
      <c r="BW1" s="75" t="s">
        <v>541</v>
      </c>
      <c r="BX1" s="75" t="s">
        <v>542</v>
      </c>
      <c r="BY1" s="75">
        <v>43800</v>
      </c>
      <c r="BZ1" s="75" t="s">
        <v>539</v>
      </c>
      <c r="CA1" s="75" t="s">
        <v>540</v>
      </c>
      <c r="CB1" s="75" t="s">
        <v>541</v>
      </c>
      <c r="CC1" s="75" t="s">
        <v>542</v>
      </c>
      <c r="CD1" s="75">
        <v>44166</v>
      </c>
      <c r="CE1" s="75" t="str">
        <f>BZ1</f>
        <v>Q1</v>
      </c>
      <c r="CF1" s="75" t="str">
        <f t="shared" ref="CF1:CH1" si="0">CA1</f>
        <v>Q2</v>
      </c>
      <c r="CG1" s="75" t="str">
        <f t="shared" si="0"/>
        <v>Q3</v>
      </c>
      <c r="CH1" s="75" t="str">
        <f t="shared" si="0"/>
        <v>Q4</v>
      </c>
      <c r="CI1" s="75">
        <v>44531</v>
      </c>
      <c r="CJ1" s="75" t="str">
        <f>CE1</f>
        <v>Q1</v>
      </c>
      <c r="CK1" s="75" t="str">
        <f t="shared" ref="CK1" si="1">CF1</f>
        <v>Q2</v>
      </c>
      <c r="CL1" s="75" t="str">
        <f t="shared" ref="CL1:CM1" si="2">CG1</f>
        <v>Q3</v>
      </c>
      <c r="CM1" s="75" t="str">
        <f t="shared" si="2"/>
        <v>Q4</v>
      </c>
      <c r="CN1" s="75">
        <v>44926</v>
      </c>
      <c r="CO1" s="75" t="str">
        <f>CJ1</f>
        <v>Q1</v>
      </c>
      <c r="CP1" s="75" t="str">
        <f t="shared" ref="CP1" si="3">CK1</f>
        <v>Q2</v>
      </c>
      <c r="CQ1" s="75" t="str">
        <f t="shared" ref="CQ1:CR1" si="4">CL1</f>
        <v>Q3</v>
      </c>
      <c r="CR1" s="75" t="str">
        <f t="shared" si="4"/>
        <v>Q4</v>
      </c>
      <c r="CS1" s="75">
        <f>EOMONTH(CN1,12)</f>
        <v>45291</v>
      </c>
      <c r="CT1" s="75" t="str">
        <f>CO1</f>
        <v>Q1</v>
      </c>
      <c r="CU1" s="75" t="str">
        <f>CP1</f>
        <v>Q2</v>
      </c>
      <c r="CV1" s="75" t="str">
        <f>CQ1</f>
        <v>Q3</v>
      </c>
      <c r="CW1" s="75" t="str">
        <f>CR1</f>
        <v>Q4</v>
      </c>
      <c r="CX1" s="75">
        <f>EOMONTH(CS1,12)</f>
        <v>45657</v>
      </c>
      <c r="CY1" s="75" t="str">
        <f>CT1</f>
        <v>Q1</v>
      </c>
      <c r="CZ1" s="75" t="str">
        <f>CU1</f>
        <v>Q2</v>
      </c>
      <c r="DA1" s="75">
        <f>EOMONTH(CX1,12)</f>
        <v>46022</v>
      </c>
      <c r="DB1" s="75">
        <f t="shared" ref="DB1:DF1" si="5">EOMONTH(DA1,12)</f>
        <v>46387</v>
      </c>
      <c r="DC1" s="75">
        <f t="shared" si="5"/>
        <v>46752</v>
      </c>
      <c r="DD1" s="75">
        <f t="shared" si="5"/>
        <v>47118</v>
      </c>
      <c r="DE1" s="75">
        <f t="shared" si="5"/>
        <v>47483</v>
      </c>
      <c r="DF1" s="75">
        <f t="shared" si="5"/>
        <v>47848</v>
      </c>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row>
    <row r="2" spans="1:147">
      <c r="A2" s="39" t="s">
        <v>543</v>
      </c>
      <c r="B2" s="68">
        <v>245453</v>
      </c>
      <c r="C2" s="68">
        <v>246434.81200000001</v>
      </c>
      <c r="D2" s="68">
        <v>247420.551248</v>
      </c>
      <c r="E2" s="68">
        <v>248410.23345299199</v>
      </c>
      <c r="F2" s="68">
        <v>249403.87438680395</v>
      </c>
      <c r="G2" s="68">
        <v>248889.342</v>
      </c>
      <c r="H2" s="68">
        <v>249884.89936800001</v>
      </c>
      <c r="I2" s="68">
        <v>250884.43896547201</v>
      </c>
      <c r="J2" s="68">
        <v>251887.97672133389</v>
      </c>
      <c r="K2" s="68">
        <v>252373.79278800002</v>
      </c>
      <c r="L2" s="68">
        <v>252373.79278800002</v>
      </c>
      <c r="M2" s="68">
        <v>253130.914166364</v>
      </c>
      <c r="N2" s="68">
        <v>253890.30690886307</v>
      </c>
      <c r="O2" s="68">
        <v>254651.97782958962</v>
      </c>
      <c r="P2" s="68">
        <v>236242.19999999998</v>
      </c>
      <c r="Q2" s="68">
        <v>236242.19999999998</v>
      </c>
      <c r="R2" s="68">
        <v>0</v>
      </c>
      <c r="S2" s="68">
        <v>0</v>
      </c>
      <c r="T2" s="68">
        <v>0</v>
      </c>
      <c r="U2" s="68">
        <v>0</v>
      </c>
      <c r="V2" s="68">
        <v>0</v>
      </c>
      <c r="W2" s="68">
        <v>0</v>
      </c>
      <c r="X2" s="68">
        <v>0</v>
      </c>
      <c r="Y2" s="68">
        <v>0</v>
      </c>
      <c r="Z2" s="68">
        <v>0</v>
      </c>
      <c r="AA2" s="68">
        <v>242903.28507119999</v>
      </c>
      <c r="AB2" s="68">
        <v>0</v>
      </c>
      <c r="AC2" s="68">
        <v>0</v>
      </c>
      <c r="AD2" s="68">
        <v>0</v>
      </c>
      <c r="AE2" s="68">
        <v>0</v>
      </c>
      <c r="AF2" s="68">
        <v>246303.93106219679</v>
      </c>
      <c r="AG2" s="68">
        <v>0</v>
      </c>
      <c r="AH2" s="68">
        <v>0</v>
      </c>
      <c r="AI2" s="68">
        <v>0</v>
      </c>
      <c r="AJ2" s="68">
        <v>0</v>
      </c>
      <c r="AK2" s="68">
        <v>249752.18609706755</v>
      </c>
      <c r="AL2" s="68">
        <v>0</v>
      </c>
      <c r="AM2" s="68">
        <v>0</v>
      </c>
      <c r="AN2" s="68">
        <v>0</v>
      </c>
      <c r="AO2" s="68">
        <v>0</v>
      </c>
      <c r="AP2" s="68">
        <v>253248.71670242649</v>
      </c>
      <c r="AQ2" s="68">
        <v>0</v>
      </c>
      <c r="AR2" s="68">
        <v>0</v>
      </c>
      <c r="AS2" s="68">
        <v>0</v>
      </c>
      <c r="AT2" s="68">
        <v>0</v>
      </c>
      <c r="AU2" s="68">
        <v>256794.19873626047</v>
      </c>
      <c r="AV2" s="68">
        <v>0</v>
      </c>
      <c r="AW2" s="68">
        <v>0</v>
      </c>
      <c r="AX2" s="68">
        <v>0</v>
      </c>
      <c r="AY2" s="68">
        <v>0</v>
      </c>
      <c r="AZ2" s="68">
        <v>260389.31751856813</v>
      </c>
      <c r="BA2" s="68">
        <v>0</v>
      </c>
      <c r="BB2" s="68">
        <v>0</v>
      </c>
      <c r="BC2" s="68">
        <v>0</v>
      </c>
      <c r="BD2" s="68">
        <v>0</v>
      </c>
      <c r="BE2" s="68">
        <v>264034.76796382811</v>
      </c>
      <c r="BF2" s="68">
        <v>0</v>
      </c>
      <c r="BG2" s="68">
        <v>0</v>
      </c>
      <c r="BH2" s="68">
        <v>0</v>
      </c>
      <c r="BI2" s="68">
        <v>0</v>
      </c>
      <c r="BJ2" s="68">
        <v>257564</v>
      </c>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row>
    <row r="3" spans="1:147">
      <c r="A3" s="39" t="s">
        <v>544</v>
      </c>
      <c r="B3" s="68">
        <v>3791</v>
      </c>
      <c r="C3" s="68">
        <v>5200</v>
      </c>
      <c r="D3" s="68">
        <v>5865</v>
      </c>
      <c r="E3" s="68">
        <v>6200</v>
      </c>
      <c r="F3" s="68">
        <v>6979</v>
      </c>
      <c r="G3" s="68">
        <v>6979</v>
      </c>
      <c r="H3" s="68">
        <v>7500</v>
      </c>
      <c r="I3" s="68">
        <v>8388</v>
      </c>
      <c r="J3" s="68">
        <v>8369</v>
      </c>
      <c r="K3" s="68">
        <v>9528</v>
      </c>
      <c r="L3" s="68">
        <v>9528</v>
      </c>
      <c r="M3" s="68">
        <v>10100</v>
      </c>
      <c r="N3" s="68">
        <v>10200</v>
      </c>
      <c r="O3" s="68">
        <v>12810</v>
      </c>
      <c r="P3" s="68">
        <v>15469</v>
      </c>
      <c r="Q3" s="68">
        <v>15469</v>
      </c>
      <c r="R3" s="68">
        <v>18398</v>
      </c>
      <c r="S3" s="68">
        <v>22899</v>
      </c>
      <c r="T3" s="68">
        <v>25087</v>
      </c>
      <c r="U3" s="68">
        <v>26016</v>
      </c>
      <c r="V3" s="68">
        <v>26016</v>
      </c>
      <c r="W3" s="68">
        <v>24892</v>
      </c>
      <c r="X3" s="68">
        <v>24672</v>
      </c>
      <c r="Y3" s="68">
        <v>26600</v>
      </c>
      <c r="Z3" s="68">
        <v>31100</v>
      </c>
      <c r="AA3" s="68">
        <v>31100</v>
      </c>
      <c r="AB3" s="68">
        <v>32600</v>
      </c>
      <c r="AC3" s="68">
        <v>35232</v>
      </c>
      <c r="AD3" s="68">
        <v>38500</v>
      </c>
      <c r="AE3" s="68">
        <v>40400</v>
      </c>
      <c r="AF3" s="68">
        <v>40400</v>
      </c>
      <c r="AG3" s="68">
        <v>39300</v>
      </c>
      <c r="AH3" s="68">
        <v>38900</v>
      </c>
      <c r="AI3" s="68">
        <v>43400</v>
      </c>
      <c r="AJ3" s="68">
        <v>46400</v>
      </c>
      <c r="AK3" s="68">
        <v>46400</v>
      </c>
      <c r="AL3" s="68">
        <v>46400</v>
      </c>
      <c r="AM3" s="68">
        <v>45900</v>
      </c>
      <c r="AN3" s="68">
        <v>42300</v>
      </c>
      <c r="AO3" s="68">
        <v>45800</v>
      </c>
      <c r="AP3" s="68">
        <v>45800</v>
      </c>
      <c r="AQ3" s="68">
        <v>49100</v>
      </c>
      <c r="AR3" s="68">
        <v>54200</v>
      </c>
      <c r="AS3" s="68">
        <v>58100</v>
      </c>
      <c r="AT3" s="68">
        <v>60500</v>
      </c>
      <c r="AU3" s="68">
        <v>60500</v>
      </c>
      <c r="AV3" s="68">
        <v>68500</v>
      </c>
      <c r="AW3" s="68">
        <v>62868</v>
      </c>
      <c r="AX3" s="68">
        <v>58256</v>
      </c>
      <c r="AY3" s="68">
        <v>59600</v>
      </c>
      <c r="AZ3" s="68">
        <v>59600</v>
      </c>
      <c r="BA3" s="68">
        <v>52100</v>
      </c>
      <c r="BB3" s="68">
        <v>46000</v>
      </c>
      <c r="BC3" s="68">
        <v>41500</v>
      </c>
      <c r="BD3" s="68">
        <v>42000</v>
      </c>
      <c r="BE3" s="68">
        <v>42000</v>
      </c>
      <c r="BF3" s="68">
        <v>42500</v>
      </c>
      <c r="BG3" s="68">
        <v>44000</v>
      </c>
      <c r="BH3" s="68">
        <v>45000</v>
      </c>
      <c r="BI3" s="68">
        <v>46500</v>
      </c>
      <c r="BJ3" s="68">
        <v>46500</v>
      </c>
      <c r="BK3" s="68">
        <f>'Income Statement'!AW96</f>
        <v>48000</v>
      </c>
      <c r="BL3" s="68">
        <f>'Income Statement'!AX96</f>
        <v>50500</v>
      </c>
      <c r="BM3" s="68">
        <f>'Income Statement'!AY96</f>
        <v>52500</v>
      </c>
      <c r="BN3" s="68">
        <f>'Income Statement'!AZ96</f>
        <v>53500</v>
      </c>
      <c r="BO3" s="68">
        <f>'Income Statement'!BA96</f>
        <v>53500</v>
      </c>
      <c r="BP3" s="68">
        <f>'Income Statement'!BB96</f>
        <v>54500</v>
      </c>
      <c r="BQ3" s="68">
        <f>'Income Statement'!BC96</f>
        <v>52900</v>
      </c>
      <c r="BR3" s="68">
        <f>'Income Statement'!BD96</f>
        <v>53900</v>
      </c>
      <c r="BS3" s="68">
        <f>'Income Statement'!BE96</f>
        <v>54900</v>
      </c>
      <c r="BT3" s="68">
        <f>'Income Statement'!BF96</f>
        <v>54900</v>
      </c>
      <c r="BU3" s="68">
        <f>'Income Statement'!BG96</f>
        <v>55100</v>
      </c>
      <c r="BV3" s="68">
        <f>'Income Statement'!BH96</f>
        <v>56600</v>
      </c>
      <c r="BW3" s="68">
        <f>'Income Statement'!BI96</f>
        <v>55500</v>
      </c>
      <c r="BX3" s="68">
        <f>'Income Statement'!BJ96</f>
        <v>56700</v>
      </c>
      <c r="BY3" s="68">
        <f>'Income Statement'!BK96</f>
        <v>56700</v>
      </c>
      <c r="BZ3" s="68">
        <f>'Income Statement'!BL96</f>
        <v>55490</v>
      </c>
      <c r="CA3" s="68">
        <f>'Income Statement'!BM96</f>
        <v>55670</v>
      </c>
      <c r="CB3" s="68">
        <f>'Income Statement'!BN96</f>
        <v>56880</v>
      </c>
      <c r="CC3" s="68">
        <f>'Income Statement'!BO96</f>
        <v>57890</v>
      </c>
      <c r="CD3" s="68">
        <f>'Income Statement'!BP96</f>
        <v>57890</v>
      </c>
      <c r="CE3" s="68">
        <f>'Income Statement'!BQ96</f>
        <v>56010</v>
      </c>
      <c r="CF3" s="68">
        <f>'Income Statement'!BR96</f>
        <v>56770</v>
      </c>
      <c r="CG3" s="68">
        <f>'Income Statement'!BS96</f>
        <v>57980</v>
      </c>
      <c r="CH3" s="68">
        <f>'Income Statement'!BT96</f>
        <v>57910</v>
      </c>
      <c r="CI3" s="68">
        <f>'Income Statement'!BU96</f>
        <v>57910</v>
      </c>
      <c r="CJ3" s="68">
        <f>'Income Statement'!BV96</f>
        <v>57000</v>
      </c>
      <c r="CK3" s="68">
        <f>'Income Statement'!BW96</f>
        <v>57230</v>
      </c>
      <c r="CL3" s="68">
        <f>'Income Statement'!BX96</f>
        <v>57400</v>
      </c>
      <c r="CM3" s="68">
        <f>'Income Statement'!BY96</f>
        <v>57500</v>
      </c>
      <c r="CN3" s="68">
        <f>'Income Statement'!BZ96</f>
        <v>57500</v>
      </c>
      <c r="CO3" s="68">
        <f>'Income Statement'!CA96</f>
        <v>57900</v>
      </c>
      <c r="CP3" s="68">
        <f>'Income Statement'!CB96</f>
        <v>58000</v>
      </c>
      <c r="CQ3" s="68">
        <f>'Income Statement'!CC96</f>
        <v>57500</v>
      </c>
      <c r="CR3" s="68">
        <f>'Income Statement'!CD96</f>
        <v>57500</v>
      </c>
      <c r="CS3" s="68">
        <f>'Income Statement'!CE96</f>
        <v>57500</v>
      </c>
      <c r="CT3" s="68">
        <f>'Income Statement'!CF96</f>
        <v>57600</v>
      </c>
      <c r="CU3" s="68">
        <f>'Income Statement'!CG96</f>
        <v>58500</v>
      </c>
      <c r="CV3" s="68">
        <f>'Income Statement'!CH96</f>
        <v>58600</v>
      </c>
      <c r="CW3" s="68">
        <f>'Income Statement'!CI96</f>
        <v>58800</v>
      </c>
      <c r="CX3" s="68">
        <f>'Income Statement'!CJ96</f>
        <v>58800</v>
      </c>
      <c r="CY3" s="68">
        <f>'Income Statement'!CK96</f>
        <v>58900</v>
      </c>
      <c r="CZ3" s="68">
        <f>'Income Statement'!CL96</f>
        <v>82600</v>
      </c>
      <c r="DA3" s="68">
        <f>'Income Statement'!CO96</f>
        <v>82771.271720245146</v>
      </c>
      <c r="DB3" s="68">
        <f>'Income Statement'!CP96</f>
        <v>83969.257163598711</v>
      </c>
      <c r="DC3" s="68">
        <f>'Income Statement'!CQ96</f>
        <v>85182.942914061918</v>
      </c>
      <c r="DD3" s="68">
        <f>'Income Statement'!CR96</f>
        <v>86412.523357124315</v>
      </c>
      <c r="DE3" s="68">
        <f>'Income Statement'!CS96</f>
        <v>87658.195197739857</v>
      </c>
      <c r="DF3" s="68">
        <f>'Income Statement'!CT96</f>
        <v>88920.15748729551</v>
      </c>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row>
    <row r="4" spans="1:147">
      <c r="A4" s="39" t="s">
        <v>46</v>
      </c>
      <c r="B4" s="69"/>
      <c r="C4" s="69"/>
      <c r="D4" s="69"/>
      <c r="E4" s="69"/>
      <c r="F4" s="69"/>
      <c r="G4" s="69"/>
      <c r="H4" s="69"/>
      <c r="I4" s="69"/>
      <c r="J4" s="69"/>
      <c r="K4" s="69"/>
      <c r="L4" s="69"/>
      <c r="M4" s="69"/>
      <c r="N4" s="69"/>
      <c r="O4" s="69"/>
      <c r="P4" s="69"/>
      <c r="Q4" s="74"/>
      <c r="R4" s="74"/>
      <c r="S4" s="74"/>
      <c r="T4" s="74"/>
      <c r="U4" s="74"/>
      <c r="V4" s="74"/>
      <c r="W4" s="74"/>
      <c r="X4" s="74"/>
      <c r="Y4" s="74"/>
      <c r="Z4" s="74"/>
      <c r="AA4" s="74">
        <v>0.19799710962418748</v>
      </c>
      <c r="AB4" s="74">
        <v>0</v>
      </c>
      <c r="AC4" s="74">
        <v>0</v>
      </c>
      <c r="AD4" s="74">
        <v>0</v>
      </c>
      <c r="AE4" s="74">
        <v>0</v>
      </c>
      <c r="AF4" s="74">
        <v>0.21536894786303556</v>
      </c>
      <c r="AG4" s="74">
        <v>0</v>
      </c>
      <c r="AH4" s="74">
        <v>0</v>
      </c>
      <c r="AI4" s="74">
        <v>0</v>
      </c>
      <c r="AJ4" s="74">
        <v>0</v>
      </c>
      <c r="AK4" s="74">
        <v>0.20535352954199926</v>
      </c>
      <c r="AL4" s="74">
        <v>0</v>
      </c>
      <c r="AM4" s="74">
        <v>0</v>
      </c>
      <c r="AN4" s="74">
        <v>0</v>
      </c>
      <c r="AO4" s="74">
        <v>0</v>
      </c>
      <c r="AP4" s="74">
        <v>0.18371955891260486</v>
      </c>
      <c r="AQ4" s="74">
        <v>0</v>
      </c>
      <c r="AR4" s="74">
        <v>0</v>
      </c>
      <c r="AS4" s="74">
        <v>0</v>
      </c>
      <c r="AT4" s="74">
        <v>0</v>
      </c>
      <c r="AU4" s="74">
        <v>0.219613537769904</v>
      </c>
      <c r="AV4" s="74">
        <v>0</v>
      </c>
      <c r="AW4" s="74">
        <v>0</v>
      </c>
      <c r="AX4" s="74">
        <v>0</v>
      </c>
      <c r="AY4" s="74">
        <v>0</v>
      </c>
      <c r="AZ4" s="74">
        <v>0.20917600603520053</v>
      </c>
      <c r="BA4" s="74">
        <v>0</v>
      </c>
      <c r="BB4" s="74">
        <v>0</v>
      </c>
      <c r="BC4" s="74">
        <v>0</v>
      </c>
      <c r="BD4" s="74">
        <v>0</v>
      </c>
      <c r="BE4" s="74">
        <v>0.14252031393168396</v>
      </c>
      <c r="BF4" s="74">
        <v>0</v>
      </c>
      <c r="BG4" s="74">
        <v>0</v>
      </c>
      <c r="BH4" s="74">
        <v>0</v>
      </c>
      <c r="BI4" s="74">
        <v>0</v>
      </c>
      <c r="BJ4" s="74">
        <v>0.14348574708245648</v>
      </c>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row>
    <row r="5" spans="1:147">
      <c r="A5" s="39" t="s">
        <v>436</v>
      </c>
      <c r="B5" s="69"/>
      <c r="C5" s="69"/>
      <c r="D5" s="69"/>
      <c r="E5" s="69"/>
      <c r="F5" s="69"/>
      <c r="G5" s="69"/>
      <c r="H5" s="69"/>
      <c r="I5" s="69"/>
      <c r="J5" s="69"/>
      <c r="K5" s="69"/>
      <c r="L5" s="69"/>
      <c r="M5" s="69"/>
      <c r="N5" s="69"/>
      <c r="O5" s="69"/>
      <c r="P5" s="69"/>
      <c r="Q5" s="73">
        <v>150.34936000000002</v>
      </c>
      <c r="R5" s="73">
        <v>212.59420674993356</v>
      </c>
      <c r="S5" s="73">
        <v>442.3198779572366</v>
      </c>
      <c r="T5" s="73">
        <v>516.81223690242985</v>
      </c>
      <c r="U5" s="73">
        <v>444.84875643308612</v>
      </c>
      <c r="V5" s="73">
        <v>423</v>
      </c>
      <c r="W5" s="73">
        <v>522.50597155653338</v>
      </c>
      <c r="X5" s="73">
        <v>567.61060447098703</v>
      </c>
      <c r="Y5" s="73">
        <v>583.80858948353875</v>
      </c>
      <c r="Z5" s="73">
        <v>559.20873483535524</v>
      </c>
      <c r="AA5" s="73">
        <v>558.28347508660363</v>
      </c>
      <c r="AB5" s="73">
        <v>488.74445839874409</v>
      </c>
      <c r="AC5" s="73">
        <v>354.79458072885956</v>
      </c>
      <c r="AD5" s="73">
        <v>322.78741930233821</v>
      </c>
      <c r="AE5" s="73">
        <v>386.13893536121674</v>
      </c>
      <c r="AF5" s="73">
        <v>388.11634844778962</v>
      </c>
      <c r="AG5" s="73">
        <v>318.69191969887078</v>
      </c>
      <c r="AH5" s="73">
        <v>322.24741687979542</v>
      </c>
      <c r="AI5" s="73">
        <v>355.60600243013369</v>
      </c>
      <c r="AJ5" s="73">
        <v>488.48806236080179</v>
      </c>
      <c r="AK5" s="73">
        <v>356.37480798771122</v>
      </c>
      <c r="AL5" s="73">
        <v>440.36915948275862</v>
      </c>
      <c r="AM5" s="73">
        <v>392.19542795232934</v>
      </c>
      <c r="AN5" s="73">
        <v>365.0757142857143</v>
      </c>
      <c r="AO5" s="73">
        <v>365.49010215664021</v>
      </c>
      <c r="AP5" s="73">
        <v>390.7826009693606</v>
      </c>
      <c r="AQ5" s="73">
        <v>371.61553213909377</v>
      </c>
      <c r="AR5" s="73">
        <v>363.9847434656341</v>
      </c>
      <c r="AS5" s="73">
        <v>322.3792000997426</v>
      </c>
      <c r="AT5" s="73">
        <v>292.20249835634451</v>
      </c>
      <c r="AU5" s="73">
        <v>337.5454935152037</v>
      </c>
      <c r="AV5" s="73">
        <v>251.67706976744185</v>
      </c>
      <c r="AW5" s="73">
        <v>252.72264173923634</v>
      </c>
      <c r="AX5" s="73">
        <v>249.87916515306628</v>
      </c>
      <c r="AY5" s="73">
        <v>247.19184428455063</v>
      </c>
      <c r="AZ5" s="73">
        <v>250.36768023607377</v>
      </c>
      <c r="BA5" s="73">
        <v>238.7323187108326</v>
      </c>
      <c r="BB5" s="73">
        <v>261.63516819571868</v>
      </c>
      <c r="BC5" s="73">
        <v>211.04550857142857</v>
      </c>
      <c r="BD5" s="73">
        <v>190.01805988023952</v>
      </c>
      <c r="BE5" s="73">
        <v>225.35776383955485</v>
      </c>
      <c r="BF5" s="73">
        <v>149.89988165680472</v>
      </c>
      <c r="BG5" s="73">
        <v>0</v>
      </c>
      <c r="BH5" s="73">
        <v>0</v>
      </c>
      <c r="BI5" s="73">
        <v>0</v>
      </c>
      <c r="BJ5" s="73">
        <v>121.69319247335963</v>
      </c>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c r="EO5" s="70"/>
      <c r="EP5" s="70"/>
      <c r="EQ5" s="70"/>
    </row>
    <row r="6" spans="1:147">
      <c r="A6" s="39" t="s">
        <v>40</v>
      </c>
      <c r="B6" s="69"/>
      <c r="C6" s="69"/>
      <c r="D6" s="69"/>
      <c r="E6" s="69"/>
      <c r="F6" s="69"/>
      <c r="G6" s="69"/>
      <c r="H6" s="69"/>
      <c r="I6" s="69"/>
      <c r="J6" s="69"/>
      <c r="K6" s="69"/>
      <c r="L6" s="69"/>
      <c r="M6" s="69"/>
      <c r="N6" s="69"/>
      <c r="O6" s="69"/>
      <c r="P6" s="69"/>
      <c r="Q6" s="73">
        <f>'Income Statement'!C136/1000</f>
        <v>53.273059433798721</v>
      </c>
      <c r="R6" s="73">
        <f>'Income Statement'!D136/1000</f>
        <v>51.633298432102052</v>
      </c>
      <c r="S6" s="73">
        <f>'Income Statement'!E136/1000</f>
        <v>51.077105455602101</v>
      </c>
      <c r="T6" s="73">
        <f>'Income Statement'!F136/1000</f>
        <v>46.096732130204643</v>
      </c>
      <c r="U6" s="73">
        <f>'Income Statement'!G136/1000</f>
        <v>38.562602900025439</v>
      </c>
      <c r="V6" s="73">
        <f>'Income Statement'!H136/1000</f>
        <v>48.455264955204683</v>
      </c>
      <c r="W6" s="73">
        <f>'Income Statement'!I136/1000</f>
        <v>38.003157303370791</v>
      </c>
      <c r="X6" s="73">
        <f>'Income Statement'!J136/1000</f>
        <v>44.508066217415866</v>
      </c>
      <c r="Y6" s="73">
        <f>'Income Statement'!K136/1000</f>
        <v>47.277219066937121</v>
      </c>
      <c r="Z6" s="73">
        <f>'Income Statement'!L136/1000</f>
        <v>46.597295979202777</v>
      </c>
      <c r="AA6" s="73">
        <f>'Income Statement'!M136/1000</f>
        <v>36</v>
      </c>
      <c r="AB6" s="73">
        <f>'Income Statement'!N136/1000</f>
        <v>35</v>
      </c>
      <c r="AC6" s="73">
        <f>'Income Statement'!O136/1000</f>
        <v>33</v>
      </c>
      <c r="AD6" s="73">
        <f>'Income Statement'!P136/1000</f>
        <v>34</v>
      </c>
      <c r="AE6" s="73">
        <f>'Income Statement'!Q136/1000</f>
        <v>34</v>
      </c>
      <c r="AF6" s="73">
        <f>'Income Statement'!R136/1000</f>
        <v>34</v>
      </c>
      <c r="AG6" s="73">
        <f>'Income Statement'!S136/1000</f>
        <v>32</v>
      </c>
      <c r="AH6" s="73">
        <f>'Income Statement'!T136/1000</f>
        <v>32</v>
      </c>
      <c r="AI6" s="73">
        <f>'Income Statement'!U136/1000</f>
        <v>32</v>
      </c>
      <c r="AJ6" s="73">
        <f>'Income Statement'!V136/1000</f>
        <v>32</v>
      </c>
      <c r="AK6" s="73">
        <f>'Income Statement'!W136/1000</f>
        <v>32</v>
      </c>
      <c r="AL6" s="73">
        <f>'Income Statement'!X136/1000</f>
        <v>29</v>
      </c>
      <c r="AM6" s="73">
        <f>'Income Statement'!Y136/1000</f>
        <v>31</v>
      </c>
      <c r="AN6" s="73">
        <f>'Income Statement'!Z136/1000</f>
        <v>32</v>
      </c>
      <c r="AO6" s="73">
        <f>'Income Statement'!AA136/1000</f>
        <v>32</v>
      </c>
      <c r="AP6" s="73">
        <f>'Income Statement'!AB136/1000</f>
        <v>31</v>
      </c>
      <c r="AQ6" s="73">
        <f>'Income Statement'!AC136/1000</f>
        <v>27</v>
      </c>
      <c r="AR6" s="73">
        <f>'Income Statement'!AD136/1000</f>
        <v>27</v>
      </c>
      <c r="AS6" s="73">
        <f>'Income Statement'!AE136/1000</f>
        <v>27</v>
      </c>
      <c r="AT6" s="73">
        <f>'Income Statement'!AF136/1000</f>
        <v>27</v>
      </c>
      <c r="AU6" s="73">
        <f>'Income Statement'!AG136/1000</f>
        <v>27</v>
      </c>
      <c r="AV6" s="73">
        <f>'Income Statement'!AH136/1000</f>
        <v>23</v>
      </c>
      <c r="AW6" s="73">
        <f>'Income Statement'!AI136/1000</f>
        <v>25</v>
      </c>
      <c r="AX6" s="73">
        <f>'Income Statement'!AJ136/1000</f>
        <v>27</v>
      </c>
      <c r="AY6" s="73">
        <f>'Income Statement'!AK136/1000</f>
        <v>21</v>
      </c>
      <c r="AZ6" s="73">
        <f>'Income Statement'!AL136/1000</f>
        <v>24</v>
      </c>
      <c r="BA6" s="73">
        <f>'Income Statement'!AM136/1000</f>
        <v>28</v>
      </c>
      <c r="BB6" s="73">
        <f>'Income Statement'!AN136/1000</f>
        <v>32</v>
      </c>
      <c r="BC6" s="73">
        <f>'Income Statement'!AO136/1000</f>
        <v>36</v>
      </c>
      <c r="BD6" s="73">
        <f>'Income Statement'!AP136/1000</f>
        <v>40</v>
      </c>
      <c r="BE6" s="73">
        <f>'Income Statement'!AQ136/1000</f>
        <v>34</v>
      </c>
      <c r="BF6" s="73">
        <f>'Income Statement'!AR136/1000</f>
        <v>39</v>
      </c>
      <c r="BG6" s="73">
        <f>'Income Statement'!AS136/1000</f>
        <v>35</v>
      </c>
      <c r="BH6" s="73">
        <f>'Income Statement'!AT136/1000</f>
        <v>34</v>
      </c>
      <c r="BI6" s="73">
        <f>'Income Statement'!AU136/1000</f>
        <v>32</v>
      </c>
      <c r="BJ6" s="73">
        <f>'Income Statement'!AV136/1000</f>
        <v>35</v>
      </c>
      <c r="BK6" s="73">
        <f>'Income Statement'!AW136/1000</f>
        <v>33</v>
      </c>
      <c r="BL6" s="73">
        <f>'Income Statement'!AX136/1000</f>
        <v>35</v>
      </c>
      <c r="BM6" s="73">
        <f>'Income Statement'!AY136/1000</f>
        <v>34</v>
      </c>
      <c r="BN6" s="73">
        <f>'Income Statement'!AZ136/1000</f>
        <v>34</v>
      </c>
      <c r="BO6" s="73">
        <f>'Income Statement'!BA136/1000</f>
        <v>34</v>
      </c>
      <c r="BP6" s="73">
        <f>'Income Statement'!BB136/1000</f>
        <v>30</v>
      </c>
      <c r="BQ6" s="73">
        <f>'Income Statement'!BC136/1000</f>
        <v>31</v>
      </c>
      <c r="BR6" s="73">
        <f>'Income Statement'!BD136/1000</f>
        <v>32</v>
      </c>
      <c r="BS6" s="73">
        <f>'Income Statement'!BE136/1000</f>
        <v>33</v>
      </c>
      <c r="BT6" s="73">
        <f>'Income Statement'!BF136/1000</f>
        <v>31.5</v>
      </c>
      <c r="BU6" s="73">
        <f>'Income Statement'!BG136/1000</f>
        <v>33</v>
      </c>
      <c r="BV6" s="73">
        <f>'Income Statement'!BH136/1000</f>
        <v>34</v>
      </c>
      <c r="BW6" s="73">
        <f>'Income Statement'!BI136/1000</f>
        <v>35</v>
      </c>
      <c r="BX6" s="73">
        <f>'Income Statement'!BJ136/1000</f>
        <v>36</v>
      </c>
      <c r="BY6" s="73">
        <f>'Income Statement'!BK136/1000</f>
        <v>34.5</v>
      </c>
      <c r="BZ6" s="73">
        <f>'Income Statement'!BL136/1000</f>
        <v>36</v>
      </c>
      <c r="CA6" s="73">
        <f>'Income Statement'!BM136/1000</f>
        <v>37</v>
      </c>
      <c r="CB6" s="73">
        <f>'Income Statement'!BN136/1000</f>
        <v>36</v>
      </c>
      <c r="CC6" s="73">
        <f>'Income Statement'!BO136/1000</f>
        <v>34</v>
      </c>
      <c r="CD6" s="73">
        <f>'Income Statement'!BP136/1000</f>
        <v>35.75</v>
      </c>
      <c r="CE6" s="73">
        <f>'Income Statement'!BQ136/1000</f>
        <v>35</v>
      </c>
      <c r="CF6" s="73">
        <f>'Income Statement'!BR136/1000</f>
        <v>37</v>
      </c>
      <c r="CG6" s="73">
        <f>'Income Statement'!BS136/1000</f>
        <v>37</v>
      </c>
      <c r="CH6" s="73">
        <f>'Income Statement'!BT136/1000</f>
        <v>37</v>
      </c>
      <c r="CI6" s="73">
        <f>'Income Statement'!BU136/1000</f>
        <v>36.5</v>
      </c>
      <c r="CJ6" s="73">
        <f>'Income Statement'!BV136/1000</f>
        <v>36</v>
      </c>
      <c r="CK6" s="73">
        <f>'Income Statement'!BW136/1000</f>
        <v>39</v>
      </c>
      <c r="CL6" s="73">
        <f>'Income Statement'!BX136/1000</f>
        <v>40</v>
      </c>
      <c r="CM6" s="73">
        <f>'Income Statement'!BY136/1000</f>
        <v>40</v>
      </c>
      <c r="CN6" s="73">
        <f>'Income Statement'!BZ136/1000</f>
        <v>38.75</v>
      </c>
      <c r="CO6" s="73">
        <f>'Income Statement'!CA136/1000</f>
        <v>40</v>
      </c>
      <c r="CP6" s="73">
        <f>'Income Statement'!CB136/1000</f>
        <v>42</v>
      </c>
      <c r="CQ6" s="73">
        <f>'Income Statement'!CC136/1000</f>
        <v>42</v>
      </c>
      <c r="CR6" s="73">
        <f>'Income Statement'!CD136/1000</f>
        <v>43</v>
      </c>
      <c r="CS6" s="73">
        <f>'Income Statement'!CE136/1000</f>
        <v>41.75</v>
      </c>
      <c r="CT6" s="73">
        <f>'Income Statement'!CF136/1000</f>
        <v>44</v>
      </c>
      <c r="CU6" s="73">
        <f>'Income Statement'!CG136/1000</f>
        <v>44</v>
      </c>
      <c r="CV6" s="73">
        <f>'Income Statement'!CH136/1000</f>
        <v>41</v>
      </c>
      <c r="CW6" s="73">
        <f>'Income Statement'!CI136/1000</f>
        <v>41</v>
      </c>
      <c r="CX6" s="73">
        <f>'Income Statement'!CJ136/1000</f>
        <v>42.5</v>
      </c>
      <c r="CY6" s="73">
        <f>'Income Statement'!CK136/1000</f>
        <v>40</v>
      </c>
      <c r="CZ6" s="73">
        <f>'Income Statement'!CL136/1000</f>
        <v>36</v>
      </c>
      <c r="DA6" s="73">
        <f>'Income Statement'!CO136/1000</f>
        <v>35.590859765589784</v>
      </c>
      <c r="DB6" s="73">
        <f>'Income Statement'!CP136/1000</f>
        <v>39.374791688700711</v>
      </c>
      <c r="DC6" s="73">
        <f>'Income Statement'!CQ136/1000</f>
        <v>40.5519758975136</v>
      </c>
      <c r="DD6" s="73">
        <f>'Income Statement'!CR136/1000</f>
        <v>41.761340435812357</v>
      </c>
      <c r="DE6" s="73">
        <f>'Income Statement'!CS136/1000</f>
        <v>43.003794818341127</v>
      </c>
      <c r="DF6" s="73">
        <f>'Income Statement'!CT136/1000</f>
        <v>44.280274625380137</v>
      </c>
      <c r="DG6" s="76"/>
      <c r="DH6" s="76"/>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row>
    <row r="7" spans="1:147">
      <c r="A7" s="39" t="s">
        <v>545</v>
      </c>
      <c r="B7" s="72">
        <v>2591</v>
      </c>
      <c r="C7" s="72">
        <v>0</v>
      </c>
      <c r="D7" s="72">
        <v>0</v>
      </c>
      <c r="E7" s="72">
        <v>0</v>
      </c>
      <c r="F7" s="72">
        <v>0</v>
      </c>
      <c r="G7" s="72">
        <v>3059</v>
      </c>
      <c r="H7" s="72">
        <v>0</v>
      </c>
      <c r="I7" s="72">
        <v>0</v>
      </c>
      <c r="J7" s="72">
        <v>0</v>
      </c>
      <c r="K7" s="72">
        <v>0</v>
      </c>
      <c r="L7" s="72">
        <v>4682</v>
      </c>
      <c r="M7" s="72">
        <v>0</v>
      </c>
      <c r="N7" s="72">
        <v>0</v>
      </c>
      <c r="O7" s="72">
        <v>0</v>
      </c>
      <c r="P7" s="72">
        <v>0</v>
      </c>
      <c r="Q7" s="72">
        <v>8364</v>
      </c>
      <c r="R7" s="72">
        <v>0</v>
      </c>
      <c r="S7" s="72">
        <v>0</v>
      </c>
      <c r="T7" s="72">
        <v>0</v>
      </c>
      <c r="U7" s="72">
        <v>0</v>
      </c>
      <c r="V7" s="72">
        <v>12156</v>
      </c>
      <c r="W7" s="72">
        <v>2924.85797197579</v>
      </c>
      <c r="X7" s="72">
        <v>3335.063759223945</v>
      </c>
      <c r="Y7" s="72">
        <v>3664.6394163004729</v>
      </c>
      <c r="Z7" s="72">
        <v>4064.7664372771746</v>
      </c>
      <c r="AA7" s="72">
        <v>13880</v>
      </c>
      <c r="AB7" s="68">
        <v>4106</v>
      </c>
      <c r="AC7" s="68">
        <v>4262</v>
      </c>
      <c r="AD7" s="68">
        <v>4440</v>
      </c>
      <c r="AE7" s="68">
        <v>4829</v>
      </c>
      <c r="AF7" s="72">
        <v>17637</v>
      </c>
      <c r="AG7" s="72">
        <v>4483</v>
      </c>
      <c r="AH7" s="72">
        <v>4555</v>
      </c>
      <c r="AI7" s="72">
        <v>4780</v>
      </c>
      <c r="AJ7" s="72">
        <v>4961</v>
      </c>
      <c r="AK7" s="72">
        <v>18262</v>
      </c>
      <c r="AL7" s="72">
        <v>4892</v>
      </c>
      <c r="AM7" s="72">
        <v>5229</v>
      </c>
      <c r="AN7" s="72">
        <v>5652</v>
      </c>
      <c r="AO7" s="72">
        <v>5196</v>
      </c>
      <c r="AP7" s="72">
        <v>20969</v>
      </c>
      <c r="AQ7" s="72">
        <v>5022</v>
      </c>
      <c r="AR7" s="72">
        <v>5269</v>
      </c>
      <c r="AS7" s="72">
        <v>5517</v>
      </c>
      <c r="AT7" s="72">
        <v>5457</v>
      </c>
      <c r="AU7" s="72">
        <v>21265</v>
      </c>
      <c r="AV7" s="72">
        <v>5513</v>
      </c>
      <c r="AW7" s="72">
        <v>6034</v>
      </c>
      <c r="AX7" s="72">
        <v>5994</v>
      </c>
      <c r="AY7" s="72">
        <v>5919</v>
      </c>
      <c r="AZ7" s="72">
        <v>23460</v>
      </c>
      <c r="BA7" s="72">
        <v>5481</v>
      </c>
      <c r="BB7" s="72">
        <v>5610</v>
      </c>
      <c r="BC7" s="72">
        <v>5831</v>
      </c>
      <c r="BD7" s="72">
        <v>5974</v>
      </c>
      <c r="BE7" s="72">
        <v>22876</v>
      </c>
      <c r="BF7" s="72">
        <v>5616</v>
      </c>
      <c r="BG7" s="72">
        <v>5238</v>
      </c>
      <c r="BH7" s="72">
        <v>5229</v>
      </c>
      <c r="BI7" s="72">
        <v>5259</v>
      </c>
      <c r="BJ7" s="72">
        <v>21342</v>
      </c>
      <c r="BK7" s="72">
        <f>'Income Statement'!AW225</f>
        <v>5266</v>
      </c>
      <c r="BL7" s="72">
        <f>'Income Statement'!AX225</f>
        <v>5667</v>
      </c>
      <c r="BM7" s="72">
        <f>'Income Statement'!AY225</f>
        <v>5970</v>
      </c>
      <c r="BN7" s="72">
        <f>'Income Statement'!AZ225</f>
        <v>5972</v>
      </c>
      <c r="BO7" s="72">
        <f>'Income Statement'!BA225</f>
        <v>22875</v>
      </c>
      <c r="BP7" s="72">
        <f>'Income Statement'!BB225</f>
        <v>5501.3649999999998</v>
      </c>
      <c r="BQ7" s="72">
        <f>'Income Statement'!BC225</f>
        <v>5544.6769999999997</v>
      </c>
      <c r="BR7" s="72">
        <f>'Income Statement'!BD225</f>
        <v>5846.17</v>
      </c>
      <c r="BS7" s="72">
        <f>'Income Statement'!BE225</f>
        <v>6046.6</v>
      </c>
      <c r="BT7" s="72">
        <f>'Income Statement'!BF225</f>
        <v>22938.812000000002</v>
      </c>
      <c r="BU7" s="72">
        <f>'Income Statement'!BG225</f>
        <v>5967.2240000000002</v>
      </c>
      <c r="BV7" s="72">
        <f>'Income Statement'!BH225</f>
        <v>6289.6049999999996</v>
      </c>
      <c r="BW7" s="72">
        <f>'Income Statement'!BI225</f>
        <v>6463.6930000000002</v>
      </c>
      <c r="BX7" s="72">
        <f>'Income Statement'!BJ225</f>
        <v>6412.33</v>
      </c>
      <c r="BY7" s="72">
        <f>'Income Statement'!BK225</f>
        <v>25132.851999999999</v>
      </c>
      <c r="BZ7" s="72">
        <f>'Income Statement'!BL225</f>
        <v>6497.1509999999989</v>
      </c>
      <c r="CA7" s="72">
        <f>'Income Statement'!BM225</f>
        <v>6585.009</v>
      </c>
      <c r="CB7" s="72">
        <f>'Income Statement'!BN225</f>
        <v>6573.991</v>
      </c>
      <c r="CC7" s="72">
        <f>'Income Statement'!BO225</f>
        <v>6352.9440000000013</v>
      </c>
      <c r="CD7" s="72">
        <f>'Income Statement'!BP225</f>
        <v>26009.094999999998</v>
      </c>
      <c r="CE7" s="72">
        <f>'Income Statement'!BQ225</f>
        <v>6247.3630000000003</v>
      </c>
      <c r="CF7" s="72">
        <f>'Income Statement'!BR225</f>
        <v>6726.8360000000002</v>
      </c>
      <c r="CG7" s="72">
        <f>'Income Statement'!BS225</f>
        <v>6825.9939999999997</v>
      </c>
      <c r="CH7" s="72">
        <f>'Income Statement'!BT225</f>
        <v>6953.857</v>
      </c>
      <c r="CI7" s="72">
        <f>'Income Statement'!BU225</f>
        <v>26754.05</v>
      </c>
      <c r="CJ7" s="72">
        <f>'Income Statement'!BV225</f>
        <v>6742.0590000000002</v>
      </c>
      <c r="CK7" s="72">
        <f>'Income Statement'!BW225</f>
        <v>7332.7409999999991</v>
      </c>
      <c r="CL7" s="72">
        <f>'Income Statement'!BX225</f>
        <v>7520.6000000000031</v>
      </c>
      <c r="CM7" s="72">
        <f>'Income Statement'!BY225</f>
        <v>7546.5939999999982</v>
      </c>
      <c r="CN7" s="72">
        <f>'Income Statement'!BZ236</f>
        <v>29141.994000000002</v>
      </c>
      <c r="CO7" s="72">
        <f>'Income Statement'!CA225</f>
        <v>7547.3239999999996</v>
      </c>
      <c r="CP7" s="72">
        <f>'Income Statement'!CB225</f>
        <v>8217.2030000000013</v>
      </c>
      <c r="CQ7" s="72">
        <f>'Income Statement'!CC225</f>
        <v>8103.2769999999991</v>
      </c>
      <c r="CR7" s="72">
        <f>'Income Statement'!CD225</f>
        <v>8454.8470000000016</v>
      </c>
      <c r="CS7" s="72">
        <f>'Income Statement'!CE236</f>
        <v>32322.651000000005</v>
      </c>
      <c r="CT7" s="72">
        <f>'Income Statement'!CF225</f>
        <v>8438.2849999999999</v>
      </c>
      <c r="CU7" s="72">
        <f>'Income Statement'!CG225</f>
        <v>8613.3120000000017</v>
      </c>
      <c r="CV7" s="72">
        <f>'Income Statement'!CH225</f>
        <v>8309.8139999999985</v>
      </c>
      <c r="CW7" s="72">
        <f>'Income Statement'!CI225</f>
        <v>9030.1860000000015</v>
      </c>
      <c r="CX7" s="72">
        <f>'Income Statement'!CJ236</f>
        <v>34391.597000000002</v>
      </c>
      <c r="CY7" s="72">
        <f>'Income Statement'!CK225</f>
        <v>8601.1769999999997</v>
      </c>
      <c r="CZ7" s="72">
        <f>'Income Statement'!CL225</f>
        <v>10493.717000000001</v>
      </c>
      <c r="DA7" s="72">
        <f>'Income Statement'!CO236</f>
        <v>42474.105831966364</v>
      </c>
      <c r="DB7" s="72">
        <f>'Income Statement'!CP236</f>
        <v>47281.52542977938</v>
      </c>
      <c r="DC7" s="72">
        <f>'Income Statement'!CQ236</f>
        <v>49342.820741226758</v>
      </c>
      <c r="DD7" s="72">
        <f>'Income Statement'!CR236</f>
        <v>51491.024704882409</v>
      </c>
      <c r="DE7" s="72">
        <f>'Income Statement'!CS236</f>
        <v>53729.794804044934</v>
      </c>
      <c r="DF7" s="72">
        <f>'Income Statement'!CT236</f>
        <v>56062.943842146051</v>
      </c>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row>
    <row r="8" spans="1:147">
      <c r="A8" s="39" t="s">
        <v>2</v>
      </c>
      <c r="B8" s="72">
        <v>1626</v>
      </c>
      <c r="C8" s="72">
        <v>431</v>
      </c>
      <c r="D8" s="72">
        <v>424</v>
      </c>
      <c r="E8" s="72">
        <v>453</v>
      </c>
      <c r="F8" s="72">
        <v>428</v>
      </c>
      <c r="G8" s="72">
        <v>1735</v>
      </c>
      <c r="H8" s="72">
        <v>572</v>
      </c>
      <c r="I8" s="72">
        <v>636</v>
      </c>
      <c r="J8" s="72">
        <v>712</v>
      </c>
      <c r="K8" s="72">
        <v>634</v>
      </c>
      <c r="L8" s="72">
        <v>2554</v>
      </c>
      <c r="M8" s="72">
        <v>759</v>
      </c>
      <c r="N8" s="72">
        <v>799</v>
      </c>
      <c r="O8" s="72">
        <v>873</v>
      </c>
      <c r="P8" s="72">
        <v>1078</v>
      </c>
      <c r="Q8" s="72">
        <v>3509</v>
      </c>
      <c r="R8" s="72">
        <v>1134</v>
      </c>
      <c r="S8" s="72">
        <v>1490</v>
      </c>
      <c r="T8" s="72">
        <v>1486</v>
      </c>
      <c r="U8" s="72">
        <v>1022</v>
      </c>
      <c r="V8" s="72">
        <v>5132</v>
      </c>
      <c r="W8" s="72">
        <v>1113</v>
      </c>
      <c r="X8" s="72">
        <v>1455</v>
      </c>
      <c r="Y8" s="72">
        <v>1672</v>
      </c>
      <c r="Z8" s="72">
        <v>1965</v>
      </c>
      <c r="AA8" s="72">
        <v>6205</v>
      </c>
      <c r="AB8" s="70">
        <v>2142</v>
      </c>
      <c r="AC8" s="70">
        <v>2288</v>
      </c>
      <c r="AD8" s="70">
        <v>2362</v>
      </c>
      <c r="AE8" s="70">
        <v>2495</v>
      </c>
      <c r="AF8" s="72">
        <v>9287</v>
      </c>
      <c r="AG8" s="72">
        <v>2363</v>
      </c>
      <c r="AH8" s="72">
        <v>2395</v>
      </c>
      <c r="AI8" s="72">
        <v>2270</v>
      </c>
      <c r="AJ8" s="72">
        <v>2320</v>
      </c>
      <c r="AK8" s="72">
        <v>9348</v>
      </c>
      <c r="AL8" s="72">
        <v>2391</v>
      </c>
      <c r="AM8" s="72">
        <v>2546</v>
      </c>
      <c r="AN8" s="72">
        <v>2505</v>
      </c>
      <c r="AO8" s="72">
        <v>2303</v>
      </c>
      <c r="AP8" s="72">
        <v>9745</v>
      </c>
      <c r="AQ8" s="72">
        <v>2025</v>
      </c>
      <c r="AR8" s="72">
        <v>2139</v>
      </c>
      <c r="AS8" s="72">
        <v>2255</v>
      </c>
      <c r="AT8" s="72">
        <v>2240</v>
      </c>
      <c r="AU8" s="72">
        <v>8659</v>
      </c>
      <c r="AV8" s="72">
        <v>2201</v>
      </c>
      <c r="AW8" s="72">
        <v>2061</v>
      </c>
      <c r="AX8" s="72">
        <v>2061</v>
      </c>
      <c r="AY8" s="72">
        <v>2300</v>
      </c>
      <c r="AZ8" s="72">
        <v>8623</v>
      </c>
      <c r="BA8" s="72">
        <v>1877</v>
      </c>
      <c r="BB8" s="72">
        <v>2000</v>
      </c>
      <c r="BC8" s="72">
        <v>2196</v>
      </c>
      <c r="BD8" s="72">
        <v>2320</v>
      </c>
      <c r="BE8" s="72">
        <v>8393</v>
      </c>
      <c r="BF8" s="72">
        <v>2192</v>
      </c>
      <c r="BG8" s="72">
        <v>2064</v>
      </c>
      <c r="BH8" s="72">
        <v>1980</v>
      </c>
      <c r="BI8" s="72">
        <v>1822</v>
      </c>
      <c r="BJ8" s="72">
        <v>8058</v>
      </c>
      <c r="BK8" s="72">
        <f>'Income Statement'!AW428</f>
        <v>1848</v>
      </c>
      <c r="BL8" s="72">
        <f>'Income Statement'!AX428</f>
        <v>2073</v>
      </c>
      <c r="BM8" s="72">
        <f>'Income Statement'!AY428</f>
        <v>2281</v>
      </c>
      <c r="BN8" s="72">
        <f>'Income Statement'!AZ428</f>
        <v>2119</v>
      </c>
      <c r="BO8" s="72">
        <f>'Income Statement'!BA428</f>
        <v>8321</v>
      </c>
      <c r="BP8" s="72">
        <f>'Income Statement'!BB428</f>
        <v>1986</v>
      </c>
      <c r="BQ8" s="72">
        <f>'Income Statement'!BC428</f>
        <v>2000</v>
      </c>
      <c r="BR8" s="72">
        <f>'Income Statement'!BD428</f>
        <v>2176</v>
      </c>
      <c r="BS8" s="72">
        <f>'Income Statement'!BE428</f>
        <v>2351</v>
      </c>
      <c r="BT8" s="72">
        <f>'Income Statement'!BF428</f>
        <v>8513</v>
      </c>
      <c r="BU8" s="72">
        <f>'Income Statement'!BG428</f>
        <v>2279</v>
      </c>
      <c r="BV8" s="72">
        <f>'Income Statement'!BH428</f>
        <v>2471</v>
      </c>
      <c r="BW8" s="72">
        <f>'Income Statement'!BI428</f>
        <v>2608</v>
      </c>
      <c r="BX8" s="72">
        <f>'Income Statement'!BJ428</f>
        <v>2608</v>
      </c>
      <c r="BY8" s="72">
        <f>'Income Statement'!BK428</f>
        <v>9966</v>
      </c>
      <c r="BZ8" s="72">
        <f>'Income Statement'!BL428</f>
        <v>3184</v>
      </c>
      <c r="CA8" s="72">
        <f>'Income Statement'!BM428</f>
        <v>3306</v>
      </c>
      <c r="CB8" s="72">
        <f>'Income Statement'!BN428</f>
        <v>3405</v>
      </c>
      <c r="CC8" s="72">
        <f>'Income Statement'!BO428</f>
        <v>3165</v>
      </c>
      <c r="CD8" s="72">
        <f>'Income Statement'!BP428</f>
        <v>13060</v>
      </c>
      <c r="CE8" s="72">
        <f>'Income Statement'!BQ428</f>
        <v>3119</v>
      </c>
      <c r="CF8" s="72">
        <f>'Income Statement'!BR428</f>
        <v>3369</v>
      </c>
      <c r="CG8" s="72">
        <f>'Income Statement'!BS428</f>
        <v>3418</v>
      </c>
      <c r="CH8" s="72">
        <f>'Income Statement'!BT428</f>
        <v>3381</v>
      </c>
      <c r="CI8" s="72">
        <f>'Income Statement'!BU428</f>
        <v>13287</v>
      </c>
      <c r="CJ8" s="72">
        <f>'Income Statement'!BV428</f>
        <v>3174</v>
      </c>
      <c r="CK8" s="72">
        <f>'Income Statement'!BW428</f>
        <v>3560</v>
      </c>
      <c r="CL8" s="72">
        <f>'Income Statement'!BX428</f>
        <v>3643</v>
      </c>
      <c r="CM8" s="72">
        <f>'Income Statement'!BY428</f>
        <v>3858</v>
      </c>
      <c r="CN8" s="72">
        <f>'Income Statement'!BZ428</f>
        <v>14235</v>
      </c>
      <c r="CO8" s="72">
        <f>'Income Statement'!CA428</f>
        <v>3583</v>
      </c>
      <c r="CP8" s="72">
        <f>'Income Statement'!CB428</f>
        <v>4069</v>
      </c>
      <c r="CQ8" s="72">
        <f>'Income Statement'!CC428</f>
        <v>4103</v>
      </c>
      <c r="CR8" s="72">
        <f>'Income Statement'!CD428</f>
        <v>4130</v>
      </c>
      <c r="CS8" s="72">
        <f>'Income Statement'!CE428</f>
        <v>15885</v>
      </c>
      <c r="CT8" s="72">
        <f>'Income Statement'!CF428</f>
        <v>4454</v>
      </c>
      <c r="CU8" s="72">
        <f>'Income Statement'!CG428</f>
        <v>4503</v>
      </c>
      <c r="CV8" s="72">
        <f>'Income Statement'!CH428</f>
        <v>4339</v>
      </c>
      <c r="CW8" s="72">
        <f>'Income Statement'!CI428</f>
        <v>4583</v>
      </c>
      <c r="CX8" s="72">
        <f>'Income Statement'!CJ428</f>
        <v>17879</v>
      </c>
      <c r="CY8" s="72">
        <f>'Income Statement'!CK428</f>
        <v>4321</v>
      </c>
      <c r="CZ8" s="72">
        <f>'Income Statement'!CL428</f>
        <v>4487</v>
      </c>
      <c r="DA8" s="72">
        <f>'Income Statement'!CO428</f>
        <v>18547.777952688124</v>
      </c>
      <c r="DB8" s="72">
        <f>'Income Statement'!CP428</f>
        <v>22026.102884302556</v>
      </c>
      <c r="DC8" s="72">
        <f>'Income Statement'!CQ428</f>
        <v>24266.810115801967</v>
      </c>
      <c r="DD8" s="72">
        <f>'Income Statement'!CR428</f>
        <v>26620.859772424206</v>
      </c>
      <c r="DE8" s="72">
        <f>'Income Statement'!CS428</f>
        <v>27939.493298103363</v>
      </c>
      <c r="DF8" s="72">
        <f>'Income Statement'!CT428</f>
        <v>29320.919629442382</v>
      </c>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row>
    <row r="9" spans="1:147">
      <c r="A9" s="39" t="s">
        <v>91</v>
      </c>
      <c r="B9" s="72">
        <v>-962.4</v>
      </c>
      <c r="C9" s="72">
        <v>-257</v>
      </c>
      <c r="D9" s="72">
        <v>-279</v>
      </c>
      <c r="E9" s="72">
        <v>-298</v>
      </c>
      <c r="F9" s="72">
        <v>-332</v>
      </c>
      <c r="G9" s="72">
        <v>-1165</v>
      </c>
      <c r="H9" s="72">
        <v>-338</v>
      </c>
      <c r="I9" s="72">
        <v>-369</v>
      </c>
      <c r="J9" s="72">
        <v>-416</v>
      </c>
      <c r="K9" s="72">
        <v>-457</v>
      </c>
      <c r="L9" s="72">
        <v>-1580</v>
      </c>
      <c r="M9" s="72">
        <v>0</v>
      </c>
      <c r="N9" s="72">
        <v>0</v>
      </c>
      <c r="O9" s="72">
        <v>0</v>
      </c>
      <c r="P9" s="72">
        <v>0</v>
      </c>
      <c r="Q9" s="72">
        <v>-1749</v>
      </c>
      <c r="R9" s="72">
        <v>-637</v>
      </c>
      <c r="S9" s="72">
        <v>-687</v>
      </c>
      <c r="T9" s="72">
        <v>-735</v>
      </c>
      <c r="U9" s="72">
        <v>-1320</v>
      </c>
      <c r="V9" s="72">
        <v>-3379</v>
      </c>
      <c r="W9" s="72">
        <v>-888</v>
      </c>
      <c r="X9" s="72">
        <v>-931</v>
      </c>
      <c r="Y9" s="72">
        <v>-927</v>
      </c>
      <c r="Z9" s="72">
        <v>-995</v>
      </c>
      <c r="AA9" s="72">
        <v>-3741</v>
      </c>
      <c r="AB9" s="70">
        <v>-973</v>
      </c>
      <c r="AC9" s="70">
        <v>-977</v>
      </c>
      <c r="AD9" s="70">
        <v>-1003</v>
      </c>
      <c r="AE9" s="70">
        <v>-1169</v>
      </c>
      <c r="AF9" s="72">
        <v>-4122</v>
      </c>
      <c r="AG9" s="72">
        <v>-1187</v>
      </c>
      <c r="AH9" s="72">
        <v>-1165</v>
      </c>
      <c r="AI9" s="72">
        <v>-1170</v>
      </c>
      <c r="AJ9" s="72">
        <v>-1161</v>
      </c>
      <c r="AK9" s="72">
        <v>-4683</v>
      </c>
      <c r="AL9" s="72">
        <v>-1213</v>
      </c>
      <c r="AM9" s="72">
        <v>-1257</v>
      </c>
      <c r="AN9" s="72">
        <v>-1288</v>
      </c>
      <c r="AO9" s="72">
        <v>-1308</v>
      </c>
      <c r="AP9" s="72">
        <v>-5066</v>
      </c>
      <c r="AQ9" s="72">
        <v>-1326</v>
      </c>
      <c r="AR9" s="72">
        <v>-1386</v>
      </c>
      <c r="AS9" s="72">
        <v>-1573</v>
      </c>
      <c r="AT9" s="72">
        <v>-1474</v>
      </c>
      <c r="AU9" s="72">
        <v>-5759</v>
      </c>
      <c r="AV9" s="72">
        <v>-1557</v>
      </c>
      <c r="AW9" s="72">
        <v>-1710</v>
      </c>
      <c r="AX9" s="72">
        <v>-1907</v>
      </c>
      <c r="AY9" s="72">
        <v>-1784</v>
      </c>
      <c r="AZ9" s="72">
        <v>-6958</v>
      </c>
      <c r="BA9" s="72">
        <v>-1791</v>
      </c>
      <c r="BB9" s="72">
        <v>-1782</v>
      </c>
      <c r="BC9" s="72">
        <v>-1681</v>
      </c>
      <c r="BD9" s="72">
        <v>-1881</v>
      </c>
      <c r="BE9" s="72">
        <v>-7135</v>
      </c>
      <c r="BF9" s="72">
        <v>-1871</v>
      </c>
      <c r="BG9" s="72">
        <v>-2090</v>
      </c>
      <c r="BH9" s="72">
        <v>-1800</v>
      </c>
      <c r="BI9" s="72">
        <v>-2285</v>
      </c>
      <c r="BJ9" s="72">
        <v>-8046</v>
      </c>
      <c r="BK9" s="72">
        <f>-'Income Statement'!AW437</f>
        <v>-1679</v>
      </c>
      <c r="BL9" s="72">
        <f>-'Income Statement'!AX437</f>
        <v>-1702</v>
      </c>
      <c r="BM9" s="72">
        <f>-'Income Statement'!AY437</f>
        <v>-1705</v>
      </c>
      <c r="BN9" s="72">
        <f>-'Income Statement'!AZ437</f>
        <v>-1865</v>
      </c>
      <c r="BO9" s="72">
        <f>-'Income Statement'!BA437</f>
        <v>-6951</v>
      </c>
      <c r="BP9" s="72">
        <f>-'Income Statement'!BB437</f>
        <v>-1848</v>
      </c>
      <c r="BQ9" s="72">
        <f>-'Income Statement'!BC437</f>
        <v>-1854</v>
      </c>
      <c r="BR9" s="72">
        <f>-'Income Statement'!BD437</f>
        <v>-1924</v>
      </c>
      <c r="BS9" s="72">
        <f>-'Income Statement'!BE437</f>
        <v>-5995</v>
      </c>
      <c r="BT9" s="72">
        <f>-'Income Statement'!BF437</f>
        <v>-11621</v>
      </c>
      <c r="BU9" s="72">
        <f>-'Income Statement'!BG437</f>
        <v>-1676</v>
      </c>
      <c r="BV9" s="72">
        <f>-'Income Statement'!BH437</f>
        <v>-1666</v>
      </c>
      <c r="BW9" s="72">
        <f>-'Income Statement'!BI437</f>
        <v>-1782</v>
      </c>
      <c r="BX9" s="72">
        <f>-'Income Statement'!BJ437</f>
        <v>-1859</v>
      </c>
      <c r="BY9" s="72">
        <f>-'Income Statement'!BK437</f>
        <v>-6983</v>
      </c>
      <c r="BZ9" s="72">
        <f>-'Income Statement'!BL437</f>
        <v>-2508.0409999999997</v>
      </c>
      <c r="CA9" s="72">
        <f>-'Income Statement'!BM437</f>
        <v>-2401.6529999999998</v>
      </c>
      <c r="CB9" s="72">
        <f>-'Income Statement'!BN437</f>
        <v>-2246.605</v>
      </c>
      <c r="CC9" s="72">
        <f>-'Income Statement'!BO437</f>
        <v>-4918.389000000001</v>
      </c>
      <c r="CD9" s="72">
        <f>-'Income Statement'!BP437</f>
        <v>-12074.688</v>
      </c>
      <c r="CE9" s="72">
        <f>-'Income Statement'!BQ437</f>
        <v>-2419.9369999999999</v>
      </c>
      <c r="CF9" s="72">
        <f>-'Income Statement'!BR437</f>
        <v>-2499.5870000000004</v>
      </c>
      <c r="CG9" s="72">
        <f>-'Income Statement'!BS437</f>
        <v>-2500.0769999999993</v>
      </c>
      <c r="CH9" s="72">
        <f>-'Income Statement'!BT437</f>
        <v>-2536.6260000000011</v>
      </c>
      <c r="CI9" s="72">
        <f>-'Income Statement'!BU437</f>
        <v>-9956.2270000000008</v>
      </c>
      <c r="CJ9" s="72">
        <f>-'Income Statement'!BV437</f>
        <v>-2560.8670000000002</v>
      </c>
      <c r="CK9" s="72">
        <f>-'Income Statement'!BW437</f>
        <v>-2535.7119999999995</v>
      </c>
      <c r="CL9" s="72">
        <f>-'Income Statement'!BX437</f>
        <v>-2580.4620000000004</v>
      </c>
      <c r="CM9" s="72">
        <f>-'Income Statement'!BY437</f>
        <v>-2887.2550000000001</v>
      </c>
      <c r="CN9" s="72">
        <f>-'Income Statement'!BZ437</f>
        <v>-10564.296</v>
      </c>
      <c r="CO9" s="72">
        <f>-'Income Statement'!CA437</f>
        <v>-2737.9949999999999</v>
      </c>
      <c r="CP9" s="72">
        <f>-'Income Statement'!CB437</f>
        <v>-2830.1390000000001</v>
      </c>
      <c r="CQ9" s="72">
        <f>-'Income Statement'!CC437</f>
        <v>-2956.7470000000012</v>
      </c>
      <c r="CR9" s="72">
        <f>-'Income Statement'!CD437</f>
        <v>-2822.8769999999986</v>
      </c>
      <c r="CS9" s="72">
        <f>-'Income Statement'!CE437</f>
        <v>-11347.758</v>
      </c>
      <c r="CT9" s="72">
        <f>-'Income Statement'!CF437</f>
        <v>-3007.2190000000001</v>
      </c>
      <c r="CU9" s="72">
        <f>-'Income Statement'!CG437</f>
        <v>-3166.6189999999997</v>
      </c>
      <c r="CV9" s="72">
        <f>-'Income Statement'!CH437</f>
        <v>-2900.0280000000002</v>
      </c>
      <c r="CW9" s="72">
        <f>-'Income Statement'!CI437</f>
        <v>-3000.4689999999991</v>
      </c>
      <c r="CX9" s="72">
        <f>-'Income Statement'!CJ437</f>
        <v>-12074.334999999999</v>
      </c>
      <c r="CY9" s="72">
        <f>-'Income Statement'!CK437</f>
        <v>-2871.3240000000001</v>
      </c>
      <c r="CZ9" s="72">
        <f>-'Income Statement'!CL437</f>
        <v>-4641.3360000000011</v>
      </c>
      <c r="DA9" s="72">
        <f>-'Income Statement'!CO437</f>
        <v>-11235.320870599999</v>
      </c>
      <c r="DB9" s="72">
        <f>-'Income Statement'!CP437</f>
        <v>-12974.248357061337</v>
      </c>
      <c r="DC9" s="72">
        <f>-'Income Statement'!CQ437</f>
        <v>-12485.508932184464</v>
      </c>
      <c r="DD9" s="72">
        <f>-'Income Statement'!CR437</f>
        <v>-12082.040782644366</v>
      </c>
      <c r="DE9" s="72">
        <f>-'Income Statement'!CS437</f>
        <v>-11840.944919666748</v>
      </c>
      <c r="DF9" s="72">
        <f>-'Income Statement'!CT437</f>
        <v>-11734.98419761146</v>
      </c>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row>
    <row r="10" spans="1:147">
      <c r="A10" s="39" t="s">
        <v>77</v>
      </c>
      <c r="B10" s="72">
        <v>663.6</v>
      </c>
      <c r="C10" s="72">
        <v>174</v>
      </c>
      <c r="D10" s="72">
        <v>145</v>
      </c>
      <c r="E10" s="72">
        <v>155</v>
      </c>
      <c r="F10" s="72">
        <v>96</v>
      </c>
      <c r="G10" s="72">
        <v>570</v>
      </c>
      <c r="H10" s="72">
        <v>234</v>
      </c>
      <c r="I10" s="72">
        <v>267</v>
      </c>
      <c r="J10" s="72">
        <v>296</v>
      </c>
      <c r="K10" s="72">
        <v>177</v>
      </c>
      <c r="L10" s="72">
        <v>974</v>
      </c>
      <c r="M10" s="72">
        <v>759</v>
      </c>
      <c r="N10" s="72">
        <v>799</v>
      </c>
      <c r="O10" s="72">
        <v>873</v>
      </c>
      <c r="P10" s="72">
        <v>1078</v>
      </c>
      <c r="Q10" s="72">
        <v>1760</v>
      </c>
      <c r="R10" s="72">
        <v>497</v>
      </c>
      <c r="S10" s="72">
        <v>803</v>
      </c>
      <c r="T10" s="72">
        <v>751</v>
      </c>
      <c r="U10" s="72">
        <v>-298</v>
      </c>
      <c r="V10" s="72">
        <v>1753</v>
      </c>
      <c r="W10" s="72">
        <v>225</v>
      </c>
      <c r="X10" s="72">
        <v>524</v>
      </c>
      <c r="Y10" s="72">
        <v>745</v>
      </c>
      <c r="Z10" s="72">
        <v>970</v>
      </c>
      <c r="AA10" s="72">
        <v>2464</v>
      </c>
      <c r="AB10" s="70">
        <v>1169</v>
      </c>
      <c r="AC10" s="70">
        <v>1311</v>
      </c>
      <c r="AD10" s="70">
        <v>1359</v>
      </c>
      <c r="AE10" s="70">
        <v>1326</v>
      </c>
      <c r="AF10" s="72">
        <v>5165</v>
      </c>
      <c r="AG10" s="72">
        <v>1176</v>
      </c>
      <c r="AH10" s="72">
        <v>1230</v>
      </c>
      <c r="AI10" s="72">
        <v>1100</v>
      </c>
      <c r="AJ10" s="72">
        <v>1159</v>
      </c>
      <c r="AK10" s="72">
        <v>4665</v>
      </c>
      <c r="AL10" s="72">
        <v>1178</v>
      </c>
      <c r="AM10" s="72">
        <v>1289</v>
      </c>
      <c r="AN10" s="72">
        <v>1217</v>
      </c>
      <c r="AO10" s="72">
        <v>995</v>
      </c>
      <c r="AP10" s="72">
        <v>4679</v>
      </c>
      <c r="AQ10" s="72">
        <v>699</v>
      </c>
      <c r="AR10" s="72">
        <v>753</v>
      </c>
      <c r="AS10" s="72">
        <v>682</v>
      </c>
      <c r="AT10" s="72">
        <v>766</v>
      </c>
      <c r="AU10" s="72">
        <v>2900</v>
      </c>
      <c r="AV10" s="72">
        <v>644</v>
      </c>
      <c r="AW10" s="72">
        <v>351</v>
      </c>
      <c r="AX10" s="72">
        <v>154</v>
      </c>
      <c r="AY10" s="72">
        <v>516</v>
      </c>
      <c r="AZ10" s="72">
        <v>1665</v>
      </c>
      <c r="BA10" s="72">
        <v>86</v>
      </c>
      <c r="BB10" s="72">
        <v>218</v>
      </c>
      <c r="BC10" s="72">
        <v>515</v>
      </c>
      <c r="BD10" s="72">
        <v>439</v>
      </c>
      <c r="BE10" s="72">
        <v>1258</v>
      </c>
      <c r="BF10" s="72">
        <v>321</v>
      </c>
      <c r="BG10" s="72">
        <v>-26</v>
      </c>
      <c r="BH10" s="72">
        <v>180</v>
      </c>
      <c r="BI10" s="72">
        <v>-463</v>
      </c>
      <c r="BJ10" s="72">
        <v>12</v>
      </c>
      <c r="BK10" s="72">
        <f>'Income Statement'!AW464</f>
        <v>169</v>
      </c>
      <c r="BL10" s="72">
        <f>'Income Statement'!AX464</f>
        <v>371</v>
      </c>
      <c r="BM10" s="72">
        <f>'Income Statement'!AY464</f>
        <v>576</v>
      </c>
      <c r="BN10" s="72">
        <f>'Income Statement'!AZ464</f>
        <v>254</v>
      </c>
      <c r="BO10" s="72">
        <f>'Income Statement'!BA464</f>
        <v>1370</v>
      </c>
      <c r="BP10" s="72">
        <f>'Income Statement'!BB464</f>
        <v>138</v>
      </c>
      <c r="BQ10" s="72">
        <f>'Income Statement'!BC464</f>
        <v>146</v>
      </c>
      <c r="BR10" s="72">
        <f>'Income Statement'!BD464</f>
        <v>252</v>
      </c>
      <c r="BS10" s="72">
        <f>'Income Statement'!BE464</f>
        <v>-3644</v>
      </c>
      <c r="BT10" s="72">
        <f>'Income Statement'!BF464</f>
        <v>-3108</v>
      </c>
      <c r="BU10" s="72">
        <f>'Income Statement'!BG464</f>
        <v>669.4</v>
      </c>
      <c r="BV10" s="72">
        <f>'Income Statement'!BH464</f>
        <v>548.6</v>
      </c>
      <c r="BW10" s="72">
        <f>'Income Statement'!BI464</f>
        <v>730.99999999999989</v>
      </c>
      <c r="BX10" s="72">
        <f>'Income Statement'!BJ464</f>
        <v>654.00000000000011</v>
      </c>
      <c r="BY10" s="72">
        <f>'Income Statement'!BK464</f>
        <v>2603</v>
      </c>
      <c r="BZ10" s="72">
        <f>'Income Statement'!BL464</f>
        <v>2172.7710000000002</v>
      </c>
      <c r="CA10" s="72">
        <f>'Income Statement'!BM464</f>
        <v>982.85</v>
      </c>
      <c r="CB10" s="72">
        <f>'Income Statement'!BN464</f>
        <v>1135.4669999999996</v>
      </c>
      <c r="CC10" s="72">
        <f>'Income Statement'!BO464</f>
        <v>-1659.0029999999997</v>
      </c>
      <c r="CD10" s="72">
        <f>'Income Statement'!BP464</f>
        <v>605.3119999999999</v>
      </c>
      <c r="CE10" s="72">
        <f>'Income Statement'!BQ464</f>
        <v>699.0630000000001</v>
      </c>
      <c r="CF10" s="72">
        <f>'Income Statement'!BR464</f>
        <v>869.41299999999956</v>
      </c>
      <c r="CG10" s="72">
        <f>'Income Statement'!BS464</f>
        <v>917.92300000000068</v>
      </c>
      <c r="CH10" s="72">
        <f>'Income Statement'!BT464</f>
        <v>844.37399999999889</v>
      </c>
      <c r="CI10" s="72">
        <f>'Income Statement'!BU464</f>
        <v>3330.7729999999992</v>
      </c>
      <c r="CJ10" s="72">
        <f>'Income Statement'!BV464</f>
        <v>613.13299999999981</v>
      </c>
      <c r="CK10" s="72">
        <f>'Income Statement'!BW464</f>
        <v>1024.2880000000005</v>
      </c>
      <c r="CL10" s="72">
        <f>'Income Statement'!BX464</f>
        <v>1062.5379999999996</v>
      </c>
      <c r="CM10" s="72">
        <f>'Income Statement'!BY464</f>
        <v>970.74499999999989</v>
      </c>
      <c r="CN10" s="72">
        <f>'Income Statement'!BZ464</f>
        <v>3670.7039999999997</v>
      </c>
      <c r="CO10" s="72">
        <f>'Income Statement'!CA464</f>
        <v>845.00500000000011</v>
      </c>
      <c r="CP10" s="72">
        <f>'Income Statement'!CB464</f>
        <v>1238.8609999999999</v>
      </c>
      <c r="CQ10" s="72">
        <f>'Income Statement'!CC464</f>
        <v>1146.2529999999988</v>
      </c>
      <c r="CR10" s="72">
        <f>'Income Statement'!CD464</f>
        <v>1307.1230000000014</v>
      </c>
      <c r="CS10" s="72">
        <f>'Income Statement'!CE464</f>
        <v>4537.2420000000002</v>
      </c>
      <c r="CT10" s="72">
        <f>'Income Statement'!CF464</f>
        <v>1446.7809999999999</v>
      </c>
      <c r="CU10" s="72">
        <f>'Income Statement'!CG464</f>
        <v>1336.3810000000003</v>
      </c>
      <c r="CV10" s="72">
        <f>'Income Statement'!CH464</f>
        <v>1438.9719999999998</v>
      </c>
      <c r="CW10" s="72">
        <f>'Income Statement'!CI464</f>
        <v>1582.5310000000009</v>
      </c>
      <c r="CX10" s="72">
        <f>'Income Statement'!CJ464</f>
        <v>-13561.718000000001</v>
      </c>
      <c r="CY10" s="72">
        <f>'Income Statement'!CK464</f>
        <v>1449.6759999999999</v>
      </c>
      <c r="CZ10" s="72">
        <f>'Income Statement'!CL464</f>
        <v>-154.33600000000115</v>
      </c>
      <c r="DA10" s="72">
        <f>'Income Statement'!CO464</f>
        <v>-19446.602979278239</v>
      </c>
      <c r="DB10" s="72">
        <f>'Income Statement'!CP464</f>
        <v>-21245.716906476824</v>
      </c>
      <c r="DC10" s="72">
        <f>'Income Statement'!CQ464</f>
        <v>-21286.024440034791</v>
      </c>
      <c r="DD10" s="72">
        <f>'Income Statement'!CR464</f>
        <v>-21799.595395214303</v>
      </c>
      <c r="DE10" s="72">
        <f>'Income Statement'!CS464</f>
        <v>-22688.842783325228</v>
      </c>
      <c r="DF10" s="72">
        <f>'Income Statement'!CT464</f>
        <v>-23609.367412861164</v>
      </c>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row>
    <row r="11" spans="1:147">
      <c r="A11" s="39" t="s">
        <v>111</v>
      </c>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v>1709.5000000000002</v>
      </c>
      <c r="AB11" s="72">
        <v>599</v>
      </c>
      <c r="AC11" s="72">
        <v>722</v>
      </c>
      <c r="AD11" s="72">
        <v>761</v>
      </c>
      <c r="AE11" s="72">
        <v>810</v>
      </c>
      <c r="AF11" s="72">
        <v>2892</v>
      </c>
      <c r="AG11" s="72">
        <v>756</v>
      </c>
      <c r="AH11" s="72">
        <v>767</v>
      </c>
      <c r="AI11" s="72">
        <v>661</v>
      </c>
      <c r="AJ11" s="72">
        <v>761</v>
      </c>
      <c r="AK11" s="72">
        <v>2830</v>
      </c>
      <c r="AL11" s="72">
        <v>667</v>
      </c>
      <c r="AM11" s="72">
        <v>794</v>
      </c>
      <c r="AN11" s="72">
        <v>736</v>
      </c>
      <c r="AO11" s="72">
        <v>520</v>
      </c>
      <c r="AP11" s="72">
        <v>2717</v>
      </c>
      <c r="AQ11" s="72">
        <v>316</v>
      </c>
      <c r="AR11" s="72">
        <v>354</v>
      </c>
      <c r="AS11" s="72">
        <v>246</v>
      </c>
      <c r="AT11" s="72">
        <v>116</v>
      </c>
      <c r="AU11" s="72">
        <v>1032</v>
      </c>
      <c r="AV11" s="72">
        <v>380</v>
      </c>
      <c r="AW11" s="72">
        <v>-863</v>
      </c>
      <c r="AX11" s="72">
        <v>-419</v>
      </c>
      <c r="AY11" s="72">
        <v>11</v>
      </c>
      <c r="AZ11" s="72">
        <v>-891</v>
      </c>
      <c r="BA11" s="72">
        <v>-34</v>
      </c>
      <c r="BB11" s="72">
        <v>118</v>
      </c>
      <c r="BC11" s="72">
        <v>345</v>
      </c>
      <c r="BD11" s="72">
        <v>481</v>
      </c>
      <c r="BE11" s="72">
        <v>-25</v>
      </c>
      <c r="BF11" s="72">
        <v>171</v>
      </c>
      <c r="BG11" s="72">
        <v>-187</v>
      </c>
      <c r="BH11" s="72">
        <v>-234</v>
      </c>
      <c r="BI11" s="72">
        <v>41</v>
      </c>
      <c r="BJ11" s="72">
        <v>-209</v>
      </c>
      <c r="BK11" s="72">
        <f>'Income Statement'!AW277</f>
        <v>46</v>
      </c>
      <c r="BL11" s="72">
        <f>'Income Statement'!AX277</f>
        <v>97</v>
      </c>
      <c r="BM11" s="72">
        <f>'Income Statement'!AY277</f>
        <v>95</v>
      </c>
      <c r="BN11" s="72">
        <f>'Income Statement'!AZ277</f>
        <v>137</v>
      </c>
      <c r="BO11" s="72">
        <f>'Income Statement'!BA277</f>
        <v>375</v>
      </c>
      <c r="BP11" s="72">
        <f>'Income Statement'!BB277</f>
        <v>15</v>
      </c>
      <c r="BQ11" s="72">
        <f>'Income Statement'!BC277</f>
        <v>-97</v>
      </c>
      <c r="BR11" s="72">
        <f>'Income Statement'!BD277</f>
        <v>-64</v>
      </c>
      <c r="BS11" s="72">
        <f>'Income Statement'!BE277</f>
        <v>-3152</v>
      </c>
      <c r="BT11" s="72">
        <f>'Income Statement'!BF277</f>
        <v>-3298</v>
      </c>
      <c r="BU11" s="72">
        <f>'Income Statement'!BG277</f>
        <v>57</v>
      </c>
      <c r="BV11" s="72">
        <f>'Income Statement'!BH277</f>
        <v>225</v>
      </c>
      <c r="BW11" s="72">
        <f>'Income Statement'!BI277</f>
        <v>216</v>
      </c>
      <c r="BX11" s="72">
        <f>'Income Statement'!BJ277</f>
        <v>214</v>
      </c>
      <c r="BY11" s="72">
        <f>'Income Statement'!BK277</f>
        <v>712</v>
      </c>
      <c r="BZ11" s="72">
        <f>'Income Statement'!BL277</f>
        <v>58</v>
      </c>
      <c r="CA11" s="72">
        <f>'Income Statement'!BM277</f>
        <v>124</v>
      </c>
      <c r="CB11" s="72">
        <f>'Income Statement'!BN277</f>
        <v>58</v>
      </c>
      <c r="CC11" s="72">
        <f>'Income Statement'!BO277</f>
        <v>124</v>
      </c>
      <c r="CD11" s="72">
        <f>'Income Statement'!BP277</f>
        <v>364</v>
      </c>
      <c r="CE11" s="72">
        <f>'Income Statement'!BQ277</f>
        <v>230</v>
      </c>
      <c r="CF11" s="72">
        <f>'Income Statement'!BR277</f>
        <v>333</v>
      </c>
      <c r="CG11" s="72">
        <f>'Income Statement'!BS277</f>
        <v>272</v>
      </c>
      <c r="CH11" s="72">
        <f>'Income Statement'!BT277</f>
        <v>269</v>
      </c>
      <c r="CI11" s="72">
        <f>'Income Statement'!BU277</f>
        <v>1104</v>
      </c>
      <c r="CJ11" s="72">
        <f>'Income Statement'!BV277</f>
        <v>171</v>
      </c>
      <c r="CK11" s="72">
        <f>'Income Statement'!BW277</f>
        <v>446</v>
      </c>
      <c r="CL11" s="72">
        <f>'Income Statement'!BX277</f>
        <v>371.7600000000001</v>
      </c>
      <c r="CM11" s="72">
        <f>'Income Statement'!BY277</f>
        <v>132.41600000000003</v>
      </c>
      <c r="CN11" s="72">
        <f>'Income Statement'!BZ277</f>
        <v>1121.1760000000002</v>
      </c>
      <c r="CO11" s="72">
        <f>'Income Statement'!CA277</f>
        <v>204.17500000000001</v>
      </c>
      <c r="CP11" s="72">
        <f>'Income Statement'!CB277</f>
        <v>453.34899999999999</v>
      </c>
      <c r="CQ11" s="72">
        <f>'Income Statement'!CC277</f>
        <v>361.05899999999991</v>
      </c>
      <c r="CR11" s="72">
        <f>'Income Statement'!CD277</f>
        <v>262</v>
      </c>
      <c r="CS11" s="72">
        <f>'Income Statement'!CE277</f>
        <v>1280.5829999999999</v>
      </c>
      <c r="CT11" s="72">
        <f>'Income Statement'!CF277</f>
        <v>547.42999999999995</v>
      </c>
      <c r="CU11" s="72">
        <f>'Income Statement'!CG277</f>
        <v>489.73500000000001</v>
      </c>
      <c r="CV11" s="72">
        <f>'Income Statement'!CH277</f>
        <v>302</v>
      </c>
      <c r="CW11" s="72">
        <f>'Income Statement'!CI277</f>
        <v>513</v>
      </c>
      <c r="CX11" s="72">
        <f>'Income Statement'!CJ277</f>
        <v>1852.165</v>
      </c>
      <c r="CY11" s="72">
        <f>'Income Statement'!CK277</f>
        <v>388.23200000000003</v>
      </c>
      <c r="CZ11" s="72">
        <f>'Income Statement'!CL277</f>
        <v>305</v>
      </c>
      <c r="DA11" s="72">
        <f>'Income Statement'!CO277</f>
        <v>1215.7666737212467</v>
      </c>
      <c r="DB11" s="72">
        <f>'Income Statement'!CP277</f>
        <v>1736.3206886967769</v>
      </c>
      <c r="DC11" s="72">
        <f>'Income Statement'!CQ277</f>
        <v>2952.5305303360401</v>
      </c>
      <c r="DD11" s="72">
        <f>'Income Statement'!CR277</f>
        <v>4360.0040675784803</v>
      </c>
      <c r="DE11" s="72">
        <f>'Income Statement'!CS277</f>
        <v>5570.065627360118</v>
      </c>
      <c r="DF11" s="72">
        <f>'Income Statement'!CT277</f>
        <v>6701.2555973886965</v>
      </c>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row>
    <row r="12" spans="1:147">
      <c r="A12" s="39" t="s">
        <v>546</v>
      </c>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v>0</v>
      </c>
      <c r="AB12" s="72">
        <v>0</v>
      </c>
      <c r="AC12" s="72">
        <v>0</v>
      </c>
      <c r="AD12" s="72">
        <v>0</v>
      </c>
      <c r="AE12" s="72">
        <v>0</v>
      </c>
      <c r="AF12" s="72">
        <v>0</v>
      </c>
      <c r="AG12" s="72">
        <v>0</v>
      </c>
      <c r="AH12" s="72">
        <v>0</v>
      </c>
      <c r="AI12" s="72">
        <v>0</v>
      </c>
      <c r="AJ12" s="72">
        <v>0</v>
      </c>
      <c r="AK12" s="72">
        <v>-911</v>
      </c>
      <c r="AL12" s="72">
        <v>0</v>
      </c>
      <c r="AM12" s="72">
        <v>0</v>
      </c>
      <c r="AN12" s="72">
        <v>0</v>
      </c>
      <c r="AO12" s="72">
        <v>0</v>
      </c>
      <c r="AP12" s="72">
        <v>-1107</v>
      </c>
      <c r="AQ12" s="72">
        <v>0</v>
      </c>
      <c r="AR12" s="72">
        <v>0</v>
      </c>
      <c r="AS12" s="72">
        <v>0</v>
      </c>
      <c r="AT12" s="72">
        <v>0</v>
      </c>
      <c r="AU12" s="72">
        <v>-1148.58</v>
      </c>
      <c r="AV12" s="72">
        <v>0</v>
      </c>
      <c r="AW12" s="72">
        <v>0</v>
      </c>
      <c r="AX12" s="72">
        <v>0</v>
      </c>
      <c r="AY12" s="72">
        <v>0</v>
      </c>
      <c r="AZ12" s="72">
        <v>-553.02</v>
      </c>
      <c r="BA12" s="72">
        <v>0</v>
      </c>
      <c r="BB12" s="72">
        <v>0</v>
      </c>
      <c r="BC12" s="72">
        <v>0</v>
      </c>
      <c r="BD12" s="72">
        <v>0</v>
      </c>
      <c r="BE12" s="72">
        <v>0</v>
      </c>
      <c r="BF12" s="72">
        <v>0</v>
      </c>
      <c r="BG12" s="72">
        <v>0</v>
      </c>
      <c r="BH12" s="72">
        <v>0</v>
      </c>
      <c r="BI12" s="72">
        <v>0</v>
      </c>
      <c r="BJ12" s="72">
        <v>0</v>
      </c>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row>
    <row r="13" spans="1:147">
      <c r="A13" s="39" t="s">
        <v>248</v>
      </c>
      <c r="B13" s="72">
        <v>-1887</v>
      </c>
      <c r="C13" s="72">
        <v>0</v>
      </c>
      <c r="D13" s="72">
        <v>0</v>
      </c>
      <c r="E13" s="72">
        <v>0</v>
      </c>
      <c r="F13" s="72">
        <v>0</v>
      </c>
      <c r="G13" s="72">
        <v>-3133</v>
      </c>
      <c r="H13" s="72"/>
      <c r="I13" s="72">
        <v>0</v>
      </c>
      <c r="J13" s="72">
        <v>0</v>
      </c>
      <c r="K13" s="72">
        <v>0</v>
      </c>
      <c r="L13" s="72">
        <v>-6103.1975830815718</v>
      </c>
      <c r="M13" s="72">
        <v>-1172</v>
      </c>
      <c r="N13" s="72">
        <v>-2111</v>
      </c>
      <c r="O13" s="72">
        <v>-1810</v>
      </c>
      <c r="P13" s="72">
        <v>-1775</v>
      </c>
      <c r="Q13" s="72">
        <v>-6868</v>
      </c>
      <c r="R13" s="72">
        <v>-1827</v>
      </c>
      <c r="S13" s="72">
        <v>-3457</v>
      </c>
      <c r="T13" s="72">
        <v>-3393</v>
      </c>
      <c r="U13" s="72">
        <v>-2705</v>
      </c>
      <c r="V13" s="72">
        <v>-11382</v>
      </c>
      <c r="W13" s="72">
        <v>-1767</v>
      </c>
      <c r="X13" s="72">
        <v>-1104</v>
      </c>
      <c r="Y13" s="72">
        <v>-594</v>
      </c>
      <c r="Z13" s="72">
        <v>-1817.6999999999998</v>
      </c>
      <c r="AA13" s="72">
        <v>-5282.7</v>
      </c>
      <c r="AB13" s="71">
        <v>-734</v>
      </c>
      <c r="AC13" s="71">
        <v>-1055</v>
      </c>
      <c r="AD13" s="71">
        <v>-1676</v>
      </c>
      <c r="AE13" s="71">
        <v>-1383</v>
      </c>
      <c r="AF13" s="72">
        <v>-4848</v>
      </c>
      <c r="AG13" s="72">
        <v>-1302</v>
      </c>
      <c r="AH13" s="72">
        <v>-1284</v>
      </c>
      <c r="AI13" s="72">
        <v>-1551</v>
      </c>
      <c r="AJ13" s="72">
        <v>-2385</v>
      </c>
      <c r="AK13" s="72">
        <v>-6522</v>
      </c>
      <c r="AL13" s="72">
        <v>-2528</v>
      </c>
      <c r="AM13" s="72">
        <v>-2744</v>
      </c>
      <c r="AN13" s="72">
        <v>-1909</v>
      </c>
      <c r="AO13" s="72">
        <v>-2995</v>
      </c>
      <c r="AP13" s="72">
        <v>-10176</v>
      </c>
      <c r="AQ13" s="72">
        <v>-1791</v>
      </c>
      <c r="AR13" s="72">
        <v>-2257</v>
      </c>
      <c r="AS13" s="72">
        <v>-1793</v>
      </c>
      <c r="AT13" s="72">
        <v>-1553</v>
      </c>
      <c r="AU13" s="72">
        <v>-7394</v>
      </c>
      <c r="AV13" s="72">
        <v>-1747</v>
      </c>
      <c r="AW13" s="72">
        <v>-1855</v>
      </c>
      <c r="AX13" s="72">
        <v>-1692</v>
      </c>
      <c r="AY13" s="72">
        <v>-1801</v>
      </c>
      <c r="AZ13" s="72">
        <v>-7095</v>
      </c>
      <c r="BA13" s="72">
        <v>-1211</v>
      </c>
      <c r="BB13" s="72">
        <v>-1679</v>
      </c>
      <c r="BC13" s="72">
        <v>-1440</v>
      </c>
      <c r="BD13" s="72">
        <v>-518</v>
      </c>
      <c r="BE13" s="72">
        <v>-4848</v>
      </c>
      <c r="BF13" s="72">
        <v>-1048</v>
      </c>
      <c r="BG13" s="72">
        <v>-1215</v>
      </c>
      <c r="BH13" s="72">
        <v>-1187</v>
      </c>
      <c r="BI13" s="72">
        <v>-3024</v>
      </c>
      <c r="BJ13" s="72">
        <v>-6474</v>
      </c>
      <c r="BK13" s="72">
        <f>-'Income Statement'!AW27</f>
        <v>-1306</v>
      </c>
      <c r="BL13" s="72">
        <f>-'Income Statement'!AX27</f>
        <v>-2397</v>
      </c>
      <c r="BM13" s="72">
        <f>-'Income Statement'!AY27</f>
        <v>-1556</v>
      </c>
      <c r="BN13" s="72">
        <f>-'Income Statement'!AZ27</f>
        <v>-1438</v>
      </c>
      <c r="BO13" s="72">
        <f>-'Income Statement'!BA27</f>
        <v>-6697</v>
      </c>
      <c r="BP13" s="72">
        <f>-'Income Statement'!BB27</f>
        <v>-1559</v>
      </c>
      <c r="BQ13" s="72">
        <f>-'Income Statement'!BC27</f>
        <v>-1712</v>
      </c>
      <c r="BR13" s="72">
        <f>-'Income Statement'!BD27</f>
        <v>-1669</v>
      </c>
      <c r="BS13" s="72">
        <f>-'Income Statement'!BE27</f>
        <v>-1852</v>
      </c>
      <c r="BT13" s="72">
        <f>-'Income Statement'!BF27</f>
        <v>-6792</v>
      </c>
      <c r="BU13" s="72">
        <f>-'Income Statement'!BG27</f>
        <v>-1511</v>
      </c>
      <c r="BV13" s="72">
        <f>-'Income Statement'!BH27</f>
        <v>-2095</v>
      </c>
      <c r="BW13" s="72">
        <f>-'Income Statement'!BI27</f>
        <v>-1909</v>
      </c>
      <c r="BX13" s="72">
        <f>-'Income Statement'!BJ27</f>
        <v>-2481</v>
      </c>
      <c r="BY13" s="72">
        <f>-'Income Statement'!BK27</f>
        <v>-7996</v>
      </c>
      <c r="BZ13" s="72">
        <f>-'Income Statement'!BL27</f>
        <v>-1784</v>
      </c>
      <c r="CA13" s="72">
        <f>-'Income Statement'!BM27</f>
        <v>-1951</v>
      </c>
      <c r="CB13" s="72">
        <f>-'Income Statement'!BN27</f>
        <v>-1334</v>
      </c>
      <c r="CC13" s="72">
        <f>-'Income Statement'!BO27</f>
        <v>-1086</v>
      </c>
      <c r="CD13" s="72">
        <f>-'Income Statement'!BP27</f>
        <v>-6155</v>
      </c>
      <c r="CE13" s="72">
        <f>-'Income Statement'!BQ27</f>
        <v>-1716</v>
      </c>
      <c r="CF13" s="72">
        <f>-'Income Statement'!BR27</f>
        <v>-2857</v>
      </c>
      <c r="CG13" s="72">
        <f>-'Income Statement'!BS27</f>
        <v>-1783</v>
      </c>
      <c r="CH13" s="72">
        <f>-'Income Statement'!BT27</f>
        <v>-3565</v>
      </c>
      <c r="CI13" s="72">
        <f>-'Income Statement'!BU27</f>
        <v>-9921</v>
      </c>
      <c r="CJ13" s="72">
        <f>-'Income Statement'!BV27</f>
        <v>-1234</v>
      </c>
      <c r="CK13" s="72">
        <f>-'Income Statement'!BW27</f>
        <v>-1983.5380000000005</v>
      </c>
      <c r="CL13" s="72">
        <f>-'Income Statement'!BX27</f>
        <v>-3102.4619999999995</v>
      </c>
      <c r="CM13" s="72">
        <f>-'Income Statement'!BY27</f>
        <v>-2743</v>
      </c>
      <c r="CN13" s="72">
        <f>-'Income Statement'!BZ27</f>
        <v>-9063</v>
      </c>
      <c r="CO13" s="72">
        <f>-'Income Statement'!CA27</f>
        <v>-1413</v>
      </c>
      <c r="CP13" s="72">
        <f>-'Income Statement'!CB27</f>
        <v>-1743</v>
      </c>
      <c r="CQ13" s="72">
        <f>-'Income Statement'!CC27</f>
        <v>-2389</v>
      </c>
      <c r="CR13" s="72">
        <f>-'Income Statement'!CD27</f>
        <v>-1613</v>
      </c>
      <c r="CS13" s="72">
        <f>-'Income Statement'!CE27</f>
        <v>-7158</v>
      </c>
      <c r="CT13" s="72">
        <f>-'Income Statement'!CF27</f>
        <v>-2057</v>
      </c>
      <c r="CU13" s="72">
        <f>-'Income Statement'!CG27</f>
        <v>-2088</v>
      </c>
      <c r="CV13" s="72">
        <f>-'Income Statement'!CH27</f>
        <v>-1504</v>
      </c>
      <c r="CW13" s="72">
        <f>-'Income Statement'!CI27</f>
        <v>-1733</v>
      </c>
      <c r="CX13" s="72">
        <f>-'Income Statement'!CJ27</f>
        <v>-7382</v>
      </c>
      <c r="CY13" s="72">
        <f>-'Income Statement'!CK27</f>
        <v>-1241</v>
      </c>
      <c r="CZ13" s="72">
        <f>-'Income Statement'!CL27</f>
        <v>-1090</v>
      </c>
      <c r="DA13" s="72">
        <f>-'Income Statement'!CO27</f>
        <v>-20387.570799343855</v>
      </c>
      <c r="DB13" s="72">
        <f>-'Income Statement'!CP27</f>
        <v>-10401.935594551464</v>
      </c>
      <c r="DC13" s="72">
        <f>-'Income Statement'!CQ27</f>
        <v>-10361.99235565762</v>
      </c>
      <c r="DD13" s="72">
        <f>-'Income Statement'!CR27</f>
        <v>-10813.115188025306</v>
      </c>
      <c r="DE13" s="72">
        <f>-'Income Statement'!CS27</f>
        <v>-11283.256908849437</v>
      </c>
      <c r="DF13" s="72">
        <f>-'Income Statement'!CT27</f>
        <v>-12053.5329260614</v>
      </c>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row>
    <row r="14" spans="1:147">
      <c r="A14" s="39" t="s">
        <v>141</v>
      </c>
      <c r="B14" s="72">
        <v>-261</v>
      </c>
      <c r="C14" s="72">
        <v>431</v>
      </c>
      <c r="D14" s="72">
        <v>424</v>
      </c>
      <c r="E14" s="72">
        <v>453</v>
      </c>
      <c r="F14" s="72">
        <v>428</v>
      </c>
      <c r="G14" s="72">
        <v>-1398</v>
      </c>
      <c r="H14" s="72"/>
      <c r="I14" s="72">
        <v>636</v>
      </c>
      <c r="J14" s="72">
        <v>712</v>
      </c>
      <c r="K14" s="72">
        <v>634</v>
      </c>
      <c r="L14" s="72">
        <v>-3549.1975830815718</v>
      </c>
      <c r="M14" s="72">
        <v>-413</v>
      </c>
      <c r="N14" s="72">
        <v>-1312</v>
      </c>
      <c r="O14" s="72">
        <v>-937</v>
      </c>
      <c r="P14" s="72">
        <v>-697</v>
      </c>
      <c r="Q14" s="72">
        <v>-3359</v>
      </c>
      <c r="R14" s="72">
        <v>-693</v>
      </c>
      <c r="S14" s="72">
        <v>-1967</v>
      </c>
      <c r="T14" s="72">
        <v>-1907</v>
      </c>
      <c r="U14" s="72">
        <v>-1683</v>
      </c>
      <c r="V14" s="72">
        <v>-6250</v>
      </c>
      <c r="W14" s="72">
        <v>-654</v>
      </c>
      <c r="X14" s="72">
        <v>351</v>
      </c>
      <c r="Y14" s="72">
        <v>1078</v>
      </c>
      <c r="Z14" s="72">
        <v>147.30000000000018</v>
      </c>
      <c r="AA14" s="72">
        <v>922.30000000000018</v>
      </c>
      <c r="AB14" s="72">
        <v>1408</v>
      </c>
      <c r="AC14" s="72">
        <v>1233</v>
      </c>
      <c r="AD14" s="72">
        <v>686</v>
      </c>
      <c r="AE14" s="72">
        <v>1112</v>
      </c>
      <c r="AF14" s="72">
        <v>4439</v>
      </c>
      <c r="AG14" s="72">
        <v>1061</v>
      </c>
      <c r="AH14" s="72">
        <v>1111</v>
      </c>
      <c r="AI14" s="72">
        <v>719</v>
      </c>
      <c r="AJ14" s="72">
        <v>-65</v>
      </c>
      <c r="AK14" s="72">
        <v>2826</v>
      </c>
      <c r="AL14" s="72">
        <v>-137</v>
      </c>
      <c r="AM14" s="72">
        <v>-198</v>
      </c>
      <c r="AN14" s="72">
        <v>596</v>
      </c>
      <c r="AO14" s="72">
        <v>-692</v>
      </c>
      <c r="AP14" s="72">
        <v>-431</v>
      </c>
      <c r="AQ14" s="72">
        <v>234</v>
      </c>
      <c r="AR14" s="72">
        <v>-118</v>
      </c>
      <c r="AS14" s="72">
        <v>462</v>
      </c>
      <c r="AT14" s="72">
        <v>687</v>
      </c>
      <c r="AU14" s="72">
        <v>1265</v>
      </c>
      <c r="AV14" s="72">
        <v>454</v>
      </c>
      <c r="AW14" s="72">
        <v>206</v>
      </c>
      <c r="AX14" s="72">
        <v>369</v>
      </c>
      <c r="AY14" s="72">
        <v>499</v>
      </c>
      <c r="AZ14" s="72">
        <v>1528</v>
      </c>
      <c r="BA14" s="72">
        <v>666</v>
      </c>
      <c r="BB14" s="72">
        <v>321</v>
      </c>
      <c r="BC14" s="72">
        <v>756</v>
      </c>
      <c r="BD14" s="72">
        <v>1802</v>
      </c>
      <c r="BE14" s="72">
        <v>3545</v>
      </c>
      <c r="BF14" s="72">
        <v>1144</v>
      </c>
      <c r="BG14" s="72">
        <v>849</v>
      </c>
      <c r="BH14" s="72">
        <v>793</v>
      </c>
      <c r="BI14" s="72">
        <v>-1202</v>
      </c>
      <c r="BJ14" s="72">
        <v>1584</v>
      </c>
      <c r="BK14" s="72">
        <f>BK8+BK13</f>
        <v>542</v>
      </c>
      <c r="BL14" s="72">
        <f t="shared" ref="BL14:CN14" si="6">BL8+BL13</f>
        <v>-324</v>
      </c>
      <c r="BM14" s="72">
        <f t="shared" si="6"/>
        <v>725</v>
      </c>
      <c r="BN14" s="72">
        <f t="shared" si="6"/>
        <v>681</v>
      </c>
      <c r="BO14" s="72">
        <f t="shared" si="6"/>
        <v>1624</v>
      </c>
      <c r="BP14" s="72">
        <f>BP8+BP13</f>
        <v>427</v>
      </c>
      <c r="BQ14" s="72">
        <f t="shared" ref="BQ14:BS14" si="7">BQ8+BQ13</f>
        <v>288</v>
      </c>
      <c r="BR14" s="72">
        <f t="shared" si="7"/>
        <v>507</v>
      </c>
      <c r="BS14" s="72">
        <f t="shared" si="7"/>
        <v>499</v>
      </c>
      <c r="BT14" s="72">
        <f t="shared" si="6"/>
        <v>1721</v>
      </c>
      <c r="BU14" s="72">
        <f t="shared" ref="BU14:BV14" si="8">BU8+BU13</f>
        <v>768</v>
      </c>
      <c r="BV14" s="72">
        <f t="shared" si="8"/>
        <v>376</v>
      </c>
      <c r="BW14" s="72">
        <f t="shared" ref="BW14:BX14" si="9">BW8+BW13</f>
        <v>699</v>
      </c>
      <c r="BX14" s="72">
        <f t="shared" si="9"/>
        <v>127</v>
      </c>
      <c r="BY14" s="72">
        <f t="shared" si="6"/>
        <v>1970</v>
      </c>
      <c r="BZ14" s="72">
        <f t="shared" si="6"/>
        <v>1400</v>
      </c>
      <c r="CA14" s="72">
        <f t="shared" ref="CA14:CB14" si="10">CA8+CA13</f>
        <v>1355</v>
      </c>
      <c r="CB14" s="72">
        <f t="shared" si="10"/>
        <v>2071</v>
      </c>
      <c r="CC14" s="72">
        <f t="shared" ref="CC14" si="11">CC8+CC13</f>
        <v>2079</v>
      </c>
      <c r="CD14" s="72">
        <f t="shared" si="6"/>
        <v>6905</v>
      </c>
      <c r="CE14" s="72">
        <f>CE8+CE13</f>
        <v>1403</v>
      </c>
      <c r="CF14" s="72">
        <f t="shared" ref="CF14:CH14" si="12">CF8+CF13</f>
        <v>512</v>
      </c>
      <c r="CG14" s="72">
        <f t="shared" si="12"/>
        <v>1635</v>
      </c>
      <c r="CH14" s="72">
        <f t="shared" si="12"/>
        <v>-184</v>
      </c>
      <c r="CI14" s="72">
        <f t="shared" si="6"/>
        <v>3366</v>
      </c>
      <c r="CJ14" s="72">
        <f>CJ8+CJ13</f>
        <v>1940</v>
      </c>
      <c r="CK14" s="72">
        <f t="shared" ref="CK14:CL14" si="13">CK8+CK13</f>
        <v>1576.4619999999995</v>
      </c>
      <c r="CL14" s="72">
        <f t="shared" si="13"/>
        <v>540.53800000000047</v>
      </c>
      <c r="CM14" s="72">
        <f t="shared" ref="CM14" si="14">CM8+CM13</f>
        <v>1115</v>
      </c>
      <c r="CN14" s="72">
        <f t="shared" si="6"/>
        <v>5172</v>
      </c>
      <c r="CO14" s="72">
        <f>CO8+CO13</f>
        <v>2170</v>
      </c>
      <c r="CP14" s="72">
        <f t="shared" ref="CP14:CQ14" si="15">CP8+CP13</f>
        <v>2326</v>
      </c>
      <c r="CQ14" s="72">
        <f t="shared" si="15"/>
        <v>1714</v>
      </c>
      <c r="CR14" s="72">
        <f t="shared" ref="CR14" si="16">CR8+CR13</f>
        <v>2517</v>
      </c>
      <c r="CS14" s="72">
        <f t="shared" ref="CS14:DD14" si="17">CS8+CS13</f>
        <v>8727</v>
      </c>
      <c r="CT14" s="72">
        <f>CT8+CT13</f>
        <v>2397</v>
      </c>
      <c r="CU14" s="72">
        <f>CU8+CU13</f>
        <v>2415</v>
      </c>
      <c r="CV14" s="72">
        <f>CV8+CV13</f>
        <v>2835</v>
      </c>
      <c r="CW14" s="72">
        <f>CW8+CW13</f>
        <v>2850</v>
      </c>
      <c r="CX14" s="72">
        <f t="shared" ref="CX14" si="18">CX8+CX13</f>
        <v>10497</v>
      </c>
      <c r="CY14" s="72">
        <f>CY8+CY13</f>
        <v>3080</v>
      </c>
      <c r="CZ14" s="72">
        <f>CZ8+CZ13</f>
        <v>3397</v>
      </c>
      <c r="DA14" s="72">
        <f t="shared" si="17"/>
        <v>-1839.7928466557314</v>
      </c>
      <c r="DB14" s="72">
        <f t="shared" si="17"/>
        <v>11624.167289751093</v>
      </c>
      <c r="DC14" s="72">
        <f t="shared" si="17"/>
        <v>13904.817760144348</v>
      </c>
      <c r="DD14" s="72">
        <f t="shared" si="17"/>
        <v>15807.744584398901</v>
      </c>
      <c r="DE14" s="72">
        <f t="shared" ref="DE14:DF14" si="19">DE8+DE13</f>
        <v>16656.236389253929</v>
      </c>
      <c r="DF14" s="72">
        <f t="shared" si="19"/>
        <v>17267.38670338098</v>
      </c>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row>
    <row r="15" spans="1:147">
      <c r="A15" s="39" t="s">
        <v>547</v>
      </c>
      <c r="B15" s="72">
        <v>-4004</v>
      </c>
      <c r="C15" s="72">
        <v>0</v>
      </c>
      <c r="D15" s="72">
        <v>0</v>
      </c>
      <c r="E15" s="72">
        <v>0</v>
      </c>
      <c r="F15" s="72">
        <v>0</v>
      </c>
      <c r="G15" s="72">
        <v>-3209</v>
      </c>
      <c r="H15" s="72">
        <v>0</v>
      </c>
      <c r="I15" s="72">
        <v>0</v>
      </c>
      <c r="J15" s="72">
        <v>0</v>
      </c>
      <c r="K15" s="72">
        <v>0</v>
      </c>
      <c r="L15" s="72">
        <v>-8347.0296207307874</v>
      </c>
      <c r="M15" s="72">
        <v>0</v>
      </c>
      <c r="N15" s="72">
        <v>0</v>
      </c>
      <c r="O15" s="72">
        <v>0</v>
      </c>
      <c r="P15" s="72">
        <v>0</v>
      </c>
      <c r="Q15" s="72">
        <v>-8857</v>
      </c>
      <c r="R15" s="72">
        <v>0</v>
      </c>
      <c r="S15" s="72">
        <v>0</v>
      </c>
      <c r="T15" s="72">
        <v>0</v>
      </c>
      <c r="U15" s="72">
        <v>0</v>
      </c>
      <c r="V15" s="72">
        <v>-17551</v>
      </c>
      <c r="W15" s="72">
        <v>0</v>
      </c>
      <c r="X15" s="72">
        <v>0</v>
      </c>
      <c r="Y15" s="72">
        <v>0</v>
      </c>
      <c r="Z15" s="72">
        <v>0</v>
      </c>
      <c r="AA15" s="72">
        <v>-13015</v>
      </c>
      <c r="AB15" s="72">
        <v>0</v>
      </c>
      <c r="AC15" s="72">
        <v>0</v>
      </c>
      <c r="AD15" s="72">
        <v>0</v>
      </c>
      <c r="AE15" s="72">
        <v>0</v>
      </c>
      <c r="AF15" s="72">
        <v>-9812</v>
      </c>
      <c r="AG15" s="72">
        <v>0</v>
      </c>
      <c r="AH15" s="72">
        <v>0</v>
      </c>
      <c r="AI15" s="72">
        <v>0</v>
      </c>
      <c r="AJ15" s="72">
        <v>0</v>
      </c>
      <c r="AK15" s="72">
        <v>-9728</v>
      </c>
      <c r="AL15" s="72">
        <v>0</v>
      </c>
      <c r="AM15" s="72">
        <v>0</v>
      </c>
      <c r="AN15" s="72">
        <v>0</v>
      </c>
      <c r="AO15" s="72">
        <v>0</v>
      </c>
      <c r="AP15" s="72">
        <v>-12727</v>
      </c>
      <c r="AQ15" s="72">
        <v>0</v>
      </c>
      <c r="AR15" s="72">
        <v>0</v>
      </c>
      <c r="AS15" s="72">
        <v>0</v>
      </c>
      <c r="AT15" s="72">
        <v>0</v>
      </c>
      <c r="AU15" s="72">
        <v>-16504</v>
      </c>
      <c r="AV15" s="72">
        <v>0</v>
      </c>
      <c r="AW15" s="72">
        <v>0</v>
      </c>
      <c r="AX15" s="72">
        <v>0</v>
      </c>
      <c r="AY15" s="72">
        <v>0</v>
      </c>
      <c r="AZ15" s="72">
        <v>-22678</v>
      </c>
      <c r="BA15" s="72">
        <v>0</v>
      </c>
      <c r="BB15" s="72">
        <v>0</v>
      </c>
      <c r="BC15" s="72">
        <v>0</v>
      </c>
      <c r="BD15" s="72">
        <v>0</v>
      </c>
      <c r="BE15" s="72">
        <v>-24344</v>
      </c>
      <c r="BF15" s="72">
        <v>0</v>
      </c>
      <c r="BG15" s="72">
        <v>-11672</v>
      </c>
      <c r="BH15" s="72">
        <v>-9306</v>
      </c>
      <c r="BI15" s="72">
        <v>0</v>
      </c>
      <c r="BJ15" s="72">
        <v>-14862.6</v>
      </c>
      <c r="BK15" s="72"/>
      <c r="BL15" s="72"/>
      <c r="BM15" s="72"/>
      <c r="BN15" s="72"/>
      <c r="BO15" s="72"/>
      <c r="BP15" s="72"/>
      <c r="BQ15" s="72"/>
      <c r="BR15" s="72"/>
      <c r="BS15" s="72"/>
      <c r="BT15" s="72">
        <f>'Balance Sheet and Cflow'!N49</f>
        <v>11516.451999999999</v>
      </c>
      <c r="BU15" s="72"/>
      <c r="BV15" s="72"/>
      <c r="BW15" s="72"/>
      <c r="BX15" s="72"/>
      <c r="BY15" s="72">
        <f>'Balance Sheet and Cflow'!O49</f>
        <v>25325.744000000002</v>
      </c>
      <c r="BZ15" s="72"/>
      <c r="CA15" s="72"/>
      <c r="CB15" s="72"/>
      <c r="CC15" s="72"/>
      <c r="CD15" s="72">
        <f>'Balance Sheet and Cflow'!P49</f>
        <v>30662.310000000005</v>
      </c>
      <c r="CE15" s="72"/>
      <c r="CF15" s="72"/>
      <c r="CG15" s="72"/>
      <c r="CH15" s="72"/>
      <c r="CI15" s="72">
        <f>'Balance Sheet and Cflow'!Q49</f>
        <v>32984.250999999997</v>
      </c>
      <c r="CJ15" s="72"/>
      <c r="CK15" s="72"/>
      <c r="CL15" s="72"/>
      <c r="CM15" s="72"/>
      <c r="CN15" s="72">
        <f>'Balance Sheet and Cflow'!R49</f>
        <v>38775.660000000003</v>
      </c>
      <c r="CO15" s="72"/>
      <c r="CP15" s="72"/>
      <c r="CQ15" s="72"/>
      <c r="CR15" s="72"/>
      <c r="CS15" s="72">
        <f>'Balance Sheet and Cflow'!S49</f>
        <v>44952.006999999998</v>
      </c>
      <c r="CT15" s="72"/>
      <c r="CU15" s="72"/>
      <c r="CV15" s="72"/>
      <c r="CW15" s="72"/>
      <c r="CX15" s="72">
        <f>'Balance Sheet and Cflow'!Y49</f>
        <v>62610.894403656333</v>
      </c>
      <c r="CY15" s="72"/>
      <c r="CZ15" s="72"/>
      <c r="DA15" s="72">
        <f>'Balance Sheet and Cflow'!V49</f>
        <v>71285.34308628444</v>
      </c>
      <c r="DB15" s="72">
        <f>'Balance Sheet and Cflow'!W49</f>
        <v>68233.773515968904</v>
      </c>
      <c r="DC15" s="72">
        <f>'Balance Sheet and Cflow'!X49</f>
        <v>65503.75152843594</v>
      </c>
      <c r="DD15" s="72">
        <f>'Balance Sheet and Cflow'!Y49</f>
        <v>62610.894403656333</v>
      </c>
      <c r="DE15" s="72">
        <f>'Balance Sheet and Cflow'!Z49</f>
        <v>59849.334246644234</v>
      </c>
      <c r="DF15" s="72">
        <f>'Balance Sheet and Cflow'!AA49</f>
        <v>57400.204263660402</v>
      </c>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row>
    <row r="16" spans="1:147">
      <c r="A16" s="39" t="s">
        <v>252</v>
      </c>
      <c r="B16" s="72">
        <v>63684.057752496927</v>
      </c>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row>
    <row r="17" spans="1:147">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row>
    <row r="18" spans="1:147">
      <c r="A18" s="39" t="s">
        <v>548</v>
      </c>
      <c r="B18" s="72">
        <v>34965.64</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row>
    <row r="19" spans="1:147">
      <c r="B19" s="70"/>
      <c r="C19" s="70"/>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row>
    <row r="20" spans="1:147">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row>
    <row r="21" spans="1:147">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row>
    <row r="22" spans="1:147">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row>
    <row r="23" spans="1:147">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row>
    <row r="24" spans="1:147">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row>
    <row r="25" spans="1:147">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row>
    <row r="26" spans="1:147">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row>
    <row r="27" spans="1:147">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row>
    <row r="28" spans="1:147">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row>
    <row r="29" spans="1:147">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row>
    <row r="30" spans="1:147">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row>
    <row r="31" spans="1:147">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E753-143D-4BF0-B540-69159900648C}">
  <sheetPr codeName="Sheet19"/>
  <dimension ref="A1:AL127"/>
  <sheetViews>
    <sheetView zoomScale="85" zoomScaleNormal="85" workbookViewId="0">
      <pane xSplit="2" ySplit="2" topLeftCell="C3" activePane="bottomRight" state="frozen"/>
      <selection pane="topRight" activeCell="C1" sqref="C1"/>
      <selection pane="bottomLeft" activeCell="A3" sqref="A3"/>
      <selection pane="bottomRight" activeCell="X13" sqref="X13"/>
    </sheetView>
  </sheetViews>
  <sheetFormatPr defaultColWidth="8.90625" defaultRowHeight="14.5" outlineLevelCol="1"/>
  <cols>
    <col min="1" max="1" width="8.90625" style="1064"/>
    <col min="2" max="2" width="31.54296875" style="319" bestFit="1" customWidth="1"/>
    <col min="3" max="13" width="8.90625" style="319"/>
    <col min="14" max="22" width="8.90625" hidden="1" customWidth="1" outlineLevel="1"/>
    <col min="23" max="23" width="8.90625" collapsed="1"/>
    <col min="24" max="29" width="8.90625" customWidth="1"/>
    <col min="30" max="16384" width="8.90625" style="319"/>
  </cols>
  <sheetData>
    <row r="1" spans="1:38">
      <c r="E1" s="683" t="s">
        <v>765</v>
      </c>
      <c r="L1" s="683" t="s">
        <v>565</v>
      </c>
      <c r="W1" s="77" t="s">
        <v>525</v>
      </c>
      <c r="AE1" s="683" t="s">
        <v>565</v>
      </c>
      <c r="AG1" s="683" t="s">
        <v>1466</v>
      </c>
    </row>
    <row r="2" spans="1:38">
      <c r="A2" s="1064" t="s">
        <v>615</v>
      </c>
      <c r="B2" s="330"/>
      <c r="C2" s="1164"/>
      <c r="D2" s="330">
        <v>2024</v>
      </c>
      <c r="E2" s="330">
        <v>2025</v>
      </c>
      <c r="F2" s="330">
        <f>E2+1</f>
        <v>2026</v>
      </c>
      <c r="G2" s="330">
        <f t="shared" ref="G2:J2" si="0">F2+1</f>
        <v>2027</v>
      </c>
      <c r="H2" s="330">
        <f t="shared" si="0"/>
        <v>2028</v>
      </c>
      <c r="I2" s="330">
        <f t="shared" si="0"/>
        <v>2029</v>
      </c>
      <c r="J2" s="330">
        <f t="shared" si="0"/>
        <v>2030</v>
      </c>
      <c r="K2" s="1164"/>
      <c r="L2" s="1344" t="s">
        <v>1469</v>
      </c>
      <c r="M2" s="1164"/>
      <c r="N2" s="900" t="s">
        <v>1053</v>
      </c>
      <c r="O2" s="900" t="s">
        <v>1054</v>
      </c>
      <c r="P2" s="900" t="s">
        <v>1055</v>
      </c>
      <c r="Q2" s="900" t="s">
        <v>1057</v>
      </c>
      <c r="R2" s="901">
        <v>2023</v>
      </c>
      <c r="S2" s="900" t="s">
        <v>1050</v>
      </c>
      <c r="T2" s="900" t="s">
        <v>1051</v>
      </c>
      <c r="U2" s="900" t="s">
        <v>1052</v>
      </c>
      <c r="V2" s="900" t="s">
        <v>1088</v>
      </c>
      <c r="W2" s="901">
        <f>R2+1</f>
        <v>2024</v>
      </c>
      <c r="X2" s="920">
        <f t="shared" ref="X2:AC2" si="1">W2+1</f>
        <v>2025</v>
      </c>
      <c r="Y2" s="920">
        <f t="shared" si="1"/>
        <v>2026</v>
      </c>
      <c r="Z2" s="920">
        <f t="shared" si="1"/>
        <v>2027</v>
      </c>
      <c r="AA2" s="920">
        <f t="shared" si="1"/>
        <v>2028</v>
      </c>
      <c r="AB2" s="920">
        <f t="shared" si="1"/>
        <v>2029</v>
      </c>
      <c r="AC2" s="920">
        <f t="shared" si="1"/>
        <v>2030</v>
      </c>
      <c r="AE2" s="1344" t="s">
        <v>1469</v>
      </c>
      <c r="AG2" s="683">
        <f t="shared" ref="AG2:AL2" si="2">E2</f>
        <v>2025</v>
      </c>
      <c r="AH2" s="683">
        <f t="shared" si="2"/>
        <v>2026</v>
      </c>
      <c r="AI2" s="683">
        <f t="shared" si="2"/>
        <v>2027</v>
      </c>
      <c r="AJ2" s="683">
        <f t="shared" si="2"/>
        <v>2028</v>
      </c>
      <c r="AK2" s="683">
        <f t="shared" si="2"/>
        <v>2029</v>
      </c>
      <c r="AL2" s="683">
        <f t="shared" si="2"/>
        <v>2030</v>
      </c>
    </row>
    <row r="3" spans="1:38">
      <c r="B3" s="1318" t="s">
        <v>1092</v>
      </c>
      <c r="C3" s="1164"/>
      <c r="D3" s="1164"/>
      <c r="E3" s="1164"/>
      <c r="F3" s="1164"/>
      <c r="G3" s="1164"/>
      <c r="H3" s="1164"/>
      <c r="I3" s="1164"/>
      <c r="J3" s="1164"/>
      <c r="K3" s="1164"/>
      <c r="L3" s="1164"/>
      <c r="M3" s="1164"/>
      <c r="N3" s="1164"/>
      <c r="O3" s="1164"/>
      <c r="P3" s="1164"/>
      <c r="Q3" s="1164"/>
      <c r="R3" s="1164"/>
      <c r="S3" s="1164"/>
      <c r="T3" s="1164"/>
      <c r="U3" s="1164"/>
      <c r="V3" s="1164"/>
      <c r="W3" s="1164"/>
      <c r="X3" s="1164"/>
      <c r="Y3" s="1164"/>
      <c r="Z3" s="1164"/>
      <c r="AA3" s="1164"/>
      <c r="AB3" s="1164"/>
      <c r="AC3" s="1164"/>
      <c r="AE3" s="1164"/>
    </row>
    <row r="4" spans="1:38" s="683" customFormat="1">
      <c r="A4" s="1099"/>
      <c r="B4" s="330" t="s">
        <v>687</v>
      </c>
      <c r="C4" s="330"/>
      <c r="D4" s="1320">
        <f>W4</f>
        <v>34391.597000000002</v>
      </c>
      <c r="E4" s="1319">
        <f>'Income Statement'!CO236</f>
        <v>42474.105831966364</v>
      </c>
      <c r="F4" s="1319">
        <f>'Income Statement'!CP236</f>
        <v>47281.52542977938</v>
      </c>
      <c r="G4" s="1319">
        <f>'Income Statement'!CQ236</f>
        <v>49342.820741226758</v>
      </c>
      <c r="H4" s="1319">
        <f>'Income Statement'!CR236</f>
        <v>51491.024704882409</v>
      </c>
      <c r="I4" s="1319">
        <f>'Income Statement'!CS236</f>
        <v>53729.794804044934</v>
      </c>
      <c r="J4" s="1319">
        <f>'Income Statement'!CT236</f>
        <v>56062.943842146051</v>
      </c>
      <c r="K4" s="330"/>
      <c r="L4" s="1189">
        <f>(J4/D4)^(1/6)-1</f>
        <v>8.4852246346437399E-2</v>
      </c>
      <c r="M4" s="330"/>
      <c r="N4" s="892">
        <v>7547.3239999999996</v>
      </c>
      <c r="O4" s="892">
        <v>8217.2030000000013</v>
      </c>
      <c r="P4" s="892">
        <v>8103.2769999999991</v>
      </c>
      <c r="Q4" s="892">
        <v>8454.8470000000016</v>
      </c>
      <c r="R4" s="892">
        <v>32322.651000000005</v>
      </c>
      <c r="S4" s="892">
        <v>8438.2849999999999</v>
      </c>
      <c r="T4" s="892">
        <v>8613.3120000000017</v>
      </c>
      <c r="U4" s="892">
        <v>8309.8139999999985</v>
      </c>
      <c r="V4" s="892"/>
      <c r="W4" s="892">
        <v>34391.597000000002</v>
      </c>
      <c r="X4" s="892">
        <v>41495.908510024659</v>
      </c>
      <c r="Y4" s="892">
        <v>48717.819545967293</v>
      </c>
      <c r="Z4" s="892">
        <v>50082.407782619586</v>
      </c>
      <c r="AA4" s="892">
        <v>51279.775198841642</v>
      </c>
      <c r="AB4" s="892">
        <v>52515.314727160716</v>
      </c>
      <c r="AC4" s="892">
        <v>53789.923919043686</v>
      </c>
      <c r="AE4" s="1189">
        <f>(AC4/W4)^(1/6)-1</f>
        <v>7.7394525566258698E-2</v>
      </c>
      <c r="AG4" s="1324">
        <f t="shared" ref="AG4:AL4" si="3">IFERROR(E4/X4-1,"")</f>
        <v>2.3573343904625954E-2</v>
      </c>
      <c r="AH4" s="1324">
        <f t="shared" si="3"/>
        <v>-2.9481904764491973E-2</v>
      </c>
      <c r="AI4" s="1324">
        <f t="shared" si="3"/>
        <v>-1.4767401851024653E-2</v>
      </c>
      <c r="AJ4" s="1324">
        <f t="shared" si="3"/>
        <v>4.1195482082678758E-3</v>
      </c>
      <c r="AK4" s="1324">
        <f t="shared" si="3"/>
        <v>2.3126207720432612E-2</v>
      </c>
      <c r="AL4" s="1324">
        <f t="shared" si="3"/>
        <v>4.2257355234845972E-2</v>
      </c>
    </row>
    <row r="5" spans="1:38" s="683" customFormat="1">
      <c r="A5" s="1099"/>
      <c r="B5" s="330" t="s">
        <v>2</v>
      </c>
      <c r="C5" s="330"/>
      <c r="D5" s="1320">
        <f t="shared" ref="D5:D7" si="4">W5</f>
        <v>17879</v>
      </c>
      <c r="E5" s="1319">
        <f>'Income Statement'!CO248</f>
        <v>18547.777952688124</v>
      </c>
      <c r="F5" s="1319">
        <f>'Income Statement'!CP248</f>
        <v>22026.102884302556</v>
      </c>
      <c r="G5" s="1319">
        <f>'Income Statement'!CQ248</f>
        <v>24266.810115801967</v>
      </c>
      <c r="H5" s="1319">
        <f>'Income Statement'!CR248</f>
        <v>26620.859772424206</v>
      </c>
      <c r="I5" s="1319">
        <f>'Income Statement'!CS248</f>
        <v>27939.493298103363</v>
      </c>
      <c r="J5" s="1319">
        <f>'Income Statement'!CT248</f>
        <v>29320.919629442382</v>
      </c>
      <c r="K5" s="330"/>
      <c r="L5" s="1189">
        <f t="shared" ref="L5:L7" si="5">(J5/D5)^(1/6)-1</f>
        <v>8.5939741875233677E-2</v>
      </c>
      <c r="M5" s="330"/>
      <c r="N5" s="892">
        <v>3583</v>
      </c>
      <c r="O5" s="892">
        <v>4069</v>
      </c>
      <c r="P5" s="892">
        <v>4103</v>
      </c>
      <c r="Q5" s="892">
        <v>4130</v>
      </c>
      <c r="R5" s="892">
        <v>15885</v>
      </c>
      <c r="S5" s="892">
        <v>4454</v>
      </c>
      <c r="T5" s="892">
        <v>4503</v>
      </c>
      <c r="U5" s="892">
        <v>4339</v>
      </c>
      <c r="V5" s="892"/>
      <c r="W5" s="892">
        <v>17879</v>
      </c>
      <c r="X5" s="892">
        <v>20677.714631191488</v>
      </c>
      <c r="Y5" s="892">
        <v>23816.19512184387</v>
      </c>
      <c r="Z5" s="892">
        <v>25025.885460748661</v>
      </c>
      <c r="AA5" s="892">
        <v>26592.193763350788</v>
      </c>
      <c r="AB5" s="892">
        <v>27480.438044350718</v>
      </c>
      <c r="AC5" s="892">
        <v>28294.364864768864</v>
      </c>
      <c r="AE5" s="1189">
        <f t="shared" ref="AE5:AE7" si="6">(AC5/W5)^(1/6)-1</f>
        <v>7.950863564405064E-2</v>
      </c>
      <c r="AG5" s="1324">
        <f t="shared" ref="AG5:AG7" si="7">IFERROR(E5/X5-1,"")</f>
        <v>-0.1030063871415674</v>
      </c>
      <c r="AH5" s="1324">
        <f t="shared" ref="AH5:AH7" si="8">IFERROR(F5/Y5-1,"")</f>
        <v>-7.5162813723316679E-2</v>
      </c>
      <c r="AI5" s="1324">
        <f t="shared" ref="AI5:AI7" si="9">IFERROR(G5/Z5-1,"")</f>
        <v>-3.0331607892046364E-2</v>
      </c>
      <c r="AJ5" s="1324">
        <f t="shared" ref="AJ5:AJ7" si="10">IFERROR(H5/AA5-1,"")</f>
        <v>1.0779858679026422E-3</v>
      </c>
      <c r="AK5" s="1324">
        <f t="shared" ref="AK5:AK7" si="11">IFERROR(I5/AB5-1,"")</f>
        <v>1.6704801175722706E-2</v>
      </c>
      <c r="AL5" s="1324">
        <f t="shared" ref="AL5:AL7" si="12">IFERROR(J5/AC5-1,"")</f>
        <v>3.6281244324793072E-2</v>
      </c>
    </row>
    <row r="6" spans="1:38">
      <c r="B6" s="1164" t="s">
        <v>1047</v>
      </c>
      <c r="C6" s="1164"/>
      <c r="D6" s="1320">
        <f t="shared" si="4"/>
        <v>12724.890890000001</v>
      </c>
      <c r="E6" s="1319">
        <f>'Income Statement'!CO254</f>
        <v>16463.321706114111</v>
      </c>
      <c r="F6" s="1319">
        <f>'Income Statement'!CP254</f>
        <v>16956.125076474193</v>
      </c>
      <c r="G6" s="1319">
        <f>'Income Statement'!CQ254</f>
        <v>16557.870318976438</v>
      </c>
      <c r="H6" s="1319">
        <f>'Income Statement'!CR254</f>
        <v>16259.780487046355</v>
      </c>
      <c r="I6" s="1319">
        <f>'Income Statement'!CS254</f>
        <v>16167.31125420738</v>
      </c>
      <c r="J6" s="1319">
        <f>'Income Statement'!CT254</f>
        <v>16240.602522655947</v>
      </c>
      <c r="K6" s="1164"/>
      <c r="L6" s="1189">
        <f t="shared" si="5"/>
        <v>4.1496972180011804E-2</v>
      </c>
      <c r="M6" s="1164"/>
      <c r="N6" s="891">
        <v>2737.9949999999999</v>
      </c>
      <c r="O6" s="891">
        <v>2830.1390000000001</v>
      </c>
      <c r="P6" s="891">
        <v>2956.7470000000012</v>
      </c>
      <c r="Q6" s="891">
        <v>2822.8769999999986</v>
      </c>
      <c r="R6" s="891">
        <v>11347.758</v>
      </c>
      <c r="S6" s="891">
        <v>3007.2190000000001</v>
      </c>
      <c r="T6" s="891">
        <v>3166.6189999999997</v>
      </c>
      <c r="U6" s="891">
        <v>2900.0280000000002</v>
      </c>
      <c r="V6" s="891"/>
      <c r="W6" s="891">
        <v>12724.890890000001</v>
      </c>
      <c r="X6" s="891">
        <v>15353.486148709124</v>
      </c>
      <c r="Y6" s="891">
        <v>18025.593232007897</v>
      </c>
      <c r="Z6" s="891">
        <v>18530.490879569246</v>
      </c>
      <c r="AA6" s="891">
        <v>18973.516823571408</v>
      </c>
      <c r="AB6" s="891">
        <v>19430.666449049466</v>
      </c>
      <c r="AC6" s="891">
        <v>19902.271850046163</v>
      </c>
      <c r="AE6" s="1189">
        <f t="shared" si="6"/>
        <v>7.7394525566258698E-2</v>
      </c>
      <c r="AG6" s="1324">
        <f t="shared" si="7"/>
        <v>7.2285573885661147E-2</v>
      </c>
      <c r="AH6" s="1324">
        <f t="shared" si="8"/>
        <v>-5.9330538627414442E-2</v>
      </c>
      <c r="AI6" s="1324">
        <f t="shared" si="9"/>
        <v>-0.10645268781129358</v>
      </c>
      <c r="AJ6" s="1324">
        <f t="shared" si="10"/>
        <v>-0.14302758743986199</v>
      </c>
      <c r="AK6" s="1324">
        <f t="shared" si="11"/>
        <v>-0.16794870126555683</v>
      </c>
      <c r="AL6" s="1324">
        <f t="shared" si="12"/>
        <v>-0.18398247973794624</v>
      </c>
    </row>
    <row r="7" spans="1:38" s="683" customFormat="1">
      <c r="A7" s="1099"/>
      <c r="B7" s="330" t="s">
        <v>77</v>
      </c>
      <c r="C7" s="330"/>
      <c r="D7" s="1320">
        <f t="shared" si="4"/>
        <v>5154.1091099999994</v>
      </c>
      <c r="E7" s="1319">
        <f>'Income Statement'!CO257</f>
        <v>2084.4562465740128</v>
      </c>
      <c r="F7" s="1319">
        <f>'Income Statement'!CP257</f>
        <v>5069.9778078283634</v>
      </c>
      <c r="G7" s="1319">
        <f>'Income Statement'!CQ257</f>
        <v>7708.9397968255289</v>
      </c>
      <c r="H7" s="1319">
        <f>'Income Statement'!CR257</f>
        <v>10361.079285377851</v>
      </c>
      <c r="I7" s="1319">
        <f>'Income Statement'!CS257</f>
        <v>11772.182043895984</v>
      </c>
      <c r="J7" s="1319">
        <f>'Income Statement'!CT257</f>
        <v>13080.317106786435</v>
      </c>
      <c r="K7" s="330"/>
      <c r="L7" s="1189">
        <f t="shared" si="5"/>
        <v>0.1679137660381993</v>
      </c>
      <c r="M7" s="330"/>
      <c r="N7" s="892">
        <v>845.00500000000011</v>
      </c>
      <c r="O7" s="892">
        <v>1238.8609999999999</v>
      </c>
      <c r="P7" s="892">
        <v>1146.2529999999988</v>
      </c>
      <c r="Q7" s="892">
        <v>1307.1230000000014</v>
      </c>
      <c r="R7" s="892">
        <v>4537.2420000000002</v>
      </c>
      <c r="S7" s="892">
        <v>1446.7809999999999</v>
      </c>
      <c r="T7" s="892">
        <v>1336.3810000000003</v>
      </c>
      <c r="U7" s="892">
        <v>1438.9719999999998</v>
      </c>
      <c r="V7" s="892"/>
      <c r="W7" s="892">
        <v>5154.1091099999994</v>
      </c>
      <c r="X7" s="892">
        <v>5324.2284824823637</v>
      </c>
      <c r="Y7" s="892">
        <v>5790.6018898359725</v>
      </c>
      <c r="Z7" s="892">
        <v>6495.3945811794147</v>
      </c>
      <c r="AA7" s="892">
        <v>7618.6769397793796</v>
      </c>
      <c r="AB7" s="892">
        <v>8049.7715953012521</v>
      </c>
      <c r="AC7" s="892">
        <v>8392.0930147227009</v>
      </c>
      <c r="AE7" s="1189">
        <f t="shared" si="6"/>
        <v>8.4641240936521589E-2</v>
      </c>
      <c r="AG7" s="1324">
        <f t="shared" si="7"/>
        <v>-0.60849609414167039</v>
      </c>
      <c r="AH7" s="1324">
        <f t="shared" si="8"/>
        <v>-0.12444718109053454</v>
      </c>
      <c r="AI7" s="1324">
        <f t="shared" si="9"/>
        <v>0.18683163901426325</v>
      </c>
      <c r="AJ7" s="1324">
        <f t="shared" si="10"/>
        <v>0.35995782040311664</v>
      </c>
      <c r="AK7" s="1324">
        <f t="shared" si="11"/>
        <v>0.46242435633422785</v>
      </c>
      <c r="AL7" s="1324">
        <f t="shared" si="12"/>
        <v>0.55864777521399378</v>
      </c>
    </row>
    <row r="8" spans="1:38">
      <c r="B8" s="330" t="s">
        <v>798</v>
      </c>
      <c r="C8" s="330"/>
      <c r="D8" s="330"/>
      <c r="E8" s="1320"/>
      <c r="F8" s="1320"/>
      <c r="G8" s="1320"/>
      <c r="H8" s="1320"/>
      <c r="I8" s="1320"/>
      <c r="J8" s="1320"/>
      <c r="K8" s="330"/>
      <c r="L8" s="330"/>
      <c r="M8" s="330"/>
      <c r="N8" s="892"/>
      <c r="O8" s="892"/>
      <c r="P8" s="892"/>
      <c r="Q8" s="892"/>
      <c r="R8" s="892"/>
      <c r="S8" s="892"/>
      <c r="T8" s="892"/>
      <c r="U8" s="892"/>
      <c r="V8" s="892"/>
      <c r="W8" s="892"/>
      <c r="X8" s="892"/>
      <c r="Y8" s="892"/>
      <c r="Z8" s="892"/>
      <c r="AA8" s="892"/>
      <c r="AB8" s="892"/>
      <c r="AC8" s="892"/>
    </row>
    <row r="9" spans="1:38">
      <c r="B9" s="1164" t="s">
        <v>173</v>
      </c>
      <c r="C9" s="1164"/>
      <c r="D9" s="1164"/>
      <c r="E9" s="1321"/>
      <c r="F9" s="1321"/>
      <c r="G9" s="1321"/>
      <c r="H9" s="1321"/>
      <c r="I9" s="1321"/>
      <c r="J9" s="1321"/>
      <c r="K9" s="1164"/>
      <c r="L9" s="1164"/>
      <c r="M9" s="1164"/>
      <c r="N9" s="891">
        <v>-655.048</v>
      </c>
      <c r="O9" s="891">
        <v>-709.16499999999996</v>
      </c>
      <c r="P9" s="891">
        <v>-739.47500000000014</v>
      </c>
      <c r="Q9" s="891">
        <v>-736.19499999999971</v>
      </c>
      <c r="R9" s="891">
        <v>-2839.8829999999998</v>
      </c>
      <c r="S9" s="891">
        <v>-742.48500000000001</v>
      </c>
      <c r="T9" s="891">
        <v>-765.21300000000008</v>
      </c>
      <c r="U9" s="891">
        <v>-741.04999999999984</v>
      </c>
      <c r="V9" s="891"/>
      <c r="W9" s="891">
        <v>-3032.5460000000003</v>
      </c>
      <c r="X9" s="891">
        <v>-4817.9051775013377</v>
      </c>
      <c r="Y9" s="891"/>
      <c r="Z9" s="891"/>
      <c r="AA9" s="891"/>
      <c r="AB9" s="891"/>
      <c r="AC9" s="891"/>
    </row>
    <row r="10" spans="1:38">
      <c r="B10" s="1164" t="s">
        <v>355</v>
      </c>
      <c r="C10" s="1164"/>
      <c r="D10" s="1164"/>
      <c r="E10" s="1321"/>
      <c r="F10" s="1321"/>
      <c r="G10" s="1321"/>
      <c r="H10" s="1321"/>
      <c r="I10" s="1321"/>
      <c r="J10" s="1321"/>
      <c r="K10" s="1164"/>
      <c r="L10" s="1164"/>
      <c r="M10" s="1164"/>
      <c r="N10" s="891"/>
      <c r="O10" s="891"/>
      <c r="P10" s="891"/>
      <c r="Q10" s="891"/>
      <c r="R10" s="891"/>
      <c r="S10" s="891"/>
      <c r="T10" s="891"/>
      <c r="U10" s="891"/>
      <c r="V10" s="891"/>
      <c r="W10" s="891"/>
      <c r="X10" s="891"/>
      <c r="Y10" s="891"/>
      <c r="Z10" s="891"/>
      <c r="AA10" s="891"/>
      <c r="AB10" s="891"/>
      <c r="AC10" s="891"/>
    </row>
    <row r="11" spans="1:38">
      <c r="B11" s="1164" t="s">
        <v>501</v>
      </c>
      <c r="C11" s="1164"/>
      <c r="D11" s="1164"/>
      <c r="E11" s="1321"/>
      <c r="F11" s="1321"/>
      <c r="G11" s="1321"/>
      <c r="H11" s="1321"/>
      <c r="I11" s="1321"/>
      <c r="J11" s="1321"/>
      <c r="K11" s="1164"/>
      <c r="L11" s="1164"/>
      <c r="M11" s="1164"/>
      <c r="N11" s="891"/>
      <c r="O11" s="891"/>
      <c r="P11" s="891"/>
      <c r="Q11" s="891"/>
      <c r="R11" s="891"/>
      <c r="S11" s="891"/>
      <c r="T11" s="891"/>
      <c r="U11" s="891"/>
      <c r="V11" s="891"/>
      <c r="W11" s="891"/>
      <c r="X11" s="891"/>
      <c r="Y11" s="891"/>
      <c r="Z11" s="891"/>
      <c r="AA11" s="891"/>
      <c r="AB11" s="891"/>
      <c r="AC11" s="891"/>
    </row>
    <row r="12" spans="1:38">
      <c r="B12" s="1164" t="s">
        <v>799</v>
      </c>
      <c r="C12" s="1164"/>
      <c r="D12" s="1164"/>
      <c r="E12" s="1321"/>
      <c r="F12" s="1321"/>
      <c r="G12" s="1321"/>
      <c r="H12" s="1321"/>
      <c r="I12" s="1321"/>
      <c r="J12" s="1321"/>
      <c r="K12" s="1164"/>
      <c r="L12" s="1164"/>
      <c r="M12" s="1164"/>
      <c r="N12" s="891">
        <v>47.819999999999936</v>
      </c>
      <c r="O12" s="891">
        <v>35.860000000000127</v>
      </c>
      <c r="P12" s="891">
        <v>40.446000000001277</v>
      </c>
      <c r="Q12" s="891">
        <v>-116.96800000000167</v>
      </c>
      <c r="R12" s="891">
        <v>7.157999999999447</v>
      </c>
      <c r="S12" s="891">
        <v>-27.099999999999909</v>
      </c>
      <c r="T12" s="891">
        <v>89.967999999999847</v>
      </c>
      <c r="U12" s="891">
        <v>-282.32000000000016</v>
      </c>
      <c r="V12" s="891"/>
      <c r="W12" s="891"/>
      <c r="X12" s="891"/>
      <c r="Y12" s="891"/>
      <c r="Z12" s="891"/>
      <c r="AA12" s="891"/>
      <c r="AB12" s="891"/>
      <c r="AC12" s="891"/>
    </row>
    <row r="13" spans="1:38">
      <c r="B13" s="1198" t="s">
        <v>809</v>
      </c>
      <c r="C13" s="1198"/>
      <c r="D13" s="1198"/>
      <c r="E13" s="1322"/>
      <c r="F13" s="1321"/>
      <c r="G13" s="1321"/>
      <c r="H13" s="1321"/>
      <c r="I13" s="1321"/>
      <c r="J13" s="1321"/>
      <c r="K13" s="1164"/>
      <c r="L13" s="1164"/>
      <c r="M13" s="1164"/>
      <c r="N13" s="891">
        <v>-33.601999999999975</v>
      </c>
      <c r="O13" s="891">
        <v>-112.20700000000005</v>
      </c>
      <c r="P13" s="891">
        <v>-86.165000000000077</v>
      </c>
      <c r="Q13" s="891">
        <v>-188.09499999999997</v>
      </c>
      <c r="R13" s="891">
        <v>-420.06900000000007</v>
      </c>
      <c r="S13" s="891">
        <v>-129.76600000000008</v>
      </c>
      <c r="T13" s="891">
        <v>-171.40100000000007</v>
      </c>
      <c r="U13" s="891">
        <v>-117.8349999999997</v>
      </c>
      <c r="V13" s="891"/>
      <c r="W13" s="891">
        <v>-579.59399999999994</v>
      </c>
      <c r="X13" s="891"/>
      <c r="Y13" s="891"/>
      <c r="Z13" s="891"/>
      <c r="AA13" s="891"/>
      <c r="AB13" s="891"/>
      <c r="AC13" s="891"/>
    </row>
    <row r="14" spans="1:38">
      <c r="B14" s="1164" t="s">
        <v>417</v>
      </c>
      <c r="C14" s="1164"/>
      <c r="D14" s="1164"/>
      <c r="E14" s="1321"/>
      <c r="F14" s="1321"/>
      <c r="G14" s="1321"/>
      <c r="H14" s="1321"/>
      <c r="I14" s="1321"/>
      <c r="J14" s="1321"/>
      <c r="K14" s="1164"/>
      <c r="L14" s="1164"/>
      <c r="M14" s="1164"/>
      <c r="N14" s="891"/>
      <c r="O14" s="891"/>
      <c r="P14" s="891"/>
      <c r="Q14" s="891"/>
      <c r="R14" s="891"/>
      <c r="S14" s="891"/>
      <c r="T14" s="891"/>
      <c r="U14" s="891"/>
      <c r="V14" s="891"/>
      <c r="W14" s="891"/>
      <c r="X14" s="891"/>
      <c r="Y14" s="891"/>
      <c r="Z14" s="891"/>
      <c r="AA14" s="891"/>
      <c r="AB14" s="891"/>
      <c r="AC14" s="891"/>
    </row>
    <row r="15" spans="1:38">
      <c r="B15" s="1164" t="s">
        <v>1048</v>
      </c>
      <c r="C15" s="1164"/>
      <c r="D15" s="1164"/>
      <c r="E15" s="1321"/>
      <c r="F15" s="1321"/>
      <c r="G15" s="1321"/>
      <c r="H15" s="1321"/>
      <c r="I15" s="1321"/>
      <c r="J15" s="1321"/>
      <c r="K15" s="1164"/>
      <c r="L15" s="1164"/>
      <c r="M15" s="1164"/>
      <c r="N15" s="891"/>
      <c r="O15" s="891"/>
      <c r="P15" s="891"/>
      <c r="Q15" s="891"/>
      <c r="R15" s="891"/>
      <c r="S15" s="891"/>
      <c r="T15" s="891"/>
      <c r="U15" s="891"/>
      <c r="V15" s="891"/>
      <c r="W15" s="891"/>
      <c r="X15" s="891"/>
      <c r="Y15" s="891"/>
      <c r="Z15" s="891"/>
      <c r="AA15" s="891"/>
      <c r="AB15" s="891"/>
      <c r="AC15" s="891"/>
    </row>
    <row r="16" spans="1:38">
      <c r="B16" s="1164" t="s">
        <v>1049</v>
      </c>
      <c r="C16" s="1164"/>
      <c r="D16" s="1164"/>
      <c r="E16" s="1321"/>
      <c r="F16" s="1321"/>
      <c r="G16" s="1321"/>
      <c r="H16" s="1321"/>
      <c r="I16" s="1321"/>
      <c r="J16" s="1321"/>
      <c r="K16" s="1164"/>
      <c r="L16" s="1164"/>
      <c r="M16" s="1164"/>
      <c r="N16" s="892">
        <v>204.17500000000007</v>
      </c>
      <c r="O16" s="892">
        <v>453.34899999999999</v>
      </c>
      <c r="P16" s="892">
        <v>361.05899999999986</v>
      </c>
      <c r="Q16" s="892">
        <v>265.86500000000007</v>
      </c>
      <c r="R16" s="892">
        <v>1284.4479999999999</v>
      </c>
      <c r="S16" s="892">
        <v>547.42999999999995</v>
      </c>
      <c r="T16" s="892">
        <v>489.73500000000001</v>
      </c>
      <c r="U16" s="892">
        <v>297.76700000000005</v>
      </c>
      <c r="V16" s="892"/>
      <c r="W16" s="892">
        <v>1847.6309999999999</v>
      </c>
      <c r="X16" s="891"/>
      <c r="Y16" s="891"/>
      <c r="Z16" s="891"/>
      <c r="AA16" s="891"/>
      <c r="AB16" s="891"/>
      <c r="AC16" s="891"/>
    </row>
    <row r="17" spans="1:38">
      <c r="B17" s="1167"/>
      <c r="C17" s="1167"/>
      <c r="D17" s="1167"/>
      <c r="E17" s="1323"/>
      <c r="F17" s="1320"/>
      <c r="G17" s="1320"/>
      <c r="H17" s="1320"/>
      <c r="I17" s="1320"/>
      <c r="J17" s="1320"/>
      <c r="K17" s="330"/>
      <c r="L17" s="330"/>
      <c r="M17" s="330"/>
      <c r="N17" s="891"/>
      <c r="O17" s="891"/>
      <c r="P17" s="891"/>
      <c r="Q17" s="891"/>
      <c r="R17" s="891"/>
      <c r="S17" s="891"/>
      <c r="T17" s="891"/>
      <c r="U17" s="891"/>
      <c r="V17" s="891"/>
      <c r="W17" s="891"/>
      <c r="X17" s="891"/>
      <c r="Y17" s="891"/>
      <c r="Z17" s="891"/>
      <c r="AA17" s="891"/>
      <c r="AB17" s="891"/>
      <c r="AC17" s="891"/>
    </row>
    <row r="18" spans="1:38">
      <c r="B18" s="1164"/>
      <c r="C18" s="1164"/>
      <c r="D18" s="1164"/>
      <c r="E18" s="1321"/>
      <c r="F18" s="1321"/>
      <c r="G18" s="1321"/>
      <c r="H18" s="1321"/>
      <c r="I18" s="1321"/>
      <c r="J18" s="1321"/>
      <c r="K18" s="1164"/>
      <c r="L18" s="1164"/>
      <c r="M18" s="1164"/>
      <c r="N18" s="891"/>
      <c r="O18" s="891"/>
      <c r="P18" s="891"/>
      <c r="Q18" s="891"/>
      <c r="R18" s="891"/>
      <c r="S18" s="891"/>
      <c r="T18" s="891"/>
      <c r="U18" s="891"/>
      <c r="V18" s="891"/>
      <c r="W18" s="891"/>
      <c r="X18" s="891"/>
      <c r="Y18" s="891"/>
      <c r="Z18" s="891"/>
      <c r="AA18" s="891"/>
      <c r="AB18" s="891"/>
      <c r="AC18" s="891"/>
    </row>
    <row r="19" spans="1:38" s="683" customFormat="1">
      <c r="A19" s="1099"/>
      <c r="B19" s="330" t="s">
        <v>248</v>
      </c>
      <c r="C19" s="330"/>
      <c r="D19" s="330"/>
      <c r="E19" s="1319">
        <f>'Balance Sheet and Cflow'!V73</f>
        <v>20387.570799343855</v>
      </c>
      <c r="F19" s="1319">
        <f>'Balance Sheet and Cflow'!W73</f>
        <v>10401.935594551464</v>
      </c>
      <c r="G19" s="1319">
        <f>'Balance Sheet and Cflow'!X73</f>
        <v>10361.99235565762</v>
      </c>
      <c r="H19" s="1319">
        <f>'Balance Sheet and Cflow'!Y73</f>
        <v>10813.115188025306</v>
      </c>
      <c r="I19" s="1319">
        <f>'Balance Sheet and Cflow'!Z73</f>
        <v>11283.256908849437</v>
      </c>
      <c r="J19" s="1319">
        <f>'Balance Sheet and Cflow'!AA73</f>
        <v>12053.5329260614</v>
      </c>
      <c r="K19" s="330"/>
      <c r="L19" s="330"/>
      <c r="M19" s="330"/>
      <c r="N19" s="892">
        <v>1413</v>
      </c>
      <c r="O19" s="892">
        <v>1743</v>
      </c>
      <c r="P19" s="892">
        <v>2389</v>
      </c>
      <c r="Q19" s="892">
        <v>1613</v>
      </c>
      <c r="R19" s="892">
        <v>7158</v>
      </c>
      <c r="S19" s="892">
        <v>2057</v>
      </c>
      <c r="T19" s="892">
        <v>2088</v>
      </c>
      <c r="U19" s="892">
        <v>1504</v>
      </c>
      <c r="V19" s="892"/>
      <c r="W19" s="892">
        <v>7382</v>
      </c>
      <c r="X19" s="892">
        <v>9119.1215112211376</v>
      </c>
      <c r="Y19" s="892">
        <v>10292.561657662129</v>
      </c>
      <c r="Z19" s="892">
        <v>9516.3265233291695</v>
      </c>
      <c r="AA19" s="892">
        <v>8325.6603948013108</v>
      </c>
      <c r="AB19" s="892">
        <v>8374.7122289211238</v>
      </c>
      <c r="AC19" s="892">
        <v>8671.4778017999288</v>
      </c>
      <c r="AG19" s="1324">
        <f>IFERROR(E19/X19-1,"")</f>
        <v>1.2356946087687084</v>
      </c>
      <c r="AH19" s="1324">
        <f t="shared" ref="AH19" si="13">IFERROR(F19/Y19-1,"")</f>
        <v>1.0626502956911033E-2</v>
      </c>
      <c r="AI19" s="1324">
        <f t="shared" ref="AI19" si="14">IFERROR(G19/Z19-1,"")</f>
        <v>8.8864734754036556E-2</v>
      </c>
      <c r="AJ19" s="1324">
        <f t="shared" ref="AJ19" si="15">IFERROR(H19/AA19-1,"")</f>
        <v>0.29876966814274653</v>
      </c>
      <c r="AK19" s="1324">
        <f t="shared" ref="AK19" si="16">IFERROR(I19/AB19-1,"")</f>
        <v>0.34730085051567294</v>
      </c>
      <c r="AL19" s="1324">
        <f t="shared" ref="AL19" si="17">IFERROR(J19/AC19-1,"")</f>
        <v>0.39002061719623637</v>
      </c>
    </row>
    <row r="20" spans="1:38">
      <c r="B20" s="330"/>
      <c r="C20" s="330"/>
      <c r="D20" s="330"/>
      <c r="E20" s="330"/>
      <c r="F20" s="330"/>
      <c r="G20" s="330"/>
      <c r="H20" s="330"/>
      <c r="I20" s="330"/>
      <c r="J20" s="330"/>
      <c r="K20" s="330"/>
      <c r="L20" s="330"/>
      <c r="M20" s="330"/>
      <c r="N20" s="891"/>
      <c r="O20" s="891"/>
      <c r="P20" s="891"/>
      <c r="Q20" s="891"/>
      <c r="R20" s="891"/>
      <c r="S20" s="891"/>
      <c r="T20" s="891"/>
      <c r="U20" s="891"/>
      <c r="V20" s="891"/>
      <c r="W20" s="891"/>
      <c r="X20" s="891"/>
      <c r="Y20" s="891"/>
      <c r="Z20" s="891"/>
      <c r="AA20" s="891"/>
      <c r="AB20" s="891"/>
      <c r="AC20" s="891"/>
    </row>
    <row r="21" spans="1:38">
      <c r="B21" s="330"/>
      <c r="C21" s="330"/>
      <c r="D21" s="330"/>
      <c r="E21" s="330"/>
      <c r="F21" s="330"/>
      <c r="G21" s="330"/>
      <c r="H21" s="330"/>
      <c r="I21" s="330"/>
      <c r="J21" s="330"/>
      <c r="K21" s="330"/>
      <c r="L21" s="330"/>
      <c r="M21" s="330"/>
      <c r="N21" s="891"/>
      <c r="O21" s="891"/>
      <c r="P21" s="891"/>
      <c r="Q21" s="891"/>
      <c r="R21" s="891"/>
      <c r="S21" s="891"/>
      <c r="T21" s="891"/>
      <c r="U21" s="891"/>
      <c r="V21" s="891"/>
      <c r="W21" s="891"/>
      <c r="X21" s="891"/>
      <c r="Y21" s="891"/>
      <c r="Z21" s="891"/>
      <c r="AA21" s="891"/>
      <c r="AB21" s="891"/>
      <c r="AC21" s="891"/>
    </row>
    <row r="22" spans="1:38">
      <c r="B22" s="330"/>
      <c r="C22" s="330"/>
      <c r="D22" s="330"/>
      <c r="E22" s="330"/>
      <c r="F22" s="330"/>
      <c r="G22" s="330"/>
      <c r="H22" s="330"/>
      <c r="I22" s="330"/>
      <c r="J22" s="330"/>
      <c r="K22" s="330"/>
      <c r="L22" s="330"/>
      <c r="M22" s="330"/>
      <c r="N22" s="891"/>
      <c r="O22" s="891"/>
      <c r="P22" s="891"/>
      <c r="Q22" s="891"/>
      <c r="R22" s="891"/>
      <c r="S22" s="891"/>
      <c r="T22" s="891"/>
      <c r="U22" s="891"/>
      <c r="V22" s="891"/>
      <c r="W22" s="891"/>
      <c r="X22" s="891"/>
      <c r="Y22" s="891"/>
      <c r="Z22" s="891"/>
      <c r="AA22" s="891"/>
      <c r="AB22" s="891"/>
      <c r="AC22" s="891"/>
    </row>
    <row r="23" spans="1:38">
      <c r="B23" s="1164" t="s">
        <v>1060</v>
      </c>
      <c r="C23" s="1164"/>
      <c r="D23" s="1164"/>
      <c r="E23" s="1164"/>
      <c r="F23" s="1164"/>
      <c r="G23" s="1164"/>
      <c r="H23" s="1164"/>
      <c r="I23" s="1164"/>
      <c r="J23" s="1164"/>
      <c r="K23" s="1164"/>
      <c r="L23" s="1164"/>
      <c r="M23" s="1164"/>
      <c r="N23" s="891"/>
      <c r="O23" s="891"/>
      <c r="P23" s="891"/>
      <c r="Q23" s="891"/>
      <c r="R23" s="891"/>
      <c r="S23" s="891"/>
      <c r="T23" s="891"/>
      <c r="U23" s="891"/>
      <c r="V23" s="891"/>
      <c r="W23" s="891"/>
      <c r="X23" s="891"/>
      <c r="Y23" s="891"/>
      <c r="Z23" s="891"/>
      <c r="AA23" s="891"/>
      <c r="AB23" s="891"/>
      <c r="AC23" s="891"/>
    </row>
    <row r="24" spans="1:38">
      <c r="B24" s="1167" t="s">
        <v>88</v>
      </c>
      <c r="C24" s="1167"/>
      <c r="D24" s="1167"/>
      <c r="E24" s="1167"/>
      <c r="F24" s="330"/>
      <c r="G24" s="330"/>
      <c r="H24" s="330"/>
      <c r="I24" s="330"/>
      <c r="J24" s="330"/>
      <c r="K24" s="330"/>
      <c r="L24" s="330"/>
      <c r="M24" s="330"/>
      <c r="N24" s="891"/>
      <c r="O24" s="891"/>
      <c r="P24" s="891"/>
      <c r="Q24" s="891"/>
      <c r="R24" s="891"/>
      <c r="S24" s="170">
        <v>0.11804992074011933</v>
      </c>
      <c r="T24" s="170">
        <v>4.8204845371350835E-2</v>
      </c>
      <c r="U24" s="170">
        <v>2.548808340132025E-2</v>
      </c>
      <c r="V24" s="170"/>
      <c r="W24" s="170">
        <v>6.4009168059884658E-2</v>
      </c>
      <c r="X24" s="170">
        <v>0.20657114323666503</v>
      </c>
      <c r="Y24" s="170">
        <v>0.17403911121015581</v>
      </c>
      <c r="Z24" s="170">
        <v>2.8010043334651957E-2</v>
      </c>
      <c r="AA24" s="170">
        <v>2.3907944310888052E-2</v>
      </c>
      <c r="AB24" s="170">
        <v>2.4094090185227346E-2</v>
      </c>
      <c r="AC24" s="170">
        <v>2.427119019480517E-2</v>
      </c>
    </row>
    <row r="25" spans="1:38">
      <c r="B25" s="1164" t="s">
        <v>1061</v>
      </c>
      <c r="C25" s="1164"/>
      <c r="D25" s="1164"/>
      <c r="E25" s="1164"/>
      <c r="F25" s="1164"/>
      <c r="G25" s="1164"/>
      <c r="H25" s="1164"/>
      <c r="I25" s="1164"/>
      <c r="J25" s="1164"/>
      <c r="K25" s="1164"/>
      <c r="L25" s="1164"/>
      <c r="M25" s="1164"/>
      <c r="N25" s="891"/>
      <c r="O25" s="891"/>
      <c r="P25" s="891"/>
      <c r="Q25" s="891"/>
      <c r="R25" s="891"/>
      <c r="S25" s="170">
        <v>0.24309238068657546</v>
      </c>
      <c r="T25" s="170">
        <v>0.10666011304988943</v>
      </c>
      <c r="U25" s="170">
        <v>5.7518888618084407E-2</v>
      </c>
      <c r="V25" s="170"/>
      <c r="W25" s="170">
        <v>0.12552722694365759</v>
      </c>
      <c r="X25" s="170">
        <v>0.15653641877014857</v>
      </c>
      <c r="Y25" s="170">
        <v>0.15178082039676255</v>
      </c>
      <c r="Z25" s="170">
        <v>5.0792762349989307E-2</v>
      </c>
      <c r="AA25" s="170">
        <v>6.2587527824291112E-2</v>
      </c>
      <c r="AB25" s="170">
        <v>3.3402444676230658E-2</v>
      </c>
      <c r="AC25" s="170">
        <v>2.9618407796285773E-2</v>
      </c>
    </row>
    <row r="26" spans="1:38">
      <c r="B26" s="1164" t="s">
        <v>1062</v>
      </c>
      <c r="C26" s="1164"/>
      <c r="D26" s="1164"/>
      <c r="E26" s="1164"/>
      <c r="F26" s="1164"/>
      <c r="G26" s="1164"/>
      <c r="H26" s="1164"/>
      <c r="I26" s="1164"/>
      <c r="J26" s="1164"/>
      <c r="K26" s="1164"/>
      <c r="L26" s="1164"/>
      <c r="M26" s="1164"/>
      <c r="N26" s="891"/>
      <c r="O26" s="891"/>
      <c r="P26" s="891"/>
      <c r="Q26" s="891"/>
      <c r="R26" s="891"/>
      <c r="S26" s="170">
        <v>1.6811803599853055</v>
      </c>
      <c r="T26" s="170">
        <v>8.0260461586989296E-2</v>
      </c>
      <c r="U26" s="170">
        <v>-0.17529545032806226</v>
      </c>
      <c r="V26" s="170"/>
      <c r="W26" s="170">
        <v>0.43846305961782805</v>
      </c>
      <c r="X26" s="170">
        <v>-1</v>
      </c>
      <c r="Y26" s="170" t="s">
        <v>1465</v>
      </c>
      <c r="Z26" s="170" t="s">
        <v>1465</v>
      </c>
      <c r="AA26" s="170" t="s">
        <v>1465</v>
      </c>
      <c r="AB26" s="170" t="s">
        <v>1465</v>
      </c>
      <c r="AC26" s="170" t="s">
        <v>1465</v>
      </c>
    </row>
    <row r="27" spans="1:38">
      <c r="B27" s="1164"/>
      <c r="C27" s="1164"/>
      <c r="D27" s="1164"/>
      <c r="E27" s="1164"/>
      <c r="F27" s="1164"/>
      <c r="G27" s="1164"/>
      <c r="H27" s="1164"/>
      <c r="I27" s="1164"/>
      <c r="J27" s="1164"/>
      <c r="K27" s="1164"/>
      <c r="L27" s="1164"/>
      <c r="M27" s="1164"/>
      <c r="N27" s="891"/>
      <c r="O27" s="891"/>
      <c r="P27" s="891"/>
      <c r="Q27" s="891"/>
      <c r="R27" s="891"/>
      <c r="S27" s="891"/>
      <c r="T27" s="891"/>
      <c r="U27" s="891"/>
      <c r="V27" s="891"/>
      <c r="W27" s="891"/>
      <c r="X27" s="891"/>
      <c r="Y27" s="891"/>
      <c r="Z27" s="891"/>
      <c r="AA27" s="891"/>
      <c r="AB27" s="891"/>
      <c r="AC27" s="891"/>
    </row>
    <row r="28" spans="1:38">
      <c r="B28" s="1164" t="s">
        <v>4</v>
      </c>
      <c r="C28" s="1164"/>
      <c r="D28" s="1164"/>
      <c r="E28" s="1164"/>
      <c r="F28" s="1164"/>
      <c r="G28" s="1164"/>
      <c r="H28" s="1164"/>
      <c r="I28" s="1164"/>
      <c r="J28" s="1164"/>
      <c r="K28" s="1164"/>
      <c r="L28" s="1164"/>
      <c r="M28" s="1164"/>
      <c r="N28" s="891"/>
      <c r="O28" s="891"/>
      <c r="P28" s="891"/>
      <c r="Q28" s="891"/>
      <c r="R28" s="170">
        <v>0.49145102609312574</v>
      </c>
      <c r="S28" s="891"/>
      <c r="T28" s="891"/>
      <c r="U28" s="891"/>
      <c r="V28" s="891"/>
      <c r="W28" s="170">
        <v>0.51986536129741223</v>
      </c>
      <c r="X28" s="170">
        <v>0.49830731206176931</v>
      </c>
      <c r="Y28" s="170">
        <v>0.48886003815035889</v>
      </c>
      <c r="Z28" s="170">
        <v>0.49969413550108011</v>
      </c>
      <c r="AA28" s="170">
        <v>0.5185707944357657</v>
      </c>
      <c r="AB28" s="170">
        <v>0.52328426835339792</v>
      </c>
      <c r="AC28" s="170">
        <v>0.52601607891011681</v>
      </c>
    </row>
    <row r="29" spans="1:38">
      <c r="B29" s="1164" t="s">
        <v>1063</v>
      </c>
      <c r="C29" s="1164"/>
      <c r="D29" s="1164"/>
      <c r="E29" s="1164"/>
      <c r="F29" s="1164"/>
      <c r="G29" s="1164"/>
      <c r="H29" s="1164"/>
      <c r="I29" s="1164"/>
      <c r="J29" s="1164"/>
      <c r="K29" s="1164"/>
      <c r="L29" s="1164"/>
      <c r="M29" s="1164"/>
      <c r="N29" s="891"/>
      <c r="O29" s="891"/>
      <c r="P29" s="891"/>
      <c r="Q29" s="891"/>
      <c r="R29" s="891"/>
      <c r="S29" s="891"/>
      <c r="T29" s="891"/>
      <c r="U29" s="891"/>
      <c r="V29" s="891"/>
      <c r="W29" s="170">
        <v>5.3723326660288555E-2</v>
      </c>
      <c r="X29" s="170">
        <v>0</v>
      </c>
      <c r="Y29" s="170">
        <v>0</v>
      </c>
      <c r="Z29" s="170">
        <v>0</v>
      </c>
      <c r="AA29" s="170">
        <v>0</v>
      </c>
      <c r="AB29" s="170">
        <v>0</v>
      </c>
      <c r="AC29" s="170">
        <v>0</v>
      </c>
    </row>
    <row r="30" spans="1:38">
      <c r="B30" s="1164" t="s">
        <v>162</v>
      </c>
      <c r="C30" s="1164"/>
      <c r="D30" s="1164"/>
      <c r="E30" s="1164"/>
      <c r="F30" s="1164"/>
      <c r="G30" s="1164"/>
      <c r="H30" s="1164"/>
      <c r="I30" s="1164"/>
      <c r="J30" s="1164"/>
      <c r="K30" s="1164"/>
      <c r="L30" s="1164"/>
      <c r="M30" s="1164"/>
      <c r="N30" s="170">
        <v>0.18721867512246726</v>
      </c>
      <c r="O30" s="170">
        <v>0.21211597182155531</v>
      </c>
      <c r="P30" s="170">
        <v>0.29481899730195577</v>
      </c>
      <c r="Q30" s="170">
        <v>0.19077814181616767</v>
      </c>
      <c r="R30" s="170">
        <v>0.22145460779191653</v>
      </c>
      <c r="S30" s="170">
        <v>0.24376991296217182</v>
      </c>
      <c r="T30" s="170">
        <v>0.24241546109092527</v>
      </c>
      <c r="U30" s="170">
        <v>0.18099081399415201</v>
      </c>
      <c r="V30" s="170"/>
      <c r="W30" s="170">
        <v>0.21464545540005017</v>
      </c>
      <c r="X30" s="170">
        <v>0.219759533859058</v>
      </c>
      <c r="Y30" s="170">
        <v>0.2112689310315021</v>
      </c>
      <c r="Z30" s="170">
        <v>0.19001335887512341</v>
      </c>
      <c r="AA30" s="170">
        <v>0.16235758371634551</v>
      </c>
      <c r="AB30" s="170">
        <v>0.15947180879389752</v>
      </c>
      <c r="AC30" s="170">
        <v>0.16121007746452481</v>
      </c>
    </row>
    <row r="32" spans="1:38">
      <c r="A32" s="1064" t="s">
        <v>615</v>
      </c>
      <c r="B32" s="968" t="s">
        <v>1437</v>
      </c>
      <c r="C32" s="1065"/>
      <c r="D32" s="1065"/>
      <c r="E32" s="1065"/>
      <c r="F32" s="1065"/>
      <c r="G32" s="1065"/>
      <c r="H32" s="1065"/>
      <c r="I32" s="1065"/>
      <c r="J32" s="1065"/>
      <c r="K32" s="1065"/>
      <c r="L32" s="1065"/>
      <c r="M32" s="1065"/>
      <c r="N32" s="1065"/>
      <c r="O32" s="1065"/>
      <c r="P32" s="1065"/>
      <c r="Q32" s="1065"/>
      <c r="R32" s="1092">
        <v>2023</v>
      </c>
      <c r="S32" s="1093"/>
      <c r="T32" s="1093"/>
      <c r="U32" s="1093"/>
      <c r="V32" s="1093"/>
      <c r="W32" s="1092">
        <v>2024</v>
      </c>
      <c r="X32" s="969">
        <v>2025</v>
      </c>
      <c r="Y32" s="969">
        <v>2026</v>
      </c>
      <c r="Z32" s="969">
        <v>2027</v>
      </c>
      <c r="AA32" s="969">
        <v>2028</v>
      </c>
      <c r="AB32" s="969">
        <v>2029</v>
      </c>
      <c r="AC32" s="969">
        <v>2030</v>
      </c>
    </row>
    <row r="33" spans="2:29">
      <c r="B33" s="146"/>
      <c r="C33" s="146"/>
      <c r="D33" s="146"/>
      <c r="E33" s="146"/>
      <c r="F33" s="146"/>
      <c r="G33" s="146"/>
      <c r="H33" s="146"/>
      <c r="I33" s="146"/>
      <c r="J33" s="146"/>
      <c r="K33" s="146"/>
      <c r="L33" s="146"/>
      <c r="M33" s="146"/>
      <c r="N33" s="146"/>
      <c r="O33" s="146"/>
      <c r="P33" s="146"/>
      <c r="Q33" s="146"/>
      <c r="R33" s="146"/>
      <c r="S33" s="146"/>
      <c r="T33" s="146"/>
      <c r="U33" s="146"/>
      <c r="V33" s="146"/>
      <c r="W33" s="147"/>
      <c r="X33" s="147"/>
      <c r="Y33" s="146"/>
      <c r="Z33" s="146"/>
      <c r="AA33" s="146"/>
      <c r="AB33" s="146"/>
      <c r="AC33" s="146"/>
    </row>
    <row r="34" spans="2:29">
      <c r="B34" s="147" t="s">
        <v>687</v>
      </c>
      <c r="C34" s="147"/>
      <c r="D34" s="147"/>
      <c r="E34" s="892"/>
      <c r="F34" s="892"/>
      <c r="G34" s="892"/>
      <c r="H34" s="892"/>
      <c r="I34" s="892"/>
      <c r="J34" s="892"/>
      <c r="K34" s="892"/>
      <c r="L34" s="892"/>
      <c r="M34" s="892"/>
      <c r="N34" s="147"/>
      <c r="O34" s="147"/>
      <c r="P34" s="147"/>
      <c r="Q34" s="147"/>
      <c r="R34" s="892">
        <v>43978.359000000004</v>
      </c>
      <c r="S34" s="147"/>
      <c r="T34" s="147"/>
      <c r="U34" s="892">
        <v>45385.516000000003</v>
      </c>
      <c r="V34" s="147"/>
      <c r="W34" s="892">
        <v>45811.322</v>
      </c>
      <c r="X34" s="1094">
        <v>47003.497909266196</v>
      </c>
      <c r="Y34" s="1094">
        <v>49166.854877992788</v>
      </c>
      <c r="Z34" s="1094">
        <v>51106.032885777327</v>
      </c>
      <c r="AA34" s="1094">
        <v>53031.846000995007</v>
      </c>
      <c r="AB34" s="1094">
        <v>54725.347529473132</v>
      </c>
      <c r="AC34" s="1094">
        <v>56374.212672534915</v>
      </c>
    </row>
    <row r="35" spans="2:29">
      <c r="B35" s="253" t="s">
        <v>1308</v>
      </c>
      <c r="C35" s="253"/>
      <c r="D35" s="253"/>
      <c r="E35" s="1095"/>
      <c r="F35" s="1095"/>
      <c r="G35" s="1095"/>
      <c r="H35" s="1095"/>
      <c r="I35" s="1095"/>
      <c r="J35" s="1095"/>
      <c r="K35" s="1095"/>
      <c r="L35" s="1095"/>
      <c r="M35" s="1095"/>
      <c r="N35" s="253"/>
      <c r="O35" s="253"/>
      <c r="P35" s="253"/>
      <c r="Q35" s="253"/>
      <c r="R35" s="1095"/>
      <c r="S35" s="253"/>
      <c r="T35" s="253"/>
      <c r="U35" s="1095"/>
      <c r="V35" s="253"/>
      <c r="W35" s="1096">
        <v>4.1678749313952324E-2</v>
      </c>
      <c r="X35" s="1096">
        <v>2.6023608514641694E-2</v>
      </c>
      <c r="Y35" s="1096">
        <v>4.6025446295564043E-2</v>
      </c>
      <c r="Z35" s="1096">
        <v>3.9440757652621894E-2</v>
      </c>
      <c r="AA35" s="1096">
        <v>3.768269627818488E-2</v>
      </c>
      <c r="AB35" s="1096">
        <v>3.1933671108608008E-2</v>
      </c>
      <c r="AC35" s="1096">
        <v>3.0129824980531517E-2</v>
      </c>
    </row>
    <row r="36" spans="2:29">
      <c r="B36" s="253"/>
      <c r="C36" s="146"/>
      <c r="D36" s="146"/>
      <c r="E36" s="891"/>
      <c r="F36" s="891"/>
      <c r="G36" s="891"/>
      <c r="H36" s="891"/>
      <c r="I36" s="891"/>
      <c r="J36" s="891"/>
      <c r="K36" s="891"/>
      <c r="L36" s="891"/>
      <c r="M36" s="891"/>
      <c r="N36" s="146"/>
      <c r="O36" s="146"/>
      <c r="P36" s="146"/>
      <c r="Q36" s="146"/>
      <c r="R36" s="891"/>
      <c r="S36" s="146"/>
      <c r="T36" s="146"/>
      <c r="U36" s="891"/>
      <c r="V36" s="146"/>
      <c r="W36" s="891"/>
      <c r="X36" s="891"/>
      <c r="Y36" s="891"/>
      <c r="Z36" s="891"/>
      <c r="AA36" s="891"/>
      <c r="AB36" s="891"/>
      <c r="AC36" s="891"/>
    </row>
    <row r="37" spans="2:29">
      <c r="B37" s="147" t="s">
        <v>2</v>
      </c>
      <c r="C37" s="147"/>
      <c r="D37" s="147"/>
      <c r="E37" s="892"/>
      <c r="F37" s="892"/>
      <c r="G37" s="892"/>
      <c r="H37" s="892"/>
      <c r="I37" s="892"/>
      <c r="J37" s="892"/>
      <c r="K37" s="892"/>
      <c r="L37" s="892"/>
      <c r="M37" s="892"/>
      <c r="N37" s="147"/>
      <c r="O37" s="147"/>
      <c r="P37" s="147"/>
      <c r="Q37" s="147"/>
      <c r="R37" s="892">
        <v>21096.008999999998</v>
      </c>
      <c r="S37" s="147"/>
      <c r="T37" s="147"/>
      <c r="U37" s="892">
        <v>22482.441999999999</v>
      </c>
      <c r="V37" s="147"/>
      <c r="W37" s="892">
        <v>22451.777000000002</v>
      </c>
      <c r="X37" s="1094">
        <v>23046.987716971151</v>
      </c>
      <c r="Y37" s="1094">
        <v>23816.19512184387</v>
      </c>
      <c r="Z37" s="1094">
        <v>25025.885460748661</v>
      </c>
      <c r="AA37" s="1094">
        <v>26592.193763350788</v>
      </c>
      <c r="AB37" s="1094">
        <v>27480.438044350718</v>
      </c>
      <c r="AC37" s="1094">
        <v>28294.364864768864</v>
      </c>
    </row>
    <row r="38" spans="2:29">
      <c r="B38" s="253" t="s">
        <v>1308</v>
      </c>
      <c r="C38" s="253"/>
      <c r="D38" s="253"/>
      <c r="E38" s="1095"/>
      <c r="F38" s="1095"/>
      <c r="G38" s="1095"/>
      <c r="H38" s="1095"/>
      <c r="I38" s="1095"/>
      <c r="J38" s="1095"/>
      <c r="K38" s="1095"/>
      <c r="L38" s="1095"/>
      <c r="M38" s="1095"/>
      <c r="N38" s="253"/>
      <c r="O38" s="253"/>
      <c r="P38" s="253"/>
      <c r="Q38" s="253"/>
      <c r="R38" s="1095"/>
      <c r="S38" s="253"/>
      <c r="T38" s="253"/>
      <c r="U38" s="1095"/>
      <c r="V38" s="253"/>
      <c r="W38" s="1096">
        <v>6.4266563405429133E-2</v>
      </c>
      <c r="X38" s="1096">
        <v>2.6510628400199687E-2</v>
      </c>
      <c r="Y38" s="1096">
        <v>3.3375615690821814E-2</v>
      </c>
      <c r="Z38" s="1096">
        <v>5.0792762349989307E-2</v>
      </c>
      <c r="AA38" s="1096">
        <v>6.2587527824291112E-2</v>
      </c>
      <c r="AB38" s="1096">
        <v>3.3402444676230658E-2</v>
      </c>
      <c r="AC38" s="1096">
        <v>2.9618407796285773E-2</v>
      </c>
    </row>
    <row r="39" spans="2:29">
      <c r="B39" s="253" t="s">
        <v>4</v>
      </c>
      <c r="C39" s="253"/>
      <c r="D39" s="253"/>
      <c r="E39" s="1095"/>
      <c r="F39" s="1095"/>
      <c r="G39" s="1095"/>
      <c r="H39" s="1095"/>
      <c r="I39" s="1095"/>
      <c r="J39" s="1095"/>
      <c r="K39" s="1095"/>
      <c r="L39" s="1095"/>
      <c r="M39" s="1095"/>
      <c r="N39" s="253"/>
      <c r="O39" s="253"/>
      <c r="P39" s="253"/>
      <c r="Q39" s="253"/>
      <c r="R39" s="1096">
        <v>0.47969068150087174</v>
      </c>
      <c r="S39" s="253"/>
      <c r="T39" s="253"/>
      <c r="U39" s="1095"/>
      <c r="V39" s="253"/>
      <c r="W39" s="1096">
        <v>0.49009231822648563</v>
      </c>
      <c r="X39" s="1096">
        <v>0.4903249490380524</v>
      </c>
      <c r="Y39" s="1096">
        <v>0.48439533464045226</v>
      </c>
      <c r="Z39" s="1096">
        <v>0.48968554293153321</v>
      </c>
      <c r="AA39" s="1096">
        <v>0.50143820682485485</v>
      </c>
      <c r="AB39" s="1096">
        <v>0.50215191469639786</v>
      </c>
      <c r="AC39" s="1096">
        <v>0.50190261687776372</v>
      </c>
    </row>
    <row r="40" spans="2:29">
      <c r="B40" s="146"/>
      <c r="C40" s="146"/>
      <c r="D40" s="146"/>
      <c r="E40" s="891"/>
      <c r="F40" s="891"/>
      <c r="G40" s="891"/>
      <c r="H40" s="891"/>
      <c r="I40" s="891"/>
      <c r="J40" s="891"/>
      <c r="K40" s="891"/>
      <c r="L40" s="891"/>
      <c r="M40" s="891"/>
      <c r="N40" s="146"/>
      <c r="O40" s="146"/>
      <c r="P40" s="146"/>
      <c r="Q40" s="146"/>
      <c r="R40" s="891"/>
      <c r="S40" s="146"/>
      <c r="T40" s="146"/>
      <c r="U40" s="891"/>
      <c r="V40" s="146"/>
      <c r="W40" s="891"/>
      <c r="X40" s="170"/>
      <c r="Y40" s="170"/>
      <c r="Z40" s="170"/>
      <c r="AA40" s="170"/>
      <c r="AB40" s="170"/>
      <c r="AC40" s="170"/>
    </row>
    <row r="41" spans="2:29">
      <c r="B41" s="146" t="s">
        <v>91</v>
      </c>
      <c r="C41" s="146"/>
      <c r="D41" s="146"/>
      <c r="E41" s="891"/>
      <c r="F41" s="891"/>
      <c r="G41" s="891"/>
      <c r="H41" s="891"/>
      <c r="I41" s="891"/>
      <c r="J41" s="891"/>
      <c r="K41" s="891"/>
      <c r="L41" s="891"/>
      <c r="M41" s="891"/>
      <c r="N41" s="146"/>
      <c r="O41" s="146"/>
      <c r="P41" s="146"/>
      <c r="Q41" s="146"/>
      <c r="R41" s="891">
        <v>15821.396000000001</v>
      </c>
      <c r="S41" s="146"/>
      <c r="T41" s="146"/>
      <c r="U41" s="891">
        <v>16820.708999999999</v>
      </c>
      <c r="V41" s="146"/>
      <c r="W41" s="891">
        <v>16827.642</v>
      </c>
      <c r="X41" s="944">
        <v>16869.737325680933</v>
      </c>
      <c r="Y41" s="944">
        <v>16969.477818025622</v>
      </c>
      <c r="Z41" s="944">
        <v>16990.266089659584</v>
      </c>
      <c r="AA41" s="944">
        <v>16867.28467116223</v>
      </c>
      <c r="AB41" s="944">
        <v>17355.51078916591</v>
      </c>
      <c r="AC41" s="944">
        <v>17860.012263059878</v>
      </c>
    </row>
    <row r="42" spans="2:29">
      <c r="B42" s="146" t="s">
        <v>93</v>
      </c>
      <c r="C42" s="146"/>
      <c r="D42" s="146"/>
      <c r="E42" s="891"/>
      <c r="F42" s="891"/>
      <c r="G42" s="891"/>
      <c r="H42" s="891"/>
      <c r="I42" s="891"/>
      <c r="J42" s="891"/>
      <c r="K42" s="891"/>
      <c r="L42" s="891"/>
      <c r="M42" s="891"/>
      <c r="N42" s="146"/>
      <c r="O42" s="146"/>
      <c r="P42" s="146"/>
      <c r="Q42" s="146"/>
      <c r="R42" s="891">
        <v>128.614</v>
      </c>
      <c r="S42" s="146"/>
      <c r="T42" s="146"/>
      <c r="U42" s="891"/>
      <c r="V42" s="146"/>
      <c r="W42" s="891">
        <v>128.81899999999999</v>
      </c>
      <c r="X42" s="944">
        <v>137.68007117259108</v>
      </c>
      <c r="Y42" s="944">
        <v>144.01685789431463</v>
      </c>
      <c r="Z42" s="944">
        <v>149.69699188441635</v>
      </c>
      <c r="AA42" s="944">
        <v>155.33797816335473</v>
      </c>
      <c r="AB42" s="944">
        <v>160.29849006869944</v>
      </c>
      <c r="AC42" s="944">
        <v>165.1282555191128</v>
      </c>
    </row>
    <row r="43" spans="2:29">
      <c r="B43" s="148" t="s">
        <v>77</v>
      </c>
      <c r="C43" s="148"/>
      <c r="D43" s="148"/>
      <c r="E43" s="947"/>
      <c r="F43" s="947"/>
      <c r="G43" s="947"/>
      <c r="H43" s="947"/>
      <c r="I43" s="947"/>
      <c r="J43" s="947"/>
      <c r="K43" s="947"/>
      <c r="L43" s="947"/>
      <c r="M43" s="947"/>
      <c r="N43" s="148"/>
      <c r="O43" s="148"/>
      <c r="P43" s="148"/>
      <c r="Q43" s="148"/>
      <c r="R43" s="947">
        <v>5145.9989999999998</v>
      </c>
      <c r="S43" s="148"/>
      <c r="T43" s="148"/>
      <c r="U43" s="947">
        <v>5661.7330000000002</v>
      </c>
      <c r="V43" s="148"/>
      <c r="W43" s="947">
        <v>5495.3160000000007</v>
      </c>
      <c r="X43" s="947">
        <v>6039.5703201176266</v>
      </c>
      <c r="Y43" s="947">
        <v>6702.7004459239333</v>
      </c>
      <c r="Z43" s="947">
        <v>7885.9223792046605</v>
      </c>
      <c r="AA43" s="947">
        <v>9569.5711140252042</v>
      </c>
      <c r="AB43" s="947">
        <v>9964.6287651161092</v>
      </c>
      <c r="AC43" s="947">
        <v>10269.224346189874</v>
      </c>
    </row>
    <row r="44" spans="2:29">
      <c r="B44" s="253" t="s">
        <v>1308</v>
      </c>
      <c r="C44" s="253"/>
      <c r="D44" s="253"/>
      <c r="E44" s="1095"/>
      <c r="F44" s="1095"/>
      <c r="G44" s="1095"/>
      <c r="H44" s="1095"/>
      <c r="I44" s="1095"/>
      <c r="J44" s="1095"/>
      <c r="K44" s="1095"/>
      <c r="L44" s="1095"/>
      <c r="M44" s="1095"/>
      <c r="N44" s="253"/>
      <c r="O44" s="253"/>
      <c r="P44" s="253"/>
      <c r="Q44" s="253"/>
      <c r="R44" s="1095"/>
      <c r="S44" s="253"/>
      <c r="T44" s="253"/>
      <c r="U44" s="1095"/>
      <c r="V44" s="253"/>
      <c r="W44" s="1096">
        <v>6.7881280194574733E-2</v>
      </c>
      <c r="X44" s="1096">
        <v>9.9039676720615422E-2</v>
      </c>
      <c r="Y44" s="1096">
        <v>0.109797566823163</v>
      </c>
      <c r="Z44" s="1096">
        <v>0.17652913819239413</v>
      </c>
      <c r="AA44" s="1096">
        <v>0.21350054614541469</v>
      </c>
      <c r="AB44" s="1096">
        <v>4.128269139584595E-2</v>
      </c>
      <c r="AC44" s="1096">
        <v>3.0567679765460376E-2</v>
      </c>
    </row>
    <row r="45" spans="2:29">
      <c r="B45" s="253" t="s">
        <v>583</v>
      </c>
      <c r="C45" s="253"/>
      <c r="D45" s="253"/>
      <c r="E45" s="1095"/>
      <c r="F45" s="1095"/>
      <c r="G45" s="1095"/>
      <c r="H45" s="1095"/>
      <c r="I45" s="1095"/>
      <c r="J45" s="1095"/>
      <c r="K45" s="1095"/>
      <c r="L45" s="1095"/>
      <c r="M45" s="1095"/>
      <c r="N45" s="253"/>
      <c r="O45" s="253"/>
      <c r="P45" s="253"/>
      <c r="Q45" s="253"/>
      <c r="R45" s="1096">
        <v>0.11701207405214914</v>
      </c>
      <c r="S45" s="253"/>
      <c r="T45" s="253"/>
      <c r="U45" s="1095"/>
      <c r="V45" s="253"/>
      <c r="W45" s="1096">
        <v>0.11995541189577548</v>
      </c>
      <c r="X45" s="1096">
        <v>0.12849193334028433</v>
      </c>
      <c r="Y45" s="1096">
        <v>0.13632558890652327</v>
      </c>
      <c r="Z45" s="1096">
        <v>0.15430511690918766</v>
      </c>
      <c r="AA45" s="1096">
        <v>0.18044951921616412</v>
      </c>
      <c r="AB45" s="1096">
        <v>0.1820843396151941</v>
      </c>
      <c r="AC45" s="1096">
        <v>0.18216173422840479</v>
      </c>
    </row>
    <row r="46" spans="2:29">
      <c r="B46" s="253"/>
      <c r="C46" s="253"/>
      <c r="D46" s="253"/>
      <c r="E46" s="1095"/>
      <c r="F46" s="1095"/>
      <c r="G46" s="1095"/>
      <c r="H46" s="1095"/>
      <c r="I46" s="1095"/>
      <c r="J46" s="1095"/>
      <c r="K46" s="1095"/>
      <c r="L46" s="1095"/>
      <c r="M46" s="1095"/>
      <c r="N46" s="253"/>
      <c r="O46" s="253"/>
      <c r="P46" s="253"/>
      <c r="Q46" s="253"/>
      <c r="R46" s="1096"/>
      <c r="S46" s="253"/>
      <c r="T46" s="253"/>
      <c r="U46" s="1095"/>
      <c r="V46" s="253"/>
      <c r="W46" s="1096"/>
      <c r="X46" s="1096">
        <v>8.5365214445088516E-3</v>
      </c>
      <c r="Y46" s="1096">
        <v>7.8336555662389395E-3</v>
      </c>
      <c r="Z46" s="1096">
        <v>1.7979528002664391E-2</v>
      </c>
      <c r="AA46" s="1096">
        <v>2.6144402306976455E-2</v>
      </c>
      <c r="AB46" s="1096">
        <v>1.6348203990299848E-3</v>
      </c>
      <c r="AC46" s="1096">
        <v>7.7394613210685081E-5</v>
      </c>
    </row>
    <row r="47" spans="2:29">
      <c r="B47" s="889" t="s">
        <v>798</v>
      </c>
      <c r="C47" s="146"/>
      <c r="D47" s="146"/>
      <c r="E47" s="891"/>
      <c r="F47" s="891"/>
      <c r="G47" s="891"/>
      <c r="H47" s="891"/>
      <c r="I47" s="891"/>
      <c r="J47" s="891"/>
      <c r="K47" s="891"/>
      <c r="L47" s="891"/>
      <c r="M47" s="891"/>
      <c r="N47" s="146"/>
      <c r="O47" s="146"/>
      <c r="P47" s="146"/>
      <c r="Q47" s="146"/>
      <c r="R47" s="891"/>
      <c r="S47" s="146"/>
      <c r="T47" s="146"/>
      <c r="U47" s="891"/>
      <c r="V47" s="146"/>
      <c r="W47" s="891"/>
      <c r="X47" s="891"/>
      <c r="Y47" s="891"/>
      <c r="Z47" s="891"/>
      <c r="AA47" s="891"/>
      <c r="AB47" s="891"/>
      <c r="AC47" s="891"/>
    </row>
    <row r="48" spans="2:29">
      <c r="B48" s="962" t="s">
        <v>173</v>
      </c>
      <c r="C48" s="146"/>
      <c r="D48" s="146"/>
      <c r="E48" s="891"/>
      <c r="F48" s="891"/>
      <c r="G48" s="891"/>
      <c r="H48" s="891"/>
      <c r="I48" s="891"/>
      <c r="J48" s="891"/>
      <c r="K48" s="891"/>
      <c r="L48" s="891"/>
      <c r="M48" s="891"/>
      <c r="N48" s="146"/>
      <c r="O48" s="146"/>
      <c r="P48" s="146"/>
      <c r="Q48" s="146"/>
      <c r="R48" s="891">
        <v>-4218.1719999999996</v>
      </c>
      <c r="S48" s="146"/>
      <c r="T48" s="146"/>
      <c r="U48" s="891">
        <v>-4398.6230000000005</v>
      </c>
      <c r="V48" s="146"/>
      <c r="W48" s="891">
        <v>-4430.7359999999999</v>
      </c>
      <c r="X48" s="891">
        <v>-4140.8262176396975</v>
      </c>
      <c r="Y48" s="891">
        <v>-4130.4809706071646</v>
      </c>
      <c r="Z48" s="891">
        <v>-4083.3251892806084</v>
      </c>
      <c r="AA48" s="891">
        <v>-3670.1867878207677</v>
      </c>
      <c r="AB48" s="891">
        <v>-3150.456299338055</v>
      </c>
      <c r="AC48" s="891">
        <v>-2568.4882323219144</v>
      </c>
    </row>
    <row r="49" spans="2:29">
      <c r="B49" s="962" t="s">
        <v>355</v>
      </c>
      <c r="C49" s="146"/>
      <c r="D49" s="146"/>
      <c r="E49" s="891"/>
      <c r="F49" s="891"/>
      <c r="G49" s="891"/>
      <c r="H49" s="891"/>
      <c r="I49" s="891"/>
      <c r="J49" s="891"/>
      <c r="K49" s="891"/>
      <c r="L49" s="891"/>
      <c r="M49" s="891"/>
      <c r="N49" s="146"/>
      <c r="O49" s="146"/>
      <c r="P49" s="146"/>
      <c r="Q49" s="146"/>
      <c r="R49" s="891">
        <v>104.672</v>
      </c>
      <c r="S49" s="146"/>
      <c r="T49" s="146"/>
      <c r="U49" s="891">
        <v>116.02199999999999</v>
      </c>
      <c r="V49" s="146"/>
      <c r="W49" s="891">
        <v>113.672</v>
      </c>
      <c r="X49" s="891">
        <v>84.807140000000004</v>
      </c>
      <c r="Y49" s="891">
        <v>84.807140000000075</v>
      </c>
      <c r="Z49" s="891">
        <v>84.807140000000075</v>
      </c>
      <c r="AA49" s="891">
        <v>84.807140000000018</v>
      </c>
      <c r="AB49" s="891">
        <v>84.807140000000018</v>
      </c>
      <c r="AC49" s="891">
        <v>84.807140000000018</v>
      </c>
    </row>
    <row r="50" spans="2:29">
      <c r="B50" s="890" t="s">
        <v>96</v>
      </c>
      <c r="C50" s="147"/>
      <c r="D50" s="147"/>
      <c r="E50" s="892"/>
      <c r="F50" s="892"/>
      <c r="G50" s="892"/>
      <c r="H50" s="892"/>
      <c r="I50" s="892"/>
      <c r="J50" s="892"/>
      <c r="K50" s="892"/>
      <c r="L50" s="892"/>
      <c r="M50" s="892"/>
      <c r="N50" s="147"/>
      <c r="O50" s="147"/>
      <c r="P50" s="147"/>
      <c r="Q50" s="147"/>
      <c r="R50" s="892">
        <v>-4113.5</v>
      </c>
      <c r="S50" s="147"/>
      <c r="T50" s="147"/>
      <c r="U50" s="892">
        <v>617.42600000000039</v>
      </c>
      <c r="V50" s="147"/>
      <c r="W50" s="892">
        <v>-4317.0640000000003</v>
      </c>
      <c r="X50" s="892">
        <v>-4056.0190776396976</v>
      </c>
      <c r="Y50" s="892">
        <v>-4045.6738306071647</v>
      </c>
      <c r="Z50" s="892">
        <v>-3998.5180492806085</v>
      </c>
      <c r="AA50" s="892">
        <v>-3585.3796478207678</v>
      </c>
      <c r="AB50" s="892">
        <v>-3065.6491593380551</v>
      </c>
      <c r="AC50" s="892">
        <v>-2483.6810923219145</v>
      </c>
    </row>
    <row r="51" spans="2:29">
      <c r="B51" s="762" t="s">
        <v>501</v>
      </c>
      <c r="C51" s="146"/>
      <c r="D51" s="146"/>
      <c r="E51" s="891"/>
      <c r="F51" s="891"/>
      <c r="G51" s="891"/>
      <c r="H51" s="891"/>
      <c r="I51" s="891"/>
      <c r="J51" s="891"/>
      <c r="K51" s="891"/>
      <c r="L51" s="891"/>
      <c r="M51" s="891"/>
      <c r="N51" s="146"/>
      <c r="O51" s="146"/>
      <c r="P51" s="146"/>
      <c r="Q51" s="146"/>
      <c r="R51" s="891">
        <v>757.15699999999958</v>
      </c>
      <c r="S51" s="146"/>
      <c r="T51" s="146"/>
      <c r="U51" s="891">
        <v>1996.558</v>
      </c>
      <c r="V51" s="146"/>
      <c r="W51" s="891">
        <v>-37.390000000000271</v>
      </c>
      <c r="X51" s="923">
        <v>0</v>
      </c>
      <c r="Y51" s="923">
        <v>0</v>
      </c>
      <c r="Z51" s="923">
        <v>0</v>
      </c>
      <c r="AA51" s="923">
        <v>0</v>
      </c>
      <c r="AB51" s="923">
        <v>0</v>
      </c>
      <c r="AC51" s="923">
        <v>0</v>
      </c>
    </row>
    <row r="52" spans="2:29">
      <c r="B52" s="1022" t="s">
        <v>799</v>
      </c>
      <c r="C52" s="148"/>
      <c r="D52" s="148"/>
      <c r="E52" s="947"/>
      <c r="F52" s="947"/>
      <c r="G52" s="947"/>
      <c r="H52" s="947"/>
      <c r="I52" s="947"/>
      <c r="J52" s="947"/>
      <c r="K52" s="947"/>
      <c r="L52" s="947"/>
      <c r="M52" s="947"/>
      <c r="N52" s="148"/>
      <c r="O52" s="148"/>
      <c r="P52" s="148"/>
      <c r="Q52" s="148"/>
      <c r="R52" s="947">
        <v>1789.6559999999999</v>
      </c>
      <c r="S52" s="148"/>
      <c r="T52" s="148"/>
      <c r="U52" s="947">
        <v>-912.79599999999982</v>
      </c>
      <c r="V52" s="148"/>
      <c r="W52" s="947">
        <v>1140.8619999999999</v>
      </c>
      <c r="X52" s="947">
        <v>1983.551242477929</v>
      </c>
      <c r="Y52" s="947">
        <v>2657.0266153167686</v>
      </c>
      <c r="Z52" s="947">
        <v>3887.404329924052</v>
      </c>
      <c r="AA52" s="947">
        <v>5984.1914662044364</v>
      </c>
      <c r="AB52" s="947">
        <v>6898.9796057780541</v>
      </c>
      <c r="AC52" s="947">
        <v>7785.5432538679597</v>
      </c>
    </row>
    <row r="53" spans="2:29">
      <c r="B53" s="762" t="s">
        <v>809</v>
      </c>
      <c r="C53" s="146"/>
      <c r="D53" s="146"/>
      <c r="E53" s="891"/>
      <c r="F53" s="891"/>
      <c r="G53" s="891"/>
      <c r="H53" s="891"/>
      <c r="I53" s="891"/>
      <c r="J53" s="891"/>
      <c r="K53" s="891"/>
      <c r="L53" s="891"/>
      <c r="M53" s="891"/>
      <c r="N53" s="146"/>
      <c r="O53" s="146"/>
      <c r="P53" s="146"/>
      <c r="Q53" s="146"/>
      <c r="R53" s="891">
        <v>-614.16000000000008</v>
      </c>
      <c r="S53" s="146"/>
      <c r="T53" s="146"/>
      <c r="U53" s="891">
        <v>1083.796</v>
      </c>
      <c r="V53" s="146"/>
      <c r="W53" s="891">
        <v>-588.20699999999988</v>
      </c>
      <c r="X53" s="891">
        <v>-436.38127334514439</v>
      </c>
      <c r="Y53" s="891">
        <v>-584.54585536968909</v>
      </c>
      <c r="Z53" s="891">
        <v>-855.2289525832914</v>
      </c>
      <c r="AA53" s="891">
        <v>-1316.5221225649759</v>
      </c>
      <c r="AB53" s="891">
        <v>-1517.7755132711718</v>
      </c>
      <c r="AC53" s="891">
        <v>-1712.8195158509511</v>
      </c>
    </row>
    <row r="54" spans="2:29" ht="15" thickBot="1">
      <c r="B54" s="1021" t="s">
        <v>1056</v>
      </c>
      <c r="C54" s="945"/>
      <c r="D54" s="945"/>
      <c r="E54" s="946"/>
      <c r="F54" s="946"/>
      <c r="G54" s="946"/>
      <c r="H54" s="946"/>
      <c r="I54" s="946"/>
      <c r="J54" s="946"/>
      <c r="K54" s="946"/>
      <c r="L54" s="946"/>
      <c r="M54" s="946"/>
      <c r="N54" s="945"/>
      <c r="O54" s="945"/>
      <c r="P54" s="945"/>
      <c r="Q54" s="945"/>
      <c r="R54" s="946">
        <v>1175.5219999999999</v>
      </c>
      <c r="S54" s="945"/>
      <c r="T54" s="945"/>
      <c r="U54" s="946"/>
      <c r="V54" s="945"/>
      <c r="W54" s="946">
        <v>552.65499999999975</v>
      </c>
      <c r="X54" s="946">
        <v>1547.1699691327847</v>
      </c>
      <c r="Y54" s="946">
        <v>2072.4807599470796</v>
      </c>
      <c r="Z54" s="946">
        <v>3032.1753773407609</v>
      </c>
      <c r="AA54" s="946">
        <v>4667.6693436394607</v>
      </c>
      <c r="AB54" s="946">
        <v>5381.2040925068823</v>
      </c>
      <c r="AC54" s="946">
        <v>6072.7237380170081</v>
      </c>
    </row>
    <row r="55" spans="2:29" ht="15" thickTop="1">
      <c r="B55" s="253" t="s">
        <v>1308</v>
      </c>
      <c r="C55" s="253"/>
      <c r="D55" s="253"/>
      <c r="E55" s="1095"/>
      <c r="F55" s="1095"/>
      <c r="G55" s="1095"/>
      <c r="H55" s="1095"/>
      <c r="I55" s="1095"/>
      <c r="J55" s="1095"/>
      <c r="K55" s="1095"/>
      <c r="L55" s="1095"/>
      <c r="M55" s="1095"/>
      <c r="N55" s="253"/>
      <c r="O55" s="253"/>
      <c r="P55" s="253"/>
      <c r="Q55" s="253"/>
      <c r="R55" s="1095"/>
      <c r="S55" s="253"/>
      <c r="T55" s="253"/>
      <c r="U55" s="1095"/>
      <c r="V55" s="253"/>
      <c r="W55" s="1096">
        <v>-0.52986417948792131</v>
      </c>
      <c r="X55" s="1096">
        <v>1.7995222501068215</v>
      </c>
      <c r="Y55" s="1096">
        <v>0.33953011065018313</v>
      </c>
      <c r="Z55" s="1096">
        <v>0.46306563416211732</v>
      </c>
      <c r="AA55" s="1096">
        <v>0.53937973987937315</v>
      </c>
      <c r="AB55" s="1096">
        <v>0.15286745832580051</v>
      </c>
      <c r="AC55" s="1096">
        <v>0.12850648918390584</v>
      </c>
    </row>
    <row r="56" spans="2:29">
      <c r="B56" s="253" t="s">
        <v>768</v>
      </c>
      <c r="C56" s="253"/>
      <c r="D56" s="253"/>
      <c r="E56" s="1095"/>
      <c r="F56" s="1095"/>
      <c r="G56" s="1095"/>
      <c r="H56" s="1095"/>
      <c r="I56" s="1095"/>
      <c r="J56" s="1095"/>
      <c r="K56" s="1095"/>
      <c r="L56" s="1095"/>
      <c r="M56" s="1095"/>
      <c r="N56" s="253"/>
      <c r="O56" s="253"/>
      <c r="P56" s="253"/>
      <c r="Q56" s="253"/>
      <c r="R56" s="1096">
        <v>2.6729555779923482E-2</v>
      </c>
      <c r="S56" s="253"/>
      <c r="T56" s="253"/>
      <c r="U56" s="1095"/>
      <c r="V56" s="253"/>
      <c r="W56" s="1096">
        <v>1.2063720841760465E-2</v>
      </c>
      <c r="X56" s="1096">
        <v>3.2916060249800642E-2</v>
      </c>
      <c r="Y56" s="1096">
        <v>4.2151989690817654E-2</v>
      </c>
      <c r="Z56" s="1096">
        <v>5.933106535812932E-2</v>
      </c>
      <c r="AA56" s="1096">
        <v>8.8016346697640579E-2</v>
      </c>
      <c r="AB56" s="1096">
        <v>9.8331108625829305E-2</v>
      </c>
      <c r="AC56" s="1096">
        <v>0.10772165942772612</v>
      </c>
    </row>
    <row r="57" spans="2:29">
      <c r="B57" s="889"/>
      <c r="C57" s="146"/>
      <c r="D57" s="146"/>
      <c r="E57" s="146"/>
      <c r="F57" s="146"/>
      <c r="G57" s="146"/>
      <c r="H57" s="146"/>
      <c r="I57" s="146"/>
      <c r="J57" s="146"/>
      <c r="K57" s="146"/>
      <c r="L57" s="146"/>
      <c r="M57" s="146"/>
      <c r="N57" s="146"/>
      <c r="O57" s="146"/>
      <c r="P57" s="146"/>
      <c r="Q57" s="146"/>
      <c r="R57" s="146"/>
      <c r="S57" s="146"/>
      <c r="T57" s="146"/>
      <c r="U57" s="891"/>
      <c r="V57" s="146"/>
      <c r="W57" s="891"/>
      <c r="X57" s="170"/>
      <c r="Y57" s="170"/>
      <c r="Z57" s="170"/>
      <c r="AA57" s="170"/>
      <c r="AB57" s="170"/>
      <c r="AC57" s="170"/>
    </row>
    <row r="58" spans="2:29">
      <c r="B58" s="889" t="s">
        <v>138</v>
      </c>
      <c r="C58" s="146"/>
      <c r="D58" s="146"/>
      <c r="E58" s="146"/>
      <c r="F58" s="146"/>
      <c r="G58" s="146"/>
      <c r="H58" s="146"/>
      <c r="I58" s="146"/>
      <c r="J58" s="146"/>
      <c r="K58" s="146"/>
      <c r="L58" s="146"/>
      <c r="M58" s="146"/>
      <c r="N58" s="146"/>
      <c r="O58" s="146"/>
      <c r="P58" s="146"/>
      <c r="Q58" s="146"/>
      <c r="R58" s="891">
        <v>2.6000000000067303E-2</v>
      </c>
      <c r="S58" s="146"/>
      <c r="T58" s="146"/>
      <c r="U58" s="891"/>
      <c r="V58" s="146"/>
      <c r="W58" s="891"/>
      <c r="X58" s="891"/>
      <c r="Y58" s="891"/>
      <c r="Z58" s="891"/>
      <c r="AA58" s="891"/>
      <c r="AB58" s="891"/>
      <c r="AC58" s="891"/>
    </row>
    <row r="59" spans="2:29">
      <c r="B59" s="889"/>
      <c r="C59" s="146"/>
      <c r="D59" s="146"/>
      <c r="E59" s="146"/>
      <c r="F59" s="146"/>
      <c r="G59" s="146"/>
      <c r="H59" s="146"/>
      <c r="I59" s="146"/>
      <c r="J59" s="146"/>
      <c r="K59" s="146"/>
      <c r="L59" s="146"/>
      <c r="M59" s="146"/>
      <c r="N59" s="146"/>
      <c r="O59" s="146"/>
      <c r="P59" s="146"/>
      <c r="Q59" s="146"/>
      <c r="R59" s="146"/>
      <c r="S59" s="146"/>
      <c r="T59" s="146"/>
      <c r="U59" s="891"/>
      <c r="V59" s="146"/>
      <c r="W59" s="891"/>
      <c r="X59" s="891"/>
      <c r="Y59" s="891"/>
      <c r="Z59" s="891"/>
      <c r="AA59" s="891"/>
      <c r="AB59" s="891"/>
      <c r="AC59" s="891"/>
    </row>
    <row r="60" spans="2:29">
      <c r="B60" s="146" t="s">
        <v>248</v>
      </c>
      <c r="C60" s="146"/>
      <c r="D60" s="146"/>
      <c r="E60" s="146"/>
      <c r="F60" s="146"/>
      <c r="G60" s="146"/>
      <c r="H60" s="146"/>
      <c r="I60" s="146"/>
      <c r="J60" s="146"/>
      <c r="K60" s="146"/>
      <c r="L60" s="146"/>
      <c r="M60" s="146"/>
      <c r="N60" s="146"/>
      <c r="O60" s="146"/>
      <c r="P60" s="146"/>
      <c r="Q60" s="146"/>
      <c r="R60" s="891">
        <v>9338.9</v>
      </c>
      <c r="S60" s="146"/>
      <c r="T60" s="146"/>
      <c r="U60" s="891">
        <v>8428.7999999999993</v>
      </c>
      <c r="V60" s="146"/>
      <c r="W60" s="891">
        <v>8564.9</v>
      </c>
      <c r="X60" s="891">
        <v>10216.213720988784</v>
      </c>
      <c r="Y60" s="891">
        <v>10292.561657662129</v>
      </c>
      <c r="Z60" s="891">
        <v>9516.3265233291695</v>
      </c>
      <c r="AA60" s="891">
        <v>8325.6603948013108</v>
      </c>
      <c r="AB60" s="891">
        <v>8374.7122289211238</v>
      </c>
      <c r="AC60" s="891">
        <v>8671.4778017999288</v>
      </c>
    </row>
    <row r="61" spans="2:29">
      <c r="B61" s="146" t="s">
        <v>1254</v>
      </c>
      <c r="C61" s="146"/>
      <c r="D61" s="146"/>
      <c r="E61" s="146"/>
      <c r="F61" s="146"/>
      <c r="G61" s="146"/>
      <c r="H61" s="146"/>
      <c r="I61" s="146"/>
      <c r="J61" s="146"/>
      <c r="K61" s="146"/>
      <c r="L61" s="146"/>
      <c r="M61" s="146"/>
      <c r="N61" s="146"/>
      <c r="O61" s="146"/>
      <c r="P61" s="146"/>
      <c r="Q61" s="146"/>
      <c r="R61" s="891">
        <v>11757.108999999999</v>
      </c>
      <c r="S61" s="146"/>
      <c r="T61" s="146"/>
      <c r="U61" s="891"/>
      <c r="V61" s="146"/>
      <c r="W61" s="891">
        <v>13886.877000000002</v>
      </c>
      <c r="X61" s="891">
        <v>12830.773995982367</v>
      </c>
      <c r="Y61" s="891">
        <v>13523.633464181741</v>
      </c>
      <c r="Z61" s="891">
        <v>15509.558937419491</v>
      </c>
      <c r="AA61" s="891">
        <v>18266.533368549477</v>
      </c>
      <c r="AB61" s="891">
        <v>19105.725815429592</v>
      </c>
      <c r="AC61" s="891">
        <v>19622.887062968934</v>
      </c>
    </row>
    <row r="62" spans="2:29">
      <c r="B62" s="146"/>
      <c r="C62" s="146"/>
      <c r="D62" s="146"/>
      <c r="E62" s="146"/>
      <c r="F62" s="146"/>
      <c r="G62" s="146"/>
      <c r="H62" s="146"/>
      <c r="I62" s="146"/>
      <c r="J62" s="146"/>
      <c r="K62" s="146"/>
      <c r="L62" s="146"/>
      <c r="M62" s="146"/>
      <c r="N62" s="146"/>
      <c r="O62" s="146"/>
      <c r="P62" s="146"/>
      <c r="Q62" s="146"/>
      <c r="R62" s="146"/>
      <c r="S62" s="146"/>
      <c r="T62" s="146"/>
      <c r="U62" s="146"/>
      <c r="V62" s="146"/>
      <c r="W62" s="147"/>
      <c r="X62" s="147"/>
      <c r="Y62" s="146"/>
      <c r="Z62" s="146"/>
      <c r="AA62" s="146"/>
      <c r="AB62" s="146"/>
      <c r="AC62" s="146"/>
    </row>
    <row r="63" spans="2:29">
      <c r="B63" s="249" t="s">
        <v>1234</v>
      </c>
      <c r="C63" s="146"/>
      <c r="D63" s="146"/>
      <c r="E63" s="146"/>
      <c r="F63" s="146"/>
      <c r="G63" s="146"/>
      <c r="H63" s="146"/>
      <c r="I63" s="146"/>
      <c r="J63" s="146"/>
      <c r="K63" s="146"/>
      <c r="L63" s="146"/>
      <c r="M63" s="146"/>
      <c r="N63" s="146"/>
      <c r="O63" s="146"/>
      <c r="P63" s="146"/>
      <c r="Q63" s="146"/>
      <c r="R63" s="146"/>
      <c r="S63" s="146"/>
      <c r="T63" s="146"/>
      <c r="U63" s="146"/>
      <c r="V63" s="146"/>
      <c r="W63" s="147"/>
      <c r="X63" s="147"/>
      <c r="Y63" s="146"/>
      <c r="Z63" s="146"/>
      <c r="AA63" s="146"/>
      <c r="AB63" s="146"/>
      <c r="AC63" s="146"/>
    </row>
    <row r="64" spans="2:29">
      <c r="B64" s="147"/>
      <c r="C64" s="146"/>
      <c r="D64" s="146"/>
      <c r="E64" s="146"/>
      <c r="F64" s="146"/>
      <c r="G64" s="146"/>
      <c r="H64" s="146"/>
      <c r="I64" s="146"/>
      <c r="J64" s="146"/>
      <c r="K64" s="146"/>
      <c r="L64" s="146"/>
      <c r="M64" s="146"/>
      <c r="N64" s="146"/>
      <c r="O64" s="146"/>
      <c r="P64" s="146"/>
      <c r="Q64" s="146"/>
      <c r="R64" s="146"/>
      <c r="S64" s="146"/>
      <c r="T64" s="146"/>
      <c r="U64" s="146"/>
      <c r="V64" s="146"/>
      <c r="W64" s="147"/>
      <c r="X64" s="147"/>
      <c r="Y64" s="146"/>
      <c r="Z64" s="146"/>
      <c r="AA64" s="146"/>
      <c r="AB64" s="146"/>
      <c r="AC64" s="146"/>
    </row>
    <row r="65" spans="2:29">
      <c r="B65" s="146" t="s">
        <v>1235</v>
      </c>
      <c r="C65" s="146"/>
      <c r="D65" s="146"/>
      <c r="E65" s="146"/>
      <c r="F65" s="146"/>
      <c r="G65" s="146"/>
      <c r="H65" s="146"/>
      <c r="I65" s="146"/>
      <c r="J65" s="146"/>
      <c r="K65" s="146"/>
      <c r="L65" s="146"/>
      <c r="M65" s="146"/>
      <c r="N65" s="146"/>
      <c r="O65" s="146"/>
      <c r="P65" s="146"/>
      <c r="Q65" s="146"/>
      <c r="R65" s="170"/>
      <c r="S65" s="146"/>
      <c r="T65" s="146"/>
      <c r="U65" s="146"/>
      <c r="V65" s="146"/>
      <c r="W65" s="170">
        <v>4.1678749313952324E-2</v>
      </c>
      <c r="X65" s="170">
        <v>2.6023608514641694E-2</v>
      </c>
      <c r="Y65" s="170">
        <v>4.6025446295564043E-2</v>
      </c>
      <c r="Z65" s="170">
        <v>3.9440757652621894E-2</v>
      </c>
      <c r="AA65" s="170">
        <v>3.768269627818488E-2</v>
      </c>
      <c r="AB65" s="170">
        <v>3.1933671108608008E-2</v>
      </c>
      <c r="AC65" s="170">
        <v>3.0129824980531517E-2</v>
      </c>
    </row>
    <row r="66" spans="2:29">
      <c r="B66" s="146" t="s">
        <v>1236</v>
      </c>
      <c r="C66" s="146"/>
      <c r="D66" s="146"/>
      <c r="E66" s="146"/>
      <c r="F66" s="146"/>
      <c r="G66" s="146"/>
      <c r="H66" s="146"/>
      <c r="I66" s="146"/>
      <c r="J66" s="146"/>
      <c r="K66" s="146"/>
      <c r="L66" s="146"/>
      <c r="M66" s="146"/>
      <c r="N66" s="146"/>
      <c r="O66" s="146"/>
      <c r="P66" s="146"/>
      <c r="Q66" s="146"/>
      <c r="R66" s="170"/>
      <c r="S66" s="146"/>
      <c r="T66" s="146"/>
      <c r="U66" s="146"/>
      <c r="V66" s="146"/>
      <c r="W66" s="170">
        <v>6.4266563405429133E-2</v>
      </c>
      <c r="X66" s="170">
        <v>2.6510628400199687E-2</v>
      </c>
      <c r="Y66" s="170">
        <v>3.3375615690821814E-2</v>
      </c>
      <c r="Z66" s="170">
        <v>5.0792762349989307E-2</v>
      </c>
      <c r="AA66" s="170">
        <v>6.2587527824291112E-2</v>
      </c>
      <c r="AB66" s="170">
        <v>3.3402444676230658E-2</v>
      </c>
      <c r="AC66" s="170">
        <v>2.9618407796285773E-2</v>
      </c>
    </row>
    <row r="67" spans="2:29">
      <c r="B67" s="146" t="s">
        <v>1317</v>
      </c>
      <c r="C67" s="146"/>
      <c r="D67" s="146"/>
      <c r="E67" s="146"/>
      <c r="F67" s="146"/>
      <c r="G67" s="146"/>
      <c r="H67" s="146"/>
      <c r="I67" s="146"/>
      <c r="J67" s="146"/>
      <c r="K67" s="146"/>
      <c r="L67" s="146"/>
      <c r="M67" s="146"/>
      <c r="N67" s="146"/>
      <c r="O67" s="146"/>
      <c r="P67" s="146"/>
      <c r="Q67" s="146"/>
      <c r="R67" s="170"/>
      <c r="S67" s="146"/>
      <c r="T67" s="146"/>
      <c r="U67" s="146"/>
      <c r="V67" s="146"/>
      <c r="W67" s="170"/>
      <c r="X67" s="170">
        <v>3.005131604615352E-3</v>
      </c>
      <c r="Y67" s="170">
        <v>6.2371185813336893E-3</v>
      </c>
      <c r="Z67" s="170">
        <v>1.5466394284333607E-3</v>
      </c>
      <c r="AA67" s="170">
        <v>-6.846014291872371E-3</v>
      </c>
      <c r="AB67" s="170">
        <v>2.8972423349146181E-2</v>
      </c>
      <c r="AC67" s="170">
        <v>2.9078373212718445E-2</v>
      </c>
    </row>
    <row r="68" spans="2:29">
      <c r="B68" s="146" t="s">
        <v>1288</v>
      </c>
      <c r="C68" s="146"/>
      <c r="D68" s="146"/>
      <c r="E68" s="146"/>
      <c r="F68" s="146"/>
      <c r="G68" s="146"/>
      <c r="H68" s="146"/>
      <c r="I68" s="146"/>
      <c r="J68" s="146"/>
      <c r="K68" s="146"/>
      <c r="L68" s="146"/>
      <c r="M68" s="146"/>
      <c r="N68" s="146"/>
      <c r="O68" s="146"/>
      <c r="P68" s="146"/>
      <c r="Q68" s="146"/>
      <c r="R68" s="170"/>
      <c r="S68" s="146"/>
      <c r="T68" s="146"/>
      <c r="U68" s="146"/>
      <c r="V68" s="146"/>
      <c r="W68" s="170">
        <v>6.7881280194574733E-2</v>
      </c>
      <c r="X68" s="170">
        <v>9.9039676720615422E-2</v>
      </c>
      <c r="Y68" s="170">
        <v>0.109797566823163</v>
      </c>
      <c r="Z68" s="170">
        <v>0.17652913819239413</v>
      </c>
      <c r="AA68" s="170">
        <v>0.21350054614541469</v>
      </c>
      <c r="AB68" s="170">
        <v>4.128269139584595E-2</v>
      </c>
      <c r="AC68" s="170">
        <v>3.0567679765460376E-2</v>
      </c>
    </row>
    <row r="69" spans="2:29">
      <c r="B69" s="146" t="s">
        <v>1289</v>
      </c>
      <c r="C69" s="146"/>
      <c r="D69" s="146"/>
      <c r="E69" s="146"/>
      <c r="F69" s="146"/>
      <c r="G69" s="146"/>
      <c r="H69" s="146"/>
      <c r="I69" s="146"/>
      <c r="J69" s="146"/>
      <c r="K69" s="146"/>
      <c r="L69" s="146"/>
      <c r="M69" s="146"/>
      <c r="N69" s="146"/>
      <c r="O69" s="146"/>
      <c r="P69" s="146"/>
      <c r="Q69" s="146"/>
      <c r="R69" s="170"/>
      <c r="S69" s="146"/>
      <c r="T69" s="146"/>
      <c r="U69" s="146"/>
      <c r="V69" s="146"/>
      <c r="W69" s="170">
        <v>-0.52986417948792131</v>
      </c>
      <c r="X69" s="170">
        <v>1.7995222501068215</v>
      </c>
      <c r="Y69" s="170">
        <v>0.33953011065018313</v>
      </c>
      <c r="Z69" s="170">
        <v>0.46306563416211732</v>
      </c>
      <c r="AA69" s="170">
        <v>0.53937973987937315</v>
      </c>
      <c r="AB69" s="170">
        <v>0.15286745832580051</v>
      </c>
      <c r="AC69" s="170">
        <v>0.12850648918390584</v>
      </c>
    </row>
    <row r="70" spans="2:29">
      <c r="B70" s="146"/>
      <c r="C70" s="146"/>
      <c r="D70" s="146"/>
      <c r="E70" s="146"/>
      <c r="F70" s="146"/>
      <c r="G70" s="146"/>
      <c r="H70" s="146"/>
      <c r="I70" s="146"/>
      <c r="J70" s="146"/>
      <c r="K70" s="146"/>
      <c r="L70" s="146"/>
      <c r="M70" s="146"/>
      <c r="N70" s="146"/>
      <c r="O70" s="146"/>
      <c r="P70" s="146"/>
      <c r="Q70" s="146"/>
      <c r="R70" s="170"/>
      <c r="S70" s="146"/>
      <c r="T70" s="146"/>
      <c r="U70" s="146"/>
      <c r="V70" s="146"/>
      <c r="W70" s="170"/>
      <c r="X70" s="170"/>
      <c r="Y70" s="170"/>
      <c r="Z70" s="170"/>
      <c r="AA70" s="170"/>
      <c r="AB70" s="170"/>
      <c r="AC70" s="170"/>
    </row>
    <row r="71" spans="2:29">
      <c r="B71" s="146" t="s">
        <v>4</v>
      </c>
      <c r="C71" s="146"/>
      <c r="D71" s="146"/>
      <c r="E71" s="146"/>
      <c r="F71" s="146"/>
      <c r="G71" s="146"/>
      <c r="H71" s="146"/>
      <c r="I71" s="146"/>
      <c r="J71" s="146"/>
      <c r="K71" s="146"/>
      <c r="L71" s="146"/>
      <c r="M71" s="146"/>
      <c r="N71" s="146"/>
      <c r="O71" s="146"/>
      <c r="P71" s="146"/>
      <c r="Q71" s="146"/>
      <c r="R71" s="170">
        <v>0.47969068150087174</v>
      </c>
      <c r="S71" s="146"/>
      <c r="T71" s="146"/>
      <c r="U71" s="170">
        <v>0.49536601060126756</v>
      </c>
      <c r="V71" s="146"/>
      <c r="W71" s="170">
        <v>0.49009231822648563</v>
      </c>
      <c r="X71" s="170">
        <v>0.4903249490380524</v>
      </c>
      <c r="Y71" s="170">
        <v>0.48439533464045226</v>
      </c>
      <c r="Z71" s="170">
        <v>0.48968554293153321</v>
      </c>
      <c r="AA71" s="170">
        <v>0.50143820682485485</v>
      </c>
      <c r="AB71" s="170">
        <v>0.50215191469639786</v>
      </c>
      <c r="AC71" s="170">
        <v>0.50190261687776372</v>
      </c>
    </row>
    <row r="72" spans="2:29">
      <c r="B72" s="146" t="s">
        <v>768</v>
      </c>
      <c r="C72" s="146"/>
      <c r="D72" s="146"/>
      <c r="E72" s="146"/>
      <c r="F72" s="146"/>
      <c r="G72" s="146"/>
      <c r="H72" s="146"/>
      <c r="I72" s="146"/>
      <c r="J72" s="146"/>
      <c r="K72" s="146"/>
      <c r="L72" s="146"/>
      <c r="M72" s="146"/>
      <c r="N72" s="146"/>
      <c r="O72" s="146"/>
      <c r="P72" s="146"/>
      <c r="Q72" s="146"/>
      <c r="R72" s="170">
        <v>2.6729555779923482E-2</v>
      </c>
      <c r="S72" s="146"/>
      <c r="T72" s="146"/>
      <c r="U72" s="170">
        <v>2.3879776975544355E-2</v>
      </c>
      <c r="V72" s="146"/>
      <c r="W72" s="170">
        <v>1.2063720841760465E-2</v>
      </c>
      <c r="X72" s="170">
        <v>3.2916060249800642E-2</v>
      </c>
      <c r="Y72" s="170">
        <v>4.2151989690817654E-2</v>
      </c>
      <c r="Z72" s="170">
        <v>5.933106535812932E-2</v>
      </c>
      <c r="AA72" s="170">
        <v>8.8016346697640579E-2</v>
      </c>
      <c r="AB72" s="170">
        <v>9.8331108625829305E-2</v>
      </c>
      <c r="AC72" s="170">
        <v>0.10772165942772612</v>
      </c>
    </row>
    <row r="73" spans="2:29">
      <c r="B73" s="146" t="s">
        <v>162</v>
      </c>
      <c r="C73" s="146"/>
      <c r="D73" s="146"/>
      <c r="E73" s="146"/>
      <c r="F73" s="146"/>
      <c r="G73" s="146"/>
      <c r="H73" s="146"/>
      <c r="I73" s="146"/>
      <c r="J73" s="146"/>
      <c r="K73" s="146"/>
      <c r="L73" s="146"/>
      <c r="M73" s="146"/>
      <c r="N73" s="146"/>
      <c r="O73" s="146"/>
      <c r="P73" s="146"/>
      <c r="Q73" s="146"/>
      <c r="R73" s="170">
        <v>0.21235217075744001</v>
      </c>
      <c r="S73" s="170"/>
      <c r="T73" s="170"/>
      <c r="U73" s="170">
        <v>0.1857156366802131</v>
      </c>
      <c r="V73" s="170"/>
      <c r="W73" s="170">
        <v>0.18696033264440612</v>
      </c>
      <c r="X73" s="170">
        <v>0.21735007340751072</v>
      </c>
      <c r="Y73" s="170">
        <v>0.20933943574798611</v>
      </c>
      <c r="Z73" s="170">
        <v>0.18620749813624329</v>
      </c>
      <c r="AA73" s="170">
        <v>0.15699359955610637</v>
      </c>
      <c r="AB73" s="170">
        <v>0.15303168653996763</v>
      </c>
      <c r="AC73" s="170">
        <v>0.15381993629198135</v>
      </c>
    </row>
    <row r="74" spans="2:29">
      <c r="B74" s="146" t="s">
        <v>1161</v>
      </c>
      <c r="C74" s="146"/>
      <c r="D74" s="146"/>
      <c r="E74" s="146"/>
      <c r="F74" s="146"/>
      <c r="G74" s="146"/>
      <c r="H74" s="146"/>
      <c r="I74" s="146"/>
      <c r="J74" s="146"/>
      <c r="K74" s="146"/>
      <c r="L74" s="146"/>
      <c r="M74" s="146"/>
      <c r="N74" s="146"/>
      <c r="O74" s="146"/>
      <c r="P74" s="146"/>
      <c r="Q74" s="146"/>
      <c r="R74" s="965">
        <v>1.2199594990436617</v>
      </c>
      <c r="S74" s="146"/>
      <c r="T74" s="146"/>
      <c r="U74" s="965">
        <v>1.2871603226737094</v>
      </c>
      <c r="V74" s="146"/>
      <c r="W74" s="965">
        <v>1.2402715937036197</v>
      </c>
      <c r="X74" s="965">
        <v>1.4585423301246938</v>
      </c>
      <c r="Y74" s="965">
        <v>1.6227409092599361</v>
      </c>
      <c r="Z74" s="965">
        <v>1.9312501487529055</v>
      </c>
      <c r="AA74" s="965">
        <v>2.6073798602787983</v>
      </c>
      <c r="AB74" s="965">
        <v>3.1629160408318584</v>
      </c>
      <c r="AC74" s="965">
        <v>3.9981590014553001</v>
      </c>
    </row>
    <row r="75" spans="2:29">
      <c r="B75" s="146"/>
      <c r="C75" s="146"/>
      <c r="D75" s="146"/>
      <c r="E75" s="146"/>
      <c r="F75" s="146"/>
      <c r="G75" s="146"/>
      <c r="H75" s="146"/>
      <c r="I75" s="146"/>
      <c r="J75" s="146"/>
      <c r="K75" s="146"/>
      <c r="L75" s="146"/>
      <c r="M75" s="146"/>
      <c r="N75" s="146"/>
      <c r="O75" s="146"/>
      <c r="P75" s="146"/>
      <c r="Q75" s="146"/>
      <c r="R75" s="146"/>
      <c r="S75" s="146"/>
      <c r="T75" s="146"/>
      <c r="U75" s="965"/>
      <c r="V75" s="146"/>
      <c r="W75" s="147"/>
      <c r="X75" s="147"/>
      <c r="Y75" s="146"/>
      <c r="Z75" s="146"/>
      <c r="AA75" s="146"/>
      <c r="AB75" s="146"/>
      <c r="AC75" s="146"/>
    </row>
    <row r="76" spans="2:29">
      <c r="B76" s="249" t="s">
        <v>577</v>
      </c>
      <c r="C76" s="146"/>
      <c r="D76" s="146"/>
      <c r="E76" s="146"/>
      <c r="F76" s="146"/>
      <c r="G76" s="146"/>
      <c r="H76" s="146"/>
      <c r="I76" s="146"/>
      <c r="J76" s="146"/>
      <c r="K76" s="146"/>
      <c r="L76" s="146"/>
      <c r="M76" s="146"/>
      <c r="N76" s="146"/>
      <c r="O76" s="146"/>
      <c r="P76" s="146"/>
      <c r="Q76" s="146"/>
      <c r="R76" s="146"/>
      <c r="S76" s="146"/>
      <c r="T76" s="146"/>
      <c r="U76" s="965"/>
      <c r="V76" s="146"/>
      <c r="W76" s="147"/>
      <c r="X76" s="147"/>
      <c r="Y76" s="146"/>
      <c r="Z76" s="146"/>
      <c r="AA76" s="146"/>
      <c r="AB76" s="146"/>
      <c r="AC76" s="146"/>
    </row>
    <row r="77" spans="2:29">
      <c r="B77" s="146"/>
      <c r="C77" s="146"/>
      <c r="D77" s="146"/>
      <c r="E77" s="146"/>
      <c r="F77" s="146"/>
      <c r="G77" s="146"/>
      <c r="H77" s="146"/>
      <c r="I77" s="146"/>
      <c r="J77" s="146"/>
      <c r="K77" s="146"/>
      <c r="L77" s="146"/>
      <c r="M77" s="146"/>
      <c r="N77" s="146"/>
      <c r="O77" s="146"/>
      <c r="P77" s="146"/>
      <c r="Q77" s="146"/>
      <c r="R77" s="146"/>
      <c r="S77" s="146"/>
      <c r="T77" s="146"/>
      <c r="U77" s="965"/>
      <c r="V77" s="146"/>
      <c r="W77" s="147"/>
      <c r="X77" s="147"/>
      <c r="Y77" s="146"/>
      <c r="Z77" s="146"/>
      <c r="AA77" s="146"/>
      <c r="AB77" s="146"/>
      <c r="AC77" s="146"/>
    </row>
    <row r="78" spans="2:29">
      <c r="B78" s="147" t="s">
        <v>1238</v>
      </c>
      <c r="C78" s="146"/>
      <c r="D78" s="146"/>
      <c r="E78" s="146"/>
      <c r="F78" s="146"/>
      <c r="G78" s="146"/>
      <c r="H78" s="146"/>
      <c r="I78" s="146"/>
      <c r="J78" s="146"/>
      <c r="K78" s="146"/>
      <c r="L78" s="146"/>
      <c r="M78" s="146"/>
      <c r="N78" s="146"/>
      <c r="O78" s="146"/>
      <c r="P78" s="146"/>
      <c r="Q78" s="146"/>
      <c r="R78" s="146"/>
      <c r="S78" s="146"/>
      <c r="T78" s="146"/>
      <c r="U78" s="965"/>
      <c r="V78" s="146"/>
      <c r="W78" s="147"/>
      <c r="X78" s="147"/>
      <c r="Y78" s="146"/>
      <c r="Z78" s="146"/>
      <c r="AA78" s="146"/>
      <c r="AB78" s="146"/>
      <c r="AC78" s="146"/>
    </row>
    <row r="79" spans="2:29">
      <c r="B79" s="918" t="s">
        <v>524</v>
      </c>
      <c r="C79" s="918"/>
      <c r="D79" s="918"/>
      <c r="E79" s="1156">
        <v>57.5</v>
      </c>
      <c r="F79" s="1156"/>
      <c r="G79" s="1156"/>
      <c r="H79" s="1156"/>
      <c r="I79" s="1156"/>
      <c r="J79" s="1156"/>
      <c r="K79" s="1156"/>
      <c r="L79" s="1156"/>
      <c r="M79" s="1156"/>
      <c r="N79" s="918"/>
      <c r="O79" s="918"/>
      <c r="P79" s="918"/>
      <c r="Q79" s="918"/>
      <c r="R79" s="1156">
        <v>57.5</v>
      </c>
      <c r="S79" s="918"/>
      <c r="T79" s="918"/>
      <c r="U79" s="918"/>
      <c r="V79" s="918"/>
      <c r="W79" s="1156">
        <v>58.8</v>
      </c>
      <c r="X79" s="1156">
        <v>59.754042352952631</v>
      </c>
      <c r="Y79" s="1156">
        <v>60.721303089128448</v>
      </c>
      <c r="Z79" s="1156">
        <v>61.701951347949162</v>
      </c>
      <c r="AA79" s="1156">
        <v>62.696158331552844</v>
      </c>
      <c r="AB79" s="1156">
        <v>63.704097329152063</v>
      </c>
      <c r="AC79" s="1156">
        <v>64.725943741672992</v>
      </c>
    </row>
    <row r="80" spans="2:29">
      <c r="B80" s="918" t="s">
        <v>856</v>
      </c>
      <c r="C80" s="918"/>
      <c r="D80" s="918"/>
      <c r="E80" s="966">
        <v>36</v>
      </c>
      <c r="F80" s="966"/>
      <c r="G80" s="966"/>
      <c r="H80" s="966"/>
      <c r="I80" s="966"/>
      <c r="J80" s="966"/>
      <c r="K80" s="966"/>
      <c r="L80" s="966"/>
      <c r="M80" s="966"/>
      <c r="N80" s="918"/>
      <c r="O80" s="918"/>
      <c r="P80" s="918"/>
      <c r="Q80" s="918"/>
      <c r="R80" s="966">
        <v>36.5</v>
      </c>
      <c r="S80" s="918"/>
      <c r="T80" s="918"/>
      <c r="U80" s="918"/>
      <c r="V80" s="918"/>
      <c r="W80" s="966">
        <v>35.700000000000003</v>
      </c>
      <c r="X80" s="918"/>
      <c r="Y80" s="918"/>
      <c r="Z80" s="918"/>
      <c r="AA80" s="918"/>
      <c r="AB80" s="918"/>
      <c r="AC80" s="918"/>
    </row>
    <row r="81" spans="2:29">
      <c r="B81" s="1157" t="s">
        <v>904</v>
      </c>
      <c r="C81" s="959"/>
      <c r="D81" s="959"/>
      <c r="E81" s="1157">
        <v>93.5</v>
      </c>
      <c r="F81" s="1157"/>
      <c r="G81" s="1157"/>
      <c r="H81" s="1157"/>
      <c r="I81" s="1157"/>
      <c r="J81" s="1157"/>
      <c r="K81" s="1157"/>
      <c r="L81" s="1157"/>
      <c r="M81" s="1157"/>
      <c r="N81" s="959"/>
      <c r="O81" s="959"/>
      <c r="P81" s="959"/>
      <c r="Q81" s="959"/>
      <c r="R81" s="1157">
        <v>94</v>
      </c>
      <c r="S81" s="959"/>
      <c r="T81" s="959"/>
      <c r="U81" s="959"/>
      <c r="V81" s="959"/>
      <c r="W81" s="1157">
        <v>94.5</v>
      </c>
      <c r="X81" s="1157">
        <v>94.972499999999997</v>
      </c>
      <c r="Y81" s="1157">
        <v>95.447362499999983</v>
      </c>
      <c r="Z81" s="1157">
        <v>95.924599312499979</v>
      </c>
      <c r="AA81" s="1157">
        <v>96.404222309062462</v>
      </c>
      <c r="AB81" s="1157">
        <v>96.886243420607769</v>
      </c>
      <c r="AC81" s="1157">
        <v>97.370674637710792</v>
      </c>
    </row>
    <row r="82" spans="2:29">
      <c r="B82" s="1147" t="s">
        <v>64</v>
      </c>
      <c r="C82" s="253"/>
      <c r="D82" s="253"/>
      <c r="E82" s="253"/>
      <c r="F82" s="253"/>
      <c r="G82" s="253"/>
      <c r="H82" s="253"/>
      <c r="I82" s="253"/>
      <c r="J82" s="253"/>
      <c r="K82" s="253"/>
      <c r="L82" s="253"/>
      <c r="M82" s="253"/>
      <c r="N82" s="253"/>
      <c r="O82" s="253"/>
      <c r="P82" s="253"/>
      <c r="Q82" s="253"/>
      <c r="R82" s="1096">
        <v>5.3475935828877219E-3</v>
      </c>
      <c r="S82" s="253"/>
      <c r="T82" s="253"/>
      <c r="U82" s="253"/>
      <c r="V82" s="253"/>
      <c r="W82" s="1096">
        <v>5.3191489361701372E-3</v>
      </c>
      <c r="X82" s="1155">
        <v>5.0000000000000001E-3</v>
      </c>
      <c r="Y82" s="1155">
        <v>5.0000000000000001E-3</v>
      </c>
      <c r="Z82" s="1155">
        <v>5.0000000000000001E-3</v>
      </c>
      <c r="AA82" s="1155">
        <v>5.0000000000000001E-3</v>
      </c>
      <c r="AB82" s="1155">
        <v>5.0000000000000001E-3</v>
      </c>
      <c r="AC82" s="1155">
        <v>5.0000000000000001E-3</v>
      </c>
    </row>
    <row r="83" spans="2:29">
      <c r="B83" s="146"/>
      <c r="C83" s="146"/>
      <c r="D83" s="146"/>
      <c r="E83" s="146"/>
      <c r="F83" s="146"/>
      <c r="G83" s="146"/>
      <c r="H83" s="146"/>
      <c r="I83" s="146"/>
      <c r="J83" s="146"/>
      <c r="K83" s="146"/>
      <c r="L83" s="146"/>
      <c r="M83" s="146"/>
      <c r="N83" s="146"/>
      <c r="O83" s="146"/>
      <c r="P83" s="146"/>
      <c r="Q83" s="146"/>
      <c r="R83" s="1153"/>
      <c r="S83" s="146"/>
      <c r="T83" s="146"/>
      <c r="U83" s="146"/>
      <c r="V83" s="146"/>
      <c r="W83" s="1153"/>
      <c r="X83" s="1154"/>
      <c r="Y83" s="146"/>
      <c r="Z83" s="146"/>
      <c r="AA83" s="146"/>
      <c r="AB83" s="146"/>
      <c r="AC83" s="146"/>
    </row>
    <row r="84" spans="2:29">
      <c r="B84" s="147" t="s">
        <v>1239</v>
      </c>
      <c r="C84" s="146"/>
      <c r="D84" s="146"/>
      <c r="E84" s="146"/>
      <c r="F84" s="146"/>
      <c r="G84" s="146"/>
      <c r="H84" s="146"/>
      <c r="I84" s="146"/>
      <c r="J84" s="146"/>
      <c r="K84" s="146"/>
      <c r="L84" s="146"/>
      <c r="M84" s="146"/>
      <c r="N84" s="146"/>
      <c r="O84" s="146"/>
      <c r="P84" s="146"/>
      <c r="Q84" s="146"/>
      <c r="R84" s="146"/>
      <c r="S84" s="146"/>
      <c r="T84" s="146"/>
      <c r="U84" s="146"/>
      <c r="V84" s="146"/>
      <c r="W84" s="147"/>
      <c r="X84" s="147"/>
      <c r="Y84" s="146"/>
      <c r="Z84" s="146"/>
      <c r="AA84" s="146"/>
      <c r="AB84" s="146"/>
      <c r="AC84" s="146"/>
    </row>
    <row r="85" spans="2:29">
      <c r="B85" s="146" t="s">
        <v>524</v>
      </c>
      <c r="C85" s="146"/>
      <c r="D85" s="146"/>
      <c r="E85" s="914">
        <v>38750</v>
      </c>
      <c r="F85" s="914"/>
      <c r="G85" s="914"/>
      <c r="H85" s="914"/>
      <c r="I85" s="914"/>
      <c r="J85" s="914"/>
      <c r="K85" s="914"/>
      <c r="L85" s="914"/>
      <c r="M85" s="914"/>
      <c r="N85" s="146"/>
      <c r="O85" s="146"/>
      <c r="P85" s="146"/>
      <c r="Q85" s="146"/>
      <c r="R85" s="914">
        <v>41750</v>
      </c>
      <c r="S85" s="146"/>
      <c r="T85" s="146"/>
      <c r="U85" s="146"/>
      <c r="V85" s="146"/>
      <c r="W85" s="914">
        <v>42500</v>
      </c>
      <c r="X85" s="914">
        <v>43442.262124729226</v>
      </c>
      <c r="Y85" s="914">
        <v>44086.503854149749</v>
      </c>
      <c r="Z85" s="914">
        <v>44765.041509148061</v>
      </c>
      <c r="AA85" s="914">
        <v>45242.590087835946</v>
      </c>
      <c r="AB85" s="914">
        <v>45724.407562526867</v>
      </c>
      <c r="AC85" s="914">
        <v>46210.529712892218</v>
      </c>
    </row>
    <row r="86" spans="2:29">
      <c r="B86" s="146" t="s">
        <v>856</v>
      </c>
      <c r="C86" s="916"/>
      <c r="D86" s="916"/>
      <c r="E86" s="916">
        <v>26000</v>
      </c>
      <c r="F86" s="916"/>
      <c r="G86" s="916"/>
      <c r="H86" s="916"/>
      <c r="I86" s="916"/>
      <c r="J86" s="916"/>
      <c r="K86" s="916"/>
      <c r="L86" s="916"/>
      <c r="M86" s="916"/>
      <c r="N86" s="916"/>
      <c r="O86" s="916"/>
      <c r="P86" s="916"/>
      <c r="Q86" s="916"/>
      <c r="R86" s="916">
        <v>26000</v>
      </c>
      <c r="S86" s="916"/>
      <c r="T86" s="916"/>
      <c r="U86" s="916"/>
      <c r="V86" s="916"/>
      <c r="W86" s="916">
        <v>24000</v>
      </c>
      <c r="X86" s="891"/>
      <c r="Y86" s="891"/>
      <c r="Z86" s="891"/>
      <c r="AA86" s="891"/>
      <c r="AB86" s="891"/>
      <c r="AC86" s="891"/>
    </row>
    <row r="87" spans="2:29">
      <c r="B87" s="148" t="s">
        <v>904</v>
      </c>
      <c r="C87" s="148"/>
      <c r="D87" s="148"/>
      <c r="E87" s="947">
        <v>33840.909090909088</v>
      </c>
      <c r="F87" s="947"/>
      <c r="G87" s="947"/>
      <c r="H87" s="947"/>
      <c r="I87" s="947"/>
      <c r="J87" s="947"/>
      <c r="K87" s="947"/>
      <c r="L87" s="947"/>
      <c r="M87" s="947"/>
      <c r="N87" s="148"/>
      <c r="O87" s="148"/>
      <c r="P87" s="148"/>
      <c r="Q87" s="148"/>
      <c r="R87" s="947">
        <v>35634.308510638301</v>
      </c>
      <c r="S87" s="148"/>
      <c r="T87" s="148"/>
      <c r="U87" s="148"/>
      <c r="V87" s="148"/>
      <c r="W87" s="947">
        <v>35511.111111111109</v>
      </c>
      <c r="X87" s="947">
        <v>34090.666666666664</v>
      </c>
      <c r="Y87" s="947">
        <v>35113.386666666665</v>
      </c>
      <c r="Z87" s="947">
        <v>35991.221333333327</v>
      </c>
      <c r="AA87" s="947">
        <v>36891.001866666658</v>
      </c>
      <c r="AB87" s="947">
        <v>37628.821903999989</v>
      </c>
      <c r="AC87" s="947">
        <v>38306.140698271993</v>
      </c>
    </row>
    <row r="88" spans="2:29">
      <c r="B88" s="1147" t="s">
        <v>64</v>
      </c>
      <c r="C88" s="253"/>
      <c r="D88" s="253"/>
      <c r="E88" s="253"/>
      <c r="F88" s="253"/>
      <c r="G88" s="253"/>
      <c r="H88" s="253"/>
      <c r="I88" s="253"/>
      <c r="J88" s="253"/>
      <c r="K88" s="253"/>
      <c r="L88" s="253"/>
      <c r="M88" s="253"/>
      <c r="N88" s="253"/>
      <c r="O88" s="253"/>
      <c r="P88" s="253"/>
      <c r="Q88" s="253"/>
      <c r="R88" s="1096">
        <v>5.2995013074603969E-2</v>
      </c>
      <c r="S88" s="253"/>
      <c r="T88" s="253"/>
      <c r="U88" s="253"/>
      <c r="V88" s="253"/>
      <c r="W88" s="1096">
        <v>-3.457269263143159E-3</v>
      </c>
      <c r="X88" s="1155">
        <v>-0.04</v>
      </c>
      <c r="Y88" s="1155">
        <v>0.03</v>
      </c>
      <c r="Z88" s="1155">
        <v>2.5000000000000001E-2</v>
      </c>
      <c r="AA88" s="1155">
        <v>2.5000000000000001E-2</v>
      </c>
      <c r="AB88" s="1155">
        <v>0.02</v>
      </c>
      <c r="AC88" s="1155">
        <v>1.7999999999999999E-2</v>
      </c>
    </row>
    <row r="89" spans="2:29">
      <c r="B89" s="147"/>
      <c r="C89" s="146"/>
      <c r="D89" s="146"/>
      <c r="E89" s="891"/>
      <c r="F89" s="891"/>
      <c r="G89" s="891"/>
      <c r="H89" s="891"/>
      <c r="I89" s="891"/>
      <c r="J89" s="891"/>
      <c r="K89" s="891"/>
      <c r="L89" s="891"/>
      <c r="M89" s="891"/>
      <c r="N89" s="146"/>
      <c r="O89" s="146"/>
      <c r="P89" s="146"/>
      <c r="Q89" s="146"/>
      <c r="R89" s="891"/>
      <c r="S89" s="146"/>
      <c r="T89" s="146"/>
      <c r="U89" s="146"/>
      <c r="V89" s="146"/>
      <c r="W89" s="891"/>
      <c r="X89" s="170"/>
      <c r="Y89" s="891"/>
      <c r="Z89" s="891"/>
      <c r="AA89" s="891"/>
      <c r="AB89" s="891"/>
      <c r="AC89" s="891"/>
    </row>
    <row r="90" spans="2:29">
      <c r="B90" s="147" t="s">
        <v>1274</v>
      </c>
      <c r="C90" s="891"/>
      <c r="D90" s="891"/>
      <c r="E90" s="891"/>
      <c r="F90" s="891"/>
      <c r="G90" s="891"/>
      <c r="H90" s="891"/>
      <c r="I90" s="891"/>
      <c r="J90" s="891"/>
      <c r="K90" s="891"/>
      <c r="L90" s="891"/>
      <c r="M90" s="891"/>
      <c r="N90" s="891"/>
      <c r="O90" s="891"/>
      <c r="P90" s="891"/>
      <c r="Q90" s="891"/>
      <c r="R90" s="891"/>
      <c r="S90" s="891"/>
      <c r="T90" s="891"/>
      <c r="U90" s="891"/>
      <c r="V90" s="891"/>
      <c r="W90" s="956">
        <v>1.02</v>
      </c>
      <c r="X90" s="1152">
        <v>1.1826926414453678</v>
      </c>
      <c r="Y90" s="1152">
        <v>1.3584784679427284</v>
      </c>
      <c r="Z90" s="1152">
        <v>1.5475758063377421</v>
      </c>
      <c r="AA90" s="1152">
        <v>1.6911084187008407</v>
      </c>
      <c r="AB90" s="1152">
        <v>1.8408597095350583</v>
      </c>
      <c r="AC90" s="1152">
        <v>1.9969264478071143</v>
      </c>
    </row>
    <row r="91" spans="2:29">
      <c r="B91" s="147" t="s">
        <v>1387</v>
      </c>
      <c r="C91" s="146"/>
      <c r="D91" s="146"/>
      <c r="E91" s="146"/>
      <c r="F91" s="146"/>
      <c r="G91" s="146"/>
      <c r="H91" s="146"/>
      <c r="I91" s="146"/>
      <c r="J91" s="146"/>
      <c r="K91" s="146"/>
      <c r="L91" s="146"/>
      <c r="M91" s="146"/>
      <c r="N91" s="146"/>
      <c r="O91" s="146"/>
      <c r="P91" s="146"/>
      <c r="Q91" s="146"/>
      <c r="R91" s="146"/>
      <c r="S91" s="146"/>
      <c r="T91" s="146"/>
      <c r="U91" s="146"/>
      <c r="V91" s="146"/>
      <c r="W91" s="908">
        <v>7.49999999999999E-2</v>
      </c>
      <c r="X91" s="1152">
        <v>0.19999999999999996</v>
      </c>
      <c r="Y91" s="1152">
        <v>0.37000000000000005</v>
      </c>
      <c r="Z91" s="1152">
        <v>0.42000000000000004</v>
      </c>
      <c r="AA91" s="1152">
        <v>0.47000000000000014</v>
      </c>
      <c r="AB91" s="1152">
        <v>0.52</v>
      </c>
      <c r="AC91" s="1152">
        <v>0.57000000000000006</v>
      </c>
    </row>
    <row r="92" spans="2:29">
      <c r="B92" s="146"/>
      <c r="C92" s="146"/>
      <c r="D92" s="146"/>
      <c r="E92" s="146"/>
      <c r="F92" s="146"/>
      <c r="G92" s="146"/>
      <c r="H92" s="146"/>
      <c r="I92" s="146"/>
      <c r="J92" s="146"/>
      <c r="K92" s="146"/>
      <c r="L92" s="146"/>
      <c r="M92" s="146"/>
      <c r="N92" s="146"/>
      <c r="O92" s="146"/>
      <c r="P92" s="146"/>
      <c r="Q92" s="146"/>
      <c r="R92" s="146"/>
      <c r="S92" s="146"/>
      <c r="T92" s="146"/>
      <c r="U92" s="146"/>
      <c r="V92" s="146"/>
      <c r="W92" s="147"/>
      <c r="X92" s="147"/>
      <c r="Y92" s="147"/>
      <c r="Z92" s="147"/>
      <c r="AA92" s="147"/>
      <c r="AB92" s="147"/>
      <c r="AC92" s="147"/>
    </row>
    <row r="93" spans="2:29">
      <c r="B93" s="147" t="s">
        <v>489</v>
      </c>
      <c r="C93" s="146"/>
      <c r="D93" s="146"/>
      <c r="E93" s="146"/>
      <c r="F93" s="146"/>
      <c r="G93" s="146"/>
      <c r="H93" s="146"/>
      <c r="I93" s="146"/>
      <c r="J93" s="146"/>
      <c r="K93" s="146"/>
      <c r="L93" s="146"/>
      <c r="M93" s="146"/>
      <c r="N93" s="146"/>
      <c r="O93" s="146"/>
      <c r="P93" s="146"/>
      <c r="Q93" s="146"/>
      <c r="R93" s="146"/>
      <c r="S93" s="146"/>
      <c r="T93" s="146"/>
      <c r="U93" s="146"/>
      <c r="V93" s="146"/>
      <c r="W93" s="923">
        <v>245</v>
      </c>
      <c r="X93" s="923">
        <v>240.1</v>
      </c>
      <c r="Y93" s="923">
        <v>235.298</v>
      </c>
      <c r="Z93" s="923">
        <v>230.59204</v>
      </c>
      <c r="AA93" s="923">
        <v>225.98019919999999</v>
      </c>
      <c r="AB93" s="923">
        <v>221.46059521599997</v>
      </c>
      <c r="AC93" s="923">
        <v>217.03138331167997</v>
      </c>
    </row>
    <row r="94" spans="2:29">
      <c r="B94" s="147" t="s">
        <v>1388</v>
      </c>
      <c r="C94" s="146"/>
      <c r="D94" s="146"/>
      <c r="E94" s="146"/>
      <c r="F94" s="146"/>
      <c r="G94" s="146"/>
      <c r="H94" s="146"/>
      <c r="I94" s="146"/>
      <c r="J94" s="146"/>
      <c r="K94" s="146"/>
      <c r="L94" s="146"/>
      <c r="M94" s="146"/>
      <c r="N94" s="146"/>
      <c r="O94" s="146"/>
      <c r="P94" s="146"/>
      <c r="Q94" s="146"/>
      <c r="R94" s="146"/>
      <c r="S94" s="146"/>
      <c r="T94" s="146"/>
      <c r="U94" s="146"/>
      <c r="V94" s="146"/>
      <c r="W94" s="923">
        <v>70</v>
      </c>
      <c r="X94" s="923">
        <v>70</v>
      </c>
      <c r="Y94" s="923">
        <v>70</v>
      </c>
      <c r="Z94" s="923">
        <v>70</v>
      </c>
      <c r="AA94" s="923">
        <v>70</v>
      </c>
      <c r="AB94" s="923">
        <v>70</v>
      </c>
      <c r="AC94" s="923">
        <v>70</v>
      </c>
    </row>
    <row r="95" spans="2:29">
      <c r="B95" s="146"/>
      <c r="C95" s="146"/>
      <c r="D95" s="146"/>
      <c r="E95" s="146"/>
      <c r="F95" s="146"/>
      <c r="G95" s="146"/>
      <c r="H95" s="146"/>
      <c r="I95" s="146"/>
      <c r="J95" s="146"/>
      <c r="K95" s="146"/>
      <c r="L95" s="146"/>
      <c r="M95" s="146"/>
      <c r="N95" s="146"/>
      <c r="O95" s="146"/>
      <c r="P95" s="146"/>
      <c r="Q95" s="146"/>
      <c r="R95" s="146"/>
      <c r="S95" s="146"/>
      <c r="T95" s="146"/>
      <c r="U95" s="146"/>
      <c r="V95" s="146"/>
      <c r="W95" s="147"/>
      <c r="X95" s="1089"/>
      <c r="Y95" s="1089"/>
      <c r="Z95" s="1089"/>
      <c r="AA95" s="1089"/>
      <c r="AB95" s="1089"/>
      <c r="AC95" s="1089"/>
    </row>
    <row r="96" spans="2:29">
      <c r="B96" s="146" t="s">
        <v>954</v>
      </c>
      <c r="C96" s="146"/>
      <c r="D96" s="146"/>
      <c r="E96" s="146"/>
      <c r="F96" s="146"/>
      <c r="G96" s="146"/>
      <c r="H96" s="146"/>
      <c r="I96" s="146"/>
      <c r="J96" s="146"/>
      <c r="K96" s="146"/>
      <c r="L96" s="146"/>
      <c r="M96" s="146"/>
      <c r="N96" s="146"/>
      <c r="O96" s="146"/>
      <c r="P96" s="146"/>
      <c r="Q96" s="146"/>
      <c r="R96" s="146"/>
      <c r="S96" s="146"/>
      <c r="T96" s="146"/>
      <c r="U96" s="146"/>
      <c r="V96" s="146"/>
      <c r="W96" s="147"/>
      <c r="X96" s="963">
        <v>3173.1990192661965</v>
      </c>
      <c r="Y96" s="963">
        <v>3587.5948781808011</v>
      </c>
      <c r="Z96" s="963">
        <v>4020.6779007423193</v>
      </c>
      <c r="AA96" s="963">
        <v>4391.2710379206983</v>
      </c>
      <c r="AB96" s="963">
        <v>4693.1505837783807</v>
      </c>
      <c r="AC96" s="963">
        <v>4997.5202314943308</v>
      </c>
    </row>
    <row r="97" spans="2:29">
      <c r="B97" s="146" t="s">
        <v>1389</v>
      </c>
      <c r="C97" s="146"/>
      <c r="D97" s="146"/>
      <c r="E97" s="146"/>
      <c r="F97" s="146"/>
      <c r="G97" s="146"/>
      <c r="H97" s="146"/>
      <c r="I97" s="146"/>
      <c r="J97" s="146"/>
      <c r="K97" s="146"/>
      <c r="L97" s="146"/>
      <c r="M97" s="146"/>
      <c r="N97" s="146"/>
      <c r="O97" s="146"/>
      <c r="P97" s="146"/>
      <c r="Q97" s="146"/>
      <c r="R97" s="146"/>
      <c r="S97" s="146"/>
      <c r="T97" s="146"/>
      <c r="U97" s="146"/>
      <c r="V97" s="146"/>
      <c r="W97" s="147"/>
      <c r="X97" s="963">
        <v>167.99999999999994</v>
      </c>
      <c r="Y97" s="963">
        <v>310.8</v>
      </c>
      <c r="Z97" s="963">
        <v>352.8</v>
      </c>
      <c r="AA97" s="963">
        <v>394.80000000000018</v>
      </c>
      <c r="AB97" s="963">
        <v>436.79999999999995</v>
      </c>
      <c r="AC97" s="963">
        <v>478.80000000000007</v>
      </c>
    </row>
    <row r="98" spans="2:29">
      <c r="B98" s="148" t="s">
        <v>1390</v>
      </c>
      <c r="C98" s="149"/>
      <c r="D98" s="149"/>
      <c r="E98" s="149"/>
      <c r="F98" s="149"/>
      <c r="G98" s="149"/>
      <c r="H98" s="149"/>
      <c r="I98" s="149"/>
      <c r="J98" s="149"/>
      <c r="K98" s="149"/>
      <c r="L98" s="149"/>
      <c r="M98" s="149"/>
      <c r="N98" s="149"/>
      <c r="O98" s="149"/>
      <c r="P98" s="149"/>
      <c r="Q98" s="149"/>
      <c r="R98" s="149"/>
      <c r="S98" s="149"/>
      <c r="T98" s="149"/>
      <c r="U98" s="149"/>
      <c r="V98" s="149"/>
      <c r="W98" s="148"/>
      <c r="X98" s="1158">
        <v>3341.1990192661965</v>
      </c>
      <c r="Y98" s="1158">
        <v>3898.3948781808012</v>
      </c>
      <c r="Z98" s="1158">
        <v>4373.4779007423194</v>
      </c>
      <c r="AA98" s="1158">
        <v>4786.0710379206985</v>
      </c>
      <c r="AB98" s="1158">
        <v>5129.9505837783809</v>
      </c>
      <c r="AC98" s="1158">
        <v>5476.320231494331</v>
      </c>
    </row>
    <row r="99" spans="2:29">
      <c r="B99" s="1147" t="s">
        <v>64</v>
      </c>
      <c r="C99" s="146"/>
      <c r="D99" s="146"/>
      <c r="E99" s="146"/>
      <c r="F99" s="146"/>
      <c r="G99" s="146"/>
      <c r="H99" s="146"/>
      <c r="I99" s="146"/>
      <c r="J99" s="146"/>
      <c r="K99" s="146"/>
      <c r="L99" s="146"/>
      <c r="M99" s="146"/>
      <c r="N99" s="146"/>
      <c r="O99" s="146"/>
      <c r="P99" s="146"/>
      <c r="Q99" s="146"/>
      <c r="R99" s="146"/>
      <c r="S99" s="146"/>
      <c r="T99" s="146"/>
      <c r="U99" s="146"/>
      <c r="V99" s="146"/>
      <c r="W99" s="147"/>
      <c r="X99" s="1089"/>
      <c r="Y99" s="883">
        <v>0.16676524077185251</v>
      </c>
      <c r="Z99" s="883">
        <v>0.12186631611398413</v>
      </c>
      <c r="AA99" s="883">
        <v>9.4339824401158845E-2</v>
      </c>
      <c r="AB99" s="883">
        <v>7.1850071412036698E-2</v>
      </c>
      <c r="AC99" s="883">
        <v>6.7519100244594732E-2</v>
      </c>
    </row>
    <row r="100" spans="2:29">
      <c r="B100" s="146"/>
      <c r="C100" s="146"/>
      <c r="D100" s="146"/>
      <c r="E100" s="146"/>
      <c r="F100" s="146"/>
      <c r="G100" s="146"/>
      <c r="H100" s="146"/>
      <c r="I100" s="146"/>
      <c r="J100" s="146"/>
      <c r="K100" s="146"/>
      <c r="L100" s="146"/>
      <c r="M100" s="146"/>
      <c r="N100" s="146"/>
      <c r="O100" s="146"/>
      <c r="P100" s="146"/>
      <c r="Q100" s="146"/>
      <c r="R100" s="146"/>
      <c r="S100" s="146"/>
      <c r="T100" s="146"/>
      <c r="U100" s="146"/>
      <c r="V100" s="146"/>
      <c r="W100" s="147"/>
      <c r="X100" s="1089"/>
      <c r="Y100" s="1089"/>
      <c r="Z100" s="1089"/>
      <c r="AA100" s="1089"/>
      <c r="AB100" s="1089"/>
      <c r="AC100" s="1089"/>
    </row>
    <row r="101" spans="2:29">
      <c r="B101" s="146"/>
      <c r="C101" s="146"/>
      <c r="D101" s="146"/>
      <c r="E101" s="146"/>
      <c r="F101" s="146"/>
      <c r="G101" s="146"/>
      <c r="H101" s="146"/>
      <c r="I101" s="146"/>
      <c r="J101" s="146"/>
      <c r="K101" s="146"/>
      <c r="L101" s="146"/>
      <c r="M101" s="146"/>
      <c r="N101" s="146"/>
      <c r="O101" s="146"/>
      <c r="P101" s="146"/>
      <c r="Q101" s="146"/>
      <c r="R101" s="146"/>
      <c r="S101" s="146"/>
      <c r="T101" s="146"/>
      <c r="U101" s="146"/>
      <c r="V101" s="146"/>
      <c r="W101" s="147"/>
      <c r="X101" s="1089"/>
      <c r="Y101" s="1089"/>
      <c r="Z101" s="1089"/>
      <c r="AA101" s="1089"/>
      <c r="AB101" s="1089"/>
      <c r="AC101" s="1089"/>
    </row>
    <row r="102" spans="2:29">
      <c r="B102" s="249" t="s">
        <v>1277</v>
      </c>
      <c r="C102" s="146"/>
      <c r="D102" s="146"/>
      <c r="E102" s="146"/>
      <c r="F102" s="146"/>
      <c r="G102" s="146"/>
      <c r="H102" s="146"/>
      <c r="I102" s="146"/>
      <c r="J102" s="146"/>
      <c r="K102" s="146"/>
      <c r="L102" s="146"/>
      <c r="M102" s="146"/>
      <c r="N102" s="146"/>
      <c r="O102" s="146"/>
      <c r="P102" s="146"/>
      <c r="Q102" s="146"/>
      <c r="R102" s="146"/>
      <c r="S102" s="146"/>
      <c r="T102" s="146"/>
      <c r="U102" s="146"/>
      <c r="V102" s="146"/>
      <c r="W102" s="147"/>
      <c r="X102" s="147"/>
      <c r="Y102" s="146"/>
      <c r="Z102" s="146"/>
      <c r="AA102" s="146"/>
      <c r="AB102" s="146"/>
      <c r="AC102" s="146"/>
    </row>
    <row r="103" spans="2:29">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7"/>
      <c r="X103" s="147"/>
      <c r="Y103" s="146"/>
      <c r="Z103" s="146"/>
      <c r="AA103" s="146"/>
      <c r="AB103" s="146"/>
      <c r="AC103" s="146"/>
    </row>
    <row r="104" spans="2:29">
      <c r="B104" s="249" t="s">
        <v>373</v>
      </c>
      <c r="C104" s="146"/>
      <c r="D104" s="146"/>
      <c r="E104" s="146"/>
      <c r="F104" s="146"/>
      <c r="G104" s="146"/>
      <c r="H104" s="146"/>
      <c r="I104" s="146"/>
      <c r="J104" s="146"/>
      <c r="K104" s="146"/>
      <c r="L104" s="146"/>
      <c r="M104" s="146"/>
      <c r="N104" s="146"/>
      <c r="O104" s="146"/>
      <c r="P104" s="146"/>
      <c r="Q104" s="146"/>
      <c r="R104" s="146"/>
      <c r="S104" s="146"/>
      <c r="T104" s="146"/>
      <c r="U104" s="146"/>
      <c r="V104" s="146"/>
      <c r="W104" s="147"/>
      <c r="X104" s="147"/>
      <c r="Y104" s="146"/>
      <c r="Z104" s="146"/>
      <c r="AA104" s="146"/>
      <c r="AB104" s="146"/>
      <c r="AC104" s="146"/>
    </row>
    <row r="105" spans="2:29">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108">
        <v>2024</v>
      </c>
      <c r="X105" s="1280">
        <v>2025</v>
      </c>
      <c r="Y105" s="1280">
        <v>2026</v>
      </c>
      <c r="Z105" s="1280">
        <v>2027</v>
      </c>
      <c r="AA105" s="1280">
        <v>2028</v>
      </c>
      <c r="AB105" s="1280">
        <v>2029</v>
      </c>
      <c r="AC105" s="1280">
        <v>2030</v>
      </c>
    </row>
    <row r="106" spans="2:29">
      <c r="B106" s="924" t="s">
        <v>2</v>
      </c>
      <c r="C106" s="146"/>
      <c r="D106" s="146"/>
      <c r="E106" s="146"/>
      <c r="F106" s="146"/>
      <c r="G106" s="146"/>
      <c r="H106" s="146"/>
      <c r="I106" s="146"/>
      <c r="J106" s="146"/>
      <c r="K106" s="146"/>
      <c r="L106" s="146"/>
      <c r="M106" s="146"/>
      <c r="N106" s="146"/>
      <c r="O106" s="146"/>
      <c r="P106" s="146"/>
      <c r="Q106" s="146"/>
      <c r="R106" s="891">
        <v>21096.008999999998</v>
      </c>
      <c r="S106" s="891">
        <v>0</v>
      </c>
      <c r="T106" s="891">
        <v>0</v>
      </c>
      <c r="U106" s="891">
        <v>22482.441999999999</v>
      </c>
      <c r="V106" s="891">
        <v>0</v>
      </c>
      <c r="W106" s="891">
        <v>22451.777000000002</v>
      </c>
      <c r="X106" s="891">
        <v>23046.987716971151</v>
      </c>
      <c r="Y106" s="891">
        <v>23816.19512184387</v>
      </c>
      <c r="Z106" s="891">
        <v>25025.885460748661</v>
      </c>
      <c r="AA106" s="891">
        <v>26592.193763350788</v>
      </c>
      <c r="AB106" s="891">
        <v>27480.438044350718</v>
      </c>
      <c r="AC106" s="891">
        <v>28294.364864768864</v>
      </c>
    </row>
    <row r="107" spans="2:29">
      <c r="B107" s="924" t="s">
        <v>1073</v>
      </c>
      <c r="C107" s="146"/>
      <c r="D107" s="146"/>
      <c r="E107" s="146"/>
      <c r="F107" s="146"/>
      <c r="G107" s="146"/>
      <c r="H107" s="146"/>
      <c r="I107" s="146"/>
      <c r="J107" s="146"/>
      <c r="K107" s="146"/>
      <c r="L107" s="146"/>
      <c r="M107" s="146"/>
      <c r="N107" s="146"/>
      <c r="O107" s="146"/>
      <c r="P107" s="146"/>
      <c r="Q107" s="146"/>
      <c r="R107" s="146"/>
      <c r="S107" s="146"/>
      <c r="T107" s="146"/>
      <c r="U107" s="146"/>
      <c r="V107" s="146"/>
      <c r="W107" s="147"/>
      <c r="X107" s="1081"/>
      <c r="Y107" s="1082"/>
      <c r="Z107" s="1082"/>
      <c r="AA107" s="1082"/>
      <c r="AB107" s="1082"/>
      <c r="AC107" s="1082"/>
    </row>
    <row r="108" spans="2:29">
      <c r="B108" s="924" t="s">
        <v>1074</v>
      </c>
      <c r="C108" s="146"/>
      <c r="D108" s="146"/>
      <c r="E108" s="146"/>
      <c r="F108" s="146"/>
      <c r="G108" s="146"/>
      <c r="H108" s="146"/>
      <c r="I108" s="146"/>
      <c r="J108" s="146"/>
      <c r="K108" s="146"/>
      <c r="L108" s="146"/>
      <c r="M108" s="146"/>
      <c r="N108" s="146"/>
      <c r="O108" s="146"/>
      <c r="P108" s="146"/>
      <c r="Q108" s="146"/>
      <c r="R108" s="891">
        <v>-614.16000000000008</v>
      </c>
      <c r="S108" s="891">
        <v>0</v>
      </c>
      <c r="T108" s="891">
        <v>0</v>
      </c>
      <c r="U108" s="891">
        <v>1083.796</v>
      </c>
      <c r="V108" s="891">
        <v>0</v>
      </c>
      <c r="W108" s="891">
        <v>-588.20699999999988</v>
      </c>
      <c r="X108" s="891">
        <v>-436.38127334514439</v>
      </c>
      <c r="Y108" s="891">
        <v>-584.54585536968909</v>
      </c>
      <c r="Z108" s="891">
        <v>-855.2289525832914</v>
      </c>
      <c r="AA108" s="891">
        <v>-1316.5221225649759</v>
      </c>
      <c r="AB108" s="891">
        <v>-1517.7755132711718</v>
      </c>
      <c r="AC108" s="891">
        <v>-1712.8195158509511</v>
      </c>
    </row>
    <row r="109" spans="2:29">
      <c r="B109" s="924" t="s">
        <v>1029</v>
      </c>
      <c r="C109" s="146"/>
      <c r="D109" s="146"/>
      <c r="E109" s="146"/>
      <c r="F109" s="146"/>
      <c r="G109" s="146"/>
      <c r="H109" s="146"/>
      <c r="I109" s="146"/>
      <c r="J109" s="146"/>
      <c r="K109" s="146"/>
      <c r="L109" s="146"/>
      <c r="M109" s="146"/>
      <c r="N109" s="146"/>
      <c r="O109" s="146"/>
      <c r="P109" s="146"/>
      <c r="Q109" s="146"/>
      <c r="R109" s="891">
        <v>-9338.9</v>
      </c>
      <c r="S109" s="891">
        <v>0</v>
      </c>
      <c r="T109" s="891">
        <v>0</v>
      </c>
      <c r="U109" s="891">
        <v>-8428.7999999999993</v>
      </c>
      <c r="V109" s="891">
        <v>0</v>
      </c>
      <c r="W109" s="891">
        <v>-8564.9</v>
      </c>
      <c r="X109" s="891">
        <v>-10216.213720988784</v>
      </c>
      <c r="Y109" s="891">
        <v>-10292.561657662129</v>
      </c>
      <c r="Z109" s="891">
        <v>-9516.3265233291695</v>
      </c>
      <c r="AA109" s="891">
        <v>-8325.6603948013108</v>
      </c>
      <c r="AB109" s="891">
        <v>-8374.7122289211238</v>
      </c>
      <c r="AC109" s="891">
        <v>-8671.4778017999288</v>
      </c>
    </row>
    <row r="110" spans="2:29">
      <c r="B110" s="924" t="s">
        <v>501</v>
      </c>
      <c r="C110" s="146"/>
      <c r="D110" s="146"/>
      <c r="E110" s="146"/>
      <c r="F110" s="146"/>
      <c r="G110" s="146"/>
      <c r="H110" s="146"/>
      <c r="I110" s="146"/>
      <c r="J110" s="146"/>
      <c r="K110" s="146"/>
      <c r="L110" s="146"/>
      <c r="M110" s="146"/>
      <c r="N110" s="146"/>
      <c r="O110" s="146"/>
      <c r="P110" s="146"/>
      <c r="Q110" s="146"/>
      <c r="R110" s="146"/>
      <c r="S110" s="146"/>
      <c r="T110" s="146"/>
      <c r="U110" s="146"/>
      <c r="V110" s="146"/>
      <c r="W110" s="147"/>
      <c r="X110" s="147"/>
      <c r="Y110" s="146"/>
      <c r="Z110" s="146"/>
      <c r="AA110" s="146"/>
      <c r="AB110" s="146"/>
      <c r="AC110" s="146"/>
    </row>
    <row r="111" spans="2:29">
      <c r="B111" s="925" t="s">
        <v>1075</v>
      </c>
      <c r="C111" s="148"/>
      <c r="D111" s="148"/>
      <c r="E111" s="148"/>
      <c r="F111" s="148"/>
      <c r="G111" s="148"/>
      <c r="H111" s="148"/>
      <c r="I111" s="148"/>
      <c r="J111" s="148"/>
      <c r="K111" s="148"/>
      <c r="L111" s="148"/>
      <c r="M111" s="148"/>
      <c r="N111" s="148"/>
      <c r="O111" s="148"/>
      <c r="P111" s="148"/>
      <c r="Q111" s="148"/>
      <c r="R111" s="947">
        <v>11142.948999999999</v>
      </c>
      <c r="S111" s="947">
        <v>0</v>
      </c>
      <c r="T111" s="947">
        <v>0</v>
      </c>
      <c r="U111" s="947">
        <v>15137.437999999998</v>
      </c>
      <c r="V111" s="947">
        <v>0</v>
      </c>
      <c r="W111" s="947">
        <v>13298.670000000004</v>
      </c>
      <c r="X111" s="947">
        <v>12394.392722637222</v>
      </c>
      <c r="Y111" s="947">
        <v>12939.087608812053</v>
      </c>
      <c r="Z111" s="947">
        <v>14654.329984836198</v>
      </c>
      <c r="AA111" s="947">
        <v>16950.0112459845</v>
      </c>
      <c r="AB111" s="947">
        <v>17587.950302158424</v>
      </c>
      <c r="AC111" s="947">
        <v>17910.067547117986</v>
      </c>
    </row>
    <row r="112" spans="2:29">
      <c r="B112" s="924" t="s">
        <v>1076</v>
      </c>
      <c r="C112" s="146"/>
      <c r="D112" s="146"/>
      <c r="E112" s="146"/>
      <c r="F112" s="146"/>
      <c r="G112" s="146"/>
      <c r="H112" s="146"/>
      <c r="I112" s="146"/>
      <c r="J112" s="146"/>
      <c r="K112" s="146"/>
      <c r="L112" s="146"/>
      <c r="M112" s="146"/>
      <c r="N112" s="146"/>
      <c r="O112" s="146"/>
      <c r="P112" s="146"/>
      <c r="Q112" s="146"/>
      <c r="R112" s="891">
        <v>-4113.5</v>
      </c>
      <c r="S112" s="146"/>
      <c r="T112" s="146"/>
      <c r="U112" s="146"/>
      <c r="V112" s="146"/>
      <c r="W112" s="891">
        <v>-4317.0640000000003</v>
      </c>
      <c r="X112" s="891">
        <v>-4056.0190776396976</v>
      </c>
      <c r="Y112" s="891">
        <v>-4045.6738306071647</v>
      </c>
      <c r="Z112" s="891">
        <v>-3998.5180492806085</v>
      </c>
      <c r="AA112" s="891">
        <v>-3585.3796478207678</v>
      </c>
      <c r="AB112" s="891">
        <v>-3065.6491593380551</v>
      </c>
      <c r="AC112" s="891">
        <v>-2483.6810923219145</v>
      </c>
    </row>
    <row r="113" spans="2:29">
      <c r="B113" s="1235" t="s">
        <v>1280</v>
      </c>
      <c r="C113" s="1227"/>
      <c r="D113" s="1227"/>
      <c r="E113" s="1227"/>
      <c r="F113" s="1227"/>
      <c r="G113" s="1227"/>
      <c r="H113" s="1227"/>
      <c r="I113" s="1227"/>
      <c r="J113" s="1227"/>
      <c r="K113" s="1227"/>
      <c r="L113" s="1227"/>
      <c r="M113" s="1227"/>
      <c r="N113" s="1227"/>
      <c r="O113" s="1227"/>
      <c r="P113" s="1227"/>
      <c r="Q113" s="1227"/>
      <c r="R113" s="1226">
        <v>7029.4489999999987</v>
      </c>
      <c r="S113" s="1227"/>
      <c r="T113" s="1227"/>
      <c r="U113" s="1227"/>
      <c r="V113" s="1227"/>
      <c r="W113" s="1226">
        <v>8981.6060000000034</v>
      </c>
      <c r="X113" s="1226">
        <v>8338.373644997524</v>
      </c>
      <c r="Y113" s="1226">
        <v>8893.4137782048892</v>
      </c>
      <c r="Z113" s="1226">
        <v>10655.81193555559</v>
      </c>
      <c r="AA113" s="1226">
        <v>13364.631598163733</v>
      </c>
      <c r="AB113" s="1226">
        <v>14522.301142820368</v>
      </c>
      <c r="AC113" s="1226">
        <v>15426.386454796071</v>
      </c>
    </row>
    <row r="114" spans="2:29">
      <c r="B114" s="924" t="s">
        <v>1077</v>
      </c>
      <c r="C114" s="146"/>
      <c r="D114" s="146"/>
      <c r="E114" s="146"/>
      <c r="F114" s="146"/>
      <c r="G114" s="146"/>
      <c r="H114" s="146"/>
      <c r="I114" s="146"/>
      <c r="J114" s="146"/>
      <c r="K114" s="146"/>
      <c r="L114" s="146"/>
      <c r="M114" s="146"/>
      <c r="N114" s="146"/>
      <c r="O114" s="146"/>
      <c r="P114" s="146"/>
      <c r="Q114" s="146"/>
      <c r="R114" s="891">
        <v>-6866.4539999999997</v>
      </c>
      <c r="S114" s="891">
        <v>0</v>
      </c>
      <c r="T114" s="891">
        <v>0</v>
      </c>
      <c r="U114" s="891">
        <v>0</v>
      </c>
      <c r="V114" s="891">
        <v>0</v>
      </c>
      <c r="W114" s="891">
        <v>-7026.5140000000001</v>
      </c>
      <c r="X114" s="891">
        <v>-7209.3692495586492</v>
      </c>
      <c r="Y114" s="891">
        <v>-7541.1836867791026</v>
      </c>
      <c r="Z114" s="891">
        <v>-7838.6136849832619</v>
      </c>
      <c r="AA114" s="891">
        <v>-8133.9937837165107</v>
      </c>
      <c r="AB114" s="891">
        <v>-8393.7420660051757</v>
      </c>
      <c r="AC114" s="891">
        <v>-8646.6440453856358</v>
      </c>
    </row>
    <row r="115" spans="2:29">
      <c r="B115" s="925" t="s">
        <v>1292</v>
      </c>
      <c r="C115" s="149"/>
      <c r="D115" s="149"/>
      <c r="E115" s="149"/>
      <c r="F115" s="149"/>
      <c r="G115" s="149"/>
      <c r="H115" s="149"/>
      <c r="I115" s="149"/>
      <c r="J115" s="149"/>
      <c r="K115" s="149"/>
      <c r="L115" s="149"/>
      <c r="M115" s="149"/>
      <c r="N115" s="149"/>
      <c r="O115" s="149"/>
      <c r="P115" s="149"/>
      <c r="Q115" s="149"/>
      <c r="R115" s="947">
        <v>162.99499999999898</v>
      </c>
      <c r="S115" s="947">
        <v>0</v>
      </c>
      <c r="T115" s="947">
        <v>0</v>
      </c>
      <c r="U115" s="947">
        <v>0</v>
      </c>
      <c r="V115" s="947">
        <v>0</v>
      </c>
      <c r="W115" s="947">
        <v>1955.0920000000033</v>
      </c>
      <c r="X115" s="947">
        <v>1129.0043954388748</v>
      </c>
      <c r="Y115" s="947">
        <v>1352.2300914257867</v>
      </c>
      <c r="Z115" s="947">
        <v>2817.1982505723281</v>
      </c>
      <c r="AA115" s="947">
        <v>5230.6378144472219</v>
      </c>
      <c r="AB115" s="947">
        <v>6128.5590768151924</v>
      </c>
      <c r="AC115" s="947">
        <v>6779.7424094104354</v>
      </c>
    </row>
    <row r="116" spans="2:29">
      <c r="B116" s="1078" t="s">
        <v>1078</v>
      </c>
      <c r="C116" s="150"/>
      <c r="D116" s="150"/>
      <c r="E116" s="150"/>
      <c r="F116" s="150"/>
      <c r="G116" s="150"/>
      <c r="H116" s="150"/>
      <c r="I116" s="150"/>
      <c r="J116" s="150"/>
      <c r="K116" s="150"/>
      <c r="L116" s="150"/>
      <c r="M116" s="150"/>
      <c r="N116" s="150"/>
      <c r="O116" s="150"/>
      <c r="P116" s="150"/>
      <c r="Q116" s="150"/>
      <c r="R116" s="150"/>
      <c r="S116" s="150"/>
      <c r="T116" s="150"/>
      <c r="U116" s="150"/>
      <c r="V116" s="150"/>
      <c r="W116" s="147"/>
      <c r="X116" s="1090">
        <v>0</v>
      </c>
      <c r="Y116" s="1090">
        <v>-742.25454545454534</v>
      </c>
      <c r="Z116" s="1090">
        <v>-742.25454545454534</v>
      </c>
      <c r="AA116" s="1090">
        <v>-742.25454545454534</v>
      </c>
      <c r="AB116" s="1090">
        <v>-742.25454545454534</v>
      </c>
      <c r="AC116" s="1090">
        <v>-742.25454545454534</v>
      </c>
    </row>
    <row r="117" spans="2:29">
      <c r="B117" s="1077" t="s">
        <v>1079</v>
      </c>
      <c r="C117" s="146"/>
      <c r="D117" s="146"/>
      <c r="E117" s="146"/>
      <c r="F117" s="146"/>
      <c r="G117" s="146"/>
      <c r="H117" s="146"/>
      <c r="I117" s="146"/>
      <c r="J117" s="146"/>
      <c r="K117" s="146"/>
      <c r="L117" s="146"/>
      <c r="M117" s="146"/>
      <c r="N117" s="146"/>
      <c r="O117" s="146"/>
      <c r="P117" s="146"/>
      <c r="Q117" s="146"/>
      <c r="R117" s="892">
        <v>162.99499999999898</v>
      </c>
      <c r="S117" s="892">
        <v>0</v>
      </c>
      <c r="T117" s="892">
        <v>0</v>
      </c>
      <c r="U117" s="892">
        <v>0</v>
      </c>
      <c r="V117" s="892">
        <v>0</v>
      </c>
      <c r="W117" s="947">
        <v>1955.0920000000033</v>
      </c>
      <c r="X117" s="947">
        <v>1129.0043954388748</v>
      </c>
      <c r="Y117" s="947">
        <v>609.97554597124133</v>
      </c>
      <c r="Z117" s="947">
        <v>2074.9437051177829</v>
      </c>
      <c r="AA117" s="947">
        <v>4488.3832689926767</v>
      </c>
      <c r="AB117" s="947">
        <v>5386.3045313606472</v>
      </c>
      <c r="AC117" s="947">
        <v>6037.4878639558901</v>
      </c>
    </row>
    <row r="118" spans="2:29">
      <c r="B118" s="924" t="s">
        <v>1303</v>
      </c>
      <c r="C118" s="146"/>
      <c r="D118" s="146"/>
      <c r="E118" s="146"/>
      <c r="F118" s="146"/>
      <c r="G118" s="146"/>
      <c r="H118" s="146"/>
      <c r="I118" s="146"/>
      <c r="J118" s="146"/>
      <c r="K118" s="146"/>
      <c r="L118" s="146"/>
      <c r="M118" s="146"/>
      <c r="N118" s="146"/>
      <c r="O118" s="146"/>
      <c r="P118" s="146"/>
      <c r="Q118" s="146"/>
      <c r="R118" s="892"/>
      <c r="S118" s="892"/>
      <c r="T118" s="892"/>
      <c r="U118" s="892"/>
      <c r="V118" s="892"/>
      <c r="W118" s="891">
        <v>-1120.2655035304999</v>
      </c>
      <c r="X118" s="891">
        <v>0</v>
      </c>
      <c r="Y118" s="891">
        <v>0</v>
      </c>
      <c r="Z118" s="891">
        <v>-1516.0876886703804</v>
      </c>
      <c r="AA118" s="891">
        <v>-2333.8346718197304</v>
      </c>
      <c r="AB118" s="891">
        <v>-2690.6020462534411</v>
      </c>
      <c r="AC118" s="891">
        <v>-3036.3618690085041</v>
      </c>
    </row>
    <row r="119" spans="2:29">
      <c r="B119" s="925" t="s">
        <v>1304</v>
      </c>
      <c r="C119" s="149"/>
      <c r="D119" s="149"/>
      <c r="E119" s="149"/>
      <c r="F119" s="149"/>
      <c r="G119" s="149"/>
      <c r="H119" s="149"/>
      <c r="I119" s="149"/>
      <c r="J119" s="149"/>
      <c r="K119" s="149"/>
      <c r="L119" s="149"/>
      <c r="M119" s="149"/>
      <c r="N119" s="149"/>
      <c r="O119" s="149"/>
      <c r="P119" s="149"/>
      <c r="Q119" s="149"/>
      <c r="R119" s="947"/>
      <c r="S119" s="947"/>
      <c r="T119" s="947"/>
      <c r="U119" s="947"/>
      <c r="V119" s="947"/>
      <c r="W119" s="947">
        <v>834.82649646950335</v>
      </c>
      <c r="X119" s="947">
        <v>1129.0043954388748</v>
      </c>
      <c r="Y119" s="947">
        <v>609.97554597124133</v>
      </c>
      <c r="Z119" s="947">
        <v>558.85601644740245</v>
      </c>
      <c r="AA119" s="947">
        <v>2154.5485971729463</v>
      </c>
      <c r="AB119" s="947">
        <v>2695.702485107206</v>
      </c>
      <c r="AC119" s="947">
        <v>3001.1259949473861</v>
      </c>
    </row>
    <row r="120" spans="2:29">
      <c r="B120" s="146"/>
      <c r="C120" s="146"/>
      <c r="D120" s="146"/>
      <c r="E120" s="146"/>
      <c r="F120" s="146"/>
      <c r="G120" s="146"/>
      <c r="H120" s="146"/>
      <c r="I120" s="146"/>
      <c r="J120" s="146"/>
      <c r="K120" s="146"/>
      <c r="L120" s="146"/>
      <c r="M120" s="146"/>
      <c r="N120" s="146"/>
      <c r="O120" s="146"/>
      <c r="P120" s="146"/>
      <c r="Q120" s="146"/>
      <c r="R120" s="146"/>
      <c r="S120" s="146"/>
      <c r="T120" s="146"/>
      <c r="U120" s="146"/>
      <c r="V120" s="146"/>
      <c r="W120" s="147"/>
      <c r="X120" s="147"/>
      <c r="Y120" s="146"/>
      <c r="Z120" s="146"/>
      <c r="AA120" s="146"/>
      <c r="AB120" s="146"/>
      <c r="AC120" s="146"/>
    </row>
    <row r="121" spans="2:29">
      <c r="B121" s="146" t="s">
        <v>1293</v>
      </c>
      <c r="C121" s="146"/>
      <c r="D121" s="146"/>
      <c r="E121" s="146"/>
      <c r="F121" s="146"/>
      <c r="G121" s="146"/>
      <c r="H121" s="146"/>
      <c r="I121" s="146"/>
      <c r="J121" s="146"/>
      <c r="K121" s="146"/>
      <c r="L121" s="146"/>
      <c r="M121" s="146"/>
      <c r="N121" s="146"/>
      <c r="O121" s="146"/>
      <c r="P121" s="146"/>
      <c r="Q121" s="146"/>
      <c r="R121" s="146"/>
      <c r="S121" s="146"/>
      <c r="T121" s="146"/>
      <c r="U121" s="146"/>
      <c r="V121" s="146"/>
      <c r="W121" s="170"/>
      <c r="X121" s="170">
        <v>2.1022528753435462E-2</v>
      </c>
      <c r="Y121" s="170">
        <v>2.5179083529793346E-2</v>
      </c>
      <c r="Z121" s="170">
        <v>5.245739650443311E-2</v>
      </c>
      <c r="AA121" s="170">
        <v>9.7396639284365774E-2</v>
      </c>
      <c r="AB121" s="170">
        <v>0.11411630453342257</v>
      </c>
      <c r="AC121" s="170">
        <v>0.12624160748932464</v>
      </c>
    </row>
    <row r="122" spans="2:29">
      <c r="B122" s="1233" t="s">
        <v>1265</v>
      </c>
      <c r="C122" s="1233"/>
      <c r="D122" s="1233"/>
      <c r="E122" s="1233"/>
      <c r="F122" s="1233"/>
      <c r="G122" s="1233"/>
      <c r="H122" s="1233"/>
      <c r="I122" s="1233"/>
      <c r="J122" s="1233"/>
      <c r="K122" s="1233"/>
      <c r="L122" s="1233"/>
      <c r="M122" s="1233"/>
      <c r="N122" s="1233"/>
      <c r="O122" s="1233"/>
      <c r="P122" s="1233"/>
      <c r="Q122" s="1233"/>
      <c r="R122" s="1233"/>
      <c r="S122" s="1233"/>
      <c r="T122" s="1233"/>
      <c r="U122" s="1233"/>
      <c r="V122" s="1233"/>
      <c r="W122" s="1234">
        <v>3.6404621586645501E-2</v>
      </c>
      <c r="X122" s="1234">
        <v>2.1022528753435462E-2</v>
      </c>
      <c r="Y122" s="1234">
        <v>1.1357996927096265E-2</v>
      </c>
      <c r="Z122" s="1234">
        <v>3.8636309901736034E-2</v>
      </c>
      <c r="AA122" s="1234">
        <v>8.3575552681668705E-2</v>
      </c>
      <c r="AB122" s="1234">
        <v>0.10029521793072549</v>
      </c>
      <c r="AC122" s="1234">
        <v>0.11242052088662757</v>
      </c>
    </row>
    <row r="123" spans="2:29">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7"/>
      <c r="X123" s="147"/>
      <c r="Y123" s="146"/>
      <c r="Z123" s="146"/>
      <c r="AA123" s="146"/>
      <c r="AB123" s="146"/>
      <c r="AC123" s="146"/>
    </row>
    <row r="124" spans="2:29">
      <c r="B124" s="146" t="s">
        <v>204</v>
      </c>
      <c r="C124" s="146"/>
      <c r="D124" s="146"/>
      <c r="E124" s="146"/>
      <c r="F124" s="146"/>
      <c r="G124" s="146"/>
      <c r="H124" s="146"/>
      <c r="I124" s="146"/>
      <c r="J124" s="146"/>
      <c r="K124" s="146"/>
      <c r="L124" s="146"/>
      <c r="M124" s="146"/>
      <c r="N124" s="146"/>
      <c r="O124" s="146"/>
      <c r="P124" s="146"/>
      <c r="Q124" s="146"/>
      <c r="R124" s="146"/>
      <c r="S124" s="146"/>
      <c r="T124" s="146"/>
      <c r="U124" s="146"/>
      <c r="V124" s="146"/>
      <c r="W124" s="916">
        <v>1120.2655035304999</v>
      </c>
      <c r="X124" s="891">
        <v>0</v>
      </c>
      <c r="Y124" s="891">
        <v>0</v>
      </c>
      <c r="Z124" s="891">
        <v>1516.0876886703804</v>
      </c>
      <c r="AA124" s="891">
        <v>2333.8346718197304</v>
      </c>
      <c r="AB124" s="891">
        <v>2690.6020462534411</v>
      </c>
      <c r="AC124" s="891">
        <v>3036.3618690085041</v>
      </c>
    </row>
    <row r="125" spans="2:29">
      <c r="B125" s="146" t="s">
        <v>772</v>
      </c>
      <c r="C125" s="146"/>
      <c r="D125" s="146"/>
      <c r="E125" s="146"/>
      <c r="F125" s="146"/>
      <c r="G125" s="146"/>
      <c r="H125" s="146"/>
      <c r="I125" s="146"/>
      <c r="J125" s="146"/>
      <c r="K125" s="146"/>
      <c r="L125" s="146"/>
      <c r="M125" s="146"/>
      <c r="N125" s="146"/>
      <c r="O125" s="146"/>
      <c r="P125" s="146"/>
      <c r="Q125" s="146"/>
      <c r="R125" s="146"/>
      <c r="S125" s="146"/>
      <c r="T125" s="146"/>
      <c r="U125" s="146"/>
      <c r="V125" s="146"/>
      <c r="W125" s="147"/>
      <c r="X125" s="278">
        <v>0</v>
      </c>
      <c r="Y125" s="278">
        <v>0</v>
      </c>
      <c r="Z125" s="278">
        <v>0.5</v>
      </c>
      <c r="AA125" s="278">
        <v>0.5</v>
      </c>
      <c r="AB125" s="278">
        <v>0.5</v>
      </c>
      <c r="AC125" s="278">
        <v>0.5</v>
      </c>
    </row>
    <row r="126" spans="2:29">
      <c r="B126" s="146" t="s">
        <v>1266</v>
      </c>
      <c r="C126" s="146"/>
      <c r="D126" s="146"/>
      <c r="E126" s="146"/>
      <c r="F126" s="146"/>
      <c r="G126" s="146"/>
      <c r="H126" s="146"/>
      <c r="I126" s="146"/>
      <c r="J126" s="146"/>
      <c r="K126" s="146"/>
      <c r="L126" s="146"/>
      <c r="M126" s="146"/>
      <c r="N126" s="146"/>
      <c r="O126" s="146"/>
      <c r="P126" s="146"/>
      <c r="Q126" s="146"/>
      <c r="R126" s="146"/>
      <c r="S126" s="146"/>
      <c r="T126" s="146"/>
      <c r="U126" s="146"/>
      <c r="V126" s="146"/>
      <c r="W126" s="147"/>
      <c r="X126" s="170">
        <v>0</v>
      </c>
      <c r="Y126" s="170">
        <v>0</v>
      </c>
      <c r="Z126" s="170">
        <v>2.8230179755334851E-2</v>
      </c>
      <c r="AA126" s="170">
        <v>4.3456966768515307E-2</v>
      </c>
      <c r="AB126" s="170">
        <v>5.0100122824967015E-2</v>
      </c>
      <c r="AC126" s="170">
        <v>5.6538313716885995E-2</v>
      </c>
    </row>
    <row r="127" spans="2:29">
      <c r="B127" s="146" t="s">
        <v>1436</v>
      </c>
      <c r="C127" s="146"/>
      <c r="D127" s="146"/>
      <c r="E127" s="146"/>
      <c r="F127" s="146"/>
      <c r="G127" s="146"/>
      <c r="H127" s="146"/>
      <c r="I127" s="146"/>
      <c r="J127" s="146"/>
      <c r="K127" s="146"/>
      <c r="L127" s="146"/>
      <c r="M127" s="146"/>
      <c r="N127" s="146"/>
      <c r="O127" s="146"/>
      <c r="P127" s="146"/>
      <c r="Q127" s="146"/>
      <c r="R127" s="146"/>
      <c r="S127" s="146"/>
      <c r="T127" s="146"/>
      <c r="U127" s="146"/>
      <c r="V127" s="146"/>
      <c r="W127" s="965">
        <v>97.175453040323575</v>
      </c>
      <c r="X127" s="965">
        <v>34.71144158136827</v>
      </c>
      <c r="Y127" s="965">
        <v>25.913147681704576</v>
      </c>
      <c r="Z127" s="965">
        <v>17.71154148976014</v>
      </c>
      <c r="AA127" s="965">
        <v>11.505635049573947</v>
      </c>
      <c r="AB127" s="965">
        <v>9.9800154531922391</v>
      </c>
      <c r="AC127" s="965">
        <v>8.8435605367315304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8A9EB-89BE-412D-A717-5FAEE49C22FB}">
  <sheetPr codeName="Sheet20">
    <tabColor rgb="FFC00000"/>
  </sheetPr>
  <dimension ref="A2:XFD289"/>
  <sheetViews>
    <sheetView topLeftCell="A144" zoomScale="70" zoomScaleNormal="70" workbookViewId="0">
      <selection activeCell="G193" sqref="G193"/>
    </sheetView>
  </sheetViews>
  <sheetFormatPr defaultColWidth="8.81640625" defaultRowHeight="14.5"/>
  <cols>
    <col min="1" max="1" width="8.81640625" style="319"/>
    <col min="2" max="2" width="23.453125" style="319" bestFit="1" customWidth="1"/>
    <col min="3" max="3" width="14.36328125" style="319" bestFit="1" customWidth="1"/>
    <col min="4" max="4" width="14.54296875" style="319" bestFit="1" customWidth="1"/>
    <col min="5" max="5" width="14.6328125" style="319" bestFit="1" customWidth="1"/>
    <col min="6" max="6" width="17.6328125" style="319" bestFit="1" customWidth="1"/>
    <col min="7" max="7" width="8.36328125" style="319" bestFit="1" customWidth="1"/>
    <col min="8" max="8" width="18.6328125" style="319" bestFit="1" customWidth="1"/>
    <col min="9" max="9" width="10.36328125" style="319" bestFit="1" customWidth="1"/>
    <col min="10" max="12" width="8.81640625" style="319"/>
    <col min="13" max="13" width="10.54296875" style="319" bestFit="1" customWidth="1"/>
    <col min="14" max="15" width="8.81640625" style="319"/>
    <col min="16" max="16" width="10.90625" style="319" bestFit="1" customWidth="1"/>
    <col min="17" max="17" width="9.54296875" style="319" bestFit="1" customWidth="1"/>
    <col min="18" max="18" width="14" style="319" bestFit="1" customWidth="1"/>
    <col min="19" max="19" width="8.81640625" style="319"/>
    <col min="20" max="20" width="14" style="319" bestFit="1" customWidth="1"/>
    <col min="21" max="21" width="7.1796875" style="319" bestFit="1" customWidth="1"/>
    <col min="22" max="16384" width="8.81640625" style="319"/>
  </cols>
  <sheetData>
    <row r="2" spans="1:12" s="710" customFormat="1">
      <c r="A2" s="319" t="s">
        <v>615</v>
      </c>
    </row>
    <row r="4" spans="1:12">
      <c r="B4" s="683" t="s">
        <v>1146</v>
      </c>
    </row>
    <row r="6" spans="1:12">
      <c r="B6" s="321" t="s">
        <v>1149</v>
      </c>
      <c r="C6" s="1112" t="s">
        <v>510</v>
      </c>
      <c r="D6" s="1112" t="s">
        <v>511</v>
      </c>
      <c r="E6" s="1112" t="s">
        <v>524</v>
      </c>
      <c r="F6" s="1112" t="s">
        <v>856</v>
      </c>
      <c r="G6" s="1112" t="s">
        <v>904</v>
      </c>
      <c r="I6" s="683" t="s">
        <v>67</v>
      </c>
      <c r="J6" s="319" t="s">
        <v>510</v>
      </c>
      <c r="K6" s="319" t="s">
        <v>511</v>
      </c>
      <c r="L6" s="319" t="s">
        <v>904</v>
      </c>
    </row>
    <row r="7" spans="1:12">
      <c r="B7" s="319" t="s">
        <v>687</v>
      </c>
      <c r="C7" s="934">
        <v>85208</v>
      </c>
      <c r="D7" s="934">
        <v>41812</v>
      </c>
      <c r="E7" s="322">
        <f>'Income Statement'!CF236+'Income Statement'!CG236+'Income Statement'!CH236</f>
        <v>25361.411</v>
      </c>
      <c r="F7" s="322">
        <v>8543.0859999999993</v>
      </c>
      <c r="G7" s="322">
        <f>E7+F7</f>
        <v>33904.497000000003</v>
      </c>
      <c r="I7" s="319" t="s">
        <v>1162</v>
      </c>
      <c r="J7" s="701">
        <f>C22</f>
        <v>6.8268237724157355E-2</v>
      </c>
      <c r="K7" s="701">
        <f>D22</f>
        <v>7.0314742179278675E-2</v>
      </c>
      <c r="L7" s="701">
        <f>G22</f>
        <v>5.3526911194110918E-2</v>
      </c>
    </row>
    <row r="8" spans="1:12">
      <c r="C8" s="322"/>
      <c r="D8" s="322"/>
      <c r="E8" s="934">
        <v>633.59400000000005</v>
      </c>
      <c r="F8" s="322">
        <f>E8/E7</f>
        <v>2.4982600534331472E-2</v>
      </c>
      <c r="G8" s="322"/>
      <c r="I8" s="319" t="s">
        <v>1148</v>
      </c>
      <c r="J8" s="701">
        <f>C23</f>
        <v>2.8788376678246175E-2</v>
      </c>
      <c r="K8" s="701">
        <f>D23</f>
        <v>3.4870372141968815E-2</v>
      </c>
      <c r="L8" s="701">
        <f>G23</f>
        <v>7.9766026317983713E-2</v>
      </c>
    </row>
    <row r="9" spans="1:12">
      <c r="B9" s="319" t="s">
        <v>499</v>
      </c>
      <c r="C9" s="934">
        <v>1231</v>
      </c>
      <c r="D9" s="322"/>
      <c r="E9" s="322">
        <f>'Income Statement'!CF390+'Income Statement'!CG390+'Income Statement'!CH390</f>
        <v>2279.4740000000002</v>
      </c>
      <c r="F9" s="322"/>
      <c r="G9" s="322">
        <f>E9+F9</f>
        <v>2279.4740000000002</v>
      </c>
      <c r="I9" s="319" t="s">
        <v>1163</v>
      </c>
      <c r="J9" s="701">
        <f>C25</f>
        <v>1.3895408881795137E-2</v>
      </c>
      <c r="K9" s="701">
        <f>D25</f>
        <v>1.5952358174686692E-2</v>
      </c>
      <c r="L9" s="701">
        <f>G25</f>
        <v>1.3561829275921715E-2</v>
      </c>
    </row>
    <row r="10" spans="1:12">
      <c r="B10" s="319" t="s">
        <v>1147</v>
      </c>
      <c r="C10" s="934">
        <v>5817</v>
      </c>
      <c r="D10" s="934">
        <v>2940</v>
      </c>
      <c r="E10" s="322">
        <f>'Income Statement'!CF395+'Income Statement'!CG395+'Income Statement'!CH395</f>
        <v>1257.0350000000001</v>
      </c>
      <c r="F10" s="934">
        <v>557.76800000000003</v>
      </c>
      <c r="G10" s="322">
        <f t="shared" ref="G10:G14" si="0">E10+F10</f>
        <v>1814.8030000000001</v>
      </c>
    </row>
    <row r="11" spans="1:12">
      <c r="B11" s="319" t="s">
        <v>1148</v>
      </c>
      <c r="C11" s="934">
        <v>2453</v>
      </c>
      <c r="D11" s="934">
        <v>1458</v>
      </c>
      <c r="E11" s="322">
        <f>'Income Statement'!CF399+'Income Statement'!CG399+'Income Statement'!CH399</f>
        <v>1589.2820000000002</v>
      </c>
      <c r="F11" s="934">
        <v>1115.145</v>
      </c>
      <c r="G11" s="322">
        <f t="shared" si="0"/>
        <v>2704.4270000000001</v>
      </c>
    </row>
    <row r="12" spans="1:12">
      <c r="B12" s="319" t="s">
        <v>1151</v>
      </c>
      <c r="C12" s="934">
        <v>29410</v>
      </c>
      <c r="D12" s="934">
        <v>16747</v>
      </c>
      <c r="E12" s="322">
        <f>'Income Statement'!CF403+'Income Statement'!CG403+'Income Statement'!CH403</f>
        <v>6625.576</v>
      </c>
      <c r="F12" s="934">
        <v>3076.857</v>
      </c>
      <c r="G12" s="322">
        <f t="shared" si="0"/>
        <v>9702.4330000000009</v>
      </c>
    </row>
    <row r="13" spans="1:12">
      <c r="B13" s="319" t="s">
        <v>1155</v>
      </c>
      <c r="C13" s="934">
        <v>1184</v>
      </c>
      <c r="D13" s="934">
        <v>667</v>
      </c>
      <c r="E13" s="322">
        <f>'Income Statement'!CF407+'Income Statement'!CG407+'Income Statement'!CH407</f>
        <v>313.46499999999997</v>
      </c>
      <c r="F13" s="934">
        <v>146.34200000000001</v>
      </c>
      <c r="G13" s="322">
        <f t="shared" si="0"/>
        <v>459.80700000000002</v>
      </c>
    </row>
    <row r="14" spans="1:12">
      <c r="B14" s="319" t="s">
        <v>1156</v>
      </c>
      <c r="C14" s="934">
        <v>6028</v>
      </c>
      <c r="D14" s="322"/>
      <c r="E14" s="322"/>
      <c r="F14" s="322"/>
      <c r="G14" s="322">
        <f t="shared" si="0"/>
        <v>0</v>
      </c>
    </row>
    <row r="15" spans="1:12">
      <c r="C15" s="322"/>
      <c r="D15" s="322"/>
      <c r="E15" s="322"/>
      <c r="F15" s="322"/>
      <c r="G15" s="322"/>
    </row>
    <row r="16" spans="1:12">
      <c r="B16" s="683" t="s">
        <v>275</v>
      </c>
      <c r="C16" s="1110"/>
      <c r="D16" s="1110"/>
      <c r="E16" s="322"/>
      <c r="F16" s="322"/>
      <c r="G16" s="322"/>
    </row>
    <row r="17" spans="2:7">
      <c r="B17" s="319" t="s">
        <v>1165</v>
      </c>
      <c r="C17" s="1110"/>
      <c r="D17" s="934">
        <v>2314.0070000000001</v>
      </c>
      <c r="E17" s="934">
        <v>1358.173</v>
      </c>
      <c r="F17" s="322"/>
      <c r="G17" s="322"/>
    </row>
    <row r="18" spans="2:7">
      <c r="B18" s="319" t="s">
        <v>1166</v>
      </c>
      <c r="C18" s="322"/>
      <c r="D18" s="934">
        <v>5032.54</v>
      </c>
      <c r="E18" s="934">
        <v>4026.0189999999998</v>
      </c>
      <c r="F18" s="322"/>
      <c r="G18" s="322"/>
    </row>
    <row r="19" spans="2:7">
      <c r="C19" s="322"/>
      <c r="D19" s="322"/>
      <c r="E19" s="322"/>
      <c r="F19" s="322"/>
      <c r="G19" s="322"/>
    </row>
    <row r="20" spans="2:7">
      <c r="B20" s="323" t="s">
        <v>67</v>
      </c>
      <c r="C20" s="321"/>
      <c r="D20" s="321"/>
      <c r="E20" s="321"/>
      <c r="F20" s="321"/>
      <c r="G20" s="321"/>
    </row>
    <row r="21" spans="2:7">
      <c r="B21" s="319" t="s">
        <v>1164</v>
      </c>
      <c r="C21" s="689">
        <f t="shared" ref="C21:G25" si="1">C9/C$7</f>
        <v>1.4447000281663694E-2</v>
      </c>
      <c r="D21" s="689">
        <f t="shared" si="1"/>
        <v>0</v>
      </c>
      <c r="E21" s="689">
        <f t="shared" si="1"/>
        <v>8.9879620656752895E-2</v>
      </c>
      <c r="F21" s="689">
        <f t="shared" si="1"/>
        <v>0</v>
      </c>
      <c r="G21" s="689">
        <f t="shared" si="1"/>
        <v>6.7232202265085958E-2</v>
      </c>
    </row>
    <row r="22" spans="2:7">
      <c r="B22" s="319" t="s">
        <v>1147</v>
      </c>
      <c r="C22" s="689">
        <f t="shared" si="1"/>
        <v>6.8268237724157355E-2</v>
      </c>
      <c r="D22" s="689">
        <f t="shared" si="1"/>
        <v>7.0314742179278675E-2</v>
      </c>
      <c r="E22" s="689">
        <f t="shared" si="1"/>
        <v>4.9564868453099875E-2</v>
      </c>
      <c r="F22" s="689">
        <f t="shared" si="1"/>
        <v>6.5288819520252991E-2</v>
      </c>
      <c r="G22" s="689">
        <f t="shared" si="1"/>
        <v>5.3526911194110918E-2</v>
      </c>
    </row>
    <row r="23" spans="2:7">
      <c r="B23" s="319" t="s">
        <v>1148</v>
      </c>
      <c r="C23" s="689">
        <f t="shared" si="1"/>
        <v>2.8788376678246175E-2</v>
      </c>
      <c r="D23" s="689">
        <f t="shared" si="1"/>
        <v>3.4870372141968815E-2</v>
      </c>
      <c r="E23" s="689">
        <f t="shared" si="1"/>
        <v>6.2665361954821835E-2</v>
      </c>
      <c r="F23" s="689">
        <f t="shared" si="1"/>
        <v>0.13053187103582944</v>
      </c>
      <c r="G23" s="689">
        <f t="shared" si="1"/>
        <v>7.9766026317983713E-2</v>
      </c>
    </row>
    <row r="24" spans="2:7">
      <c r="B24" s="319" t="s">
        <v>1151</v>
      </c>
      <c r="C24" s="689">
        <f t="shared" si="1"/>
        <v>0.34515538447094168</v>
      </c>
      <c r="D24" s="689">
        <f t="shared" si="1"/>
        <v>0.40053094805319045</v>
      </c>
      <c r="E24" s="689">
        <f t="shared" si="1"/>
        <v>0.26124634784712886</v>
      </c>
      <c r="F24" s="689">
        <f t="shared" si="1"/>
        <v>0.36015755898980767</v>
      </c>
      <c r="G24" s="689">
        <f t="shared" si="1"/>
        <v>0.28616950134962921</v>
      </c>
    </row>
    <row r="25" spans="2:7">
      <c r="B25" s="319" t="s">
        <v>1155</v>
      </c>
      <c r="C25" s="689">
        <f t="shared" si="1"/>
        <v>1.3895408881795137E-2</v>
      </c>
      <c r="D25" s="689">
        <f t="shared" si="1"/>
        <v>1.5952358174686692E-2</v>
      </c>
      <c r="E25" s="689">
        <f t="shared" si="1"/>
        <v>1.2359919564412247E-2</v>
      </c>
      <c r="F25" s="689">
        <f t="shared" si="1"/>
        <v>1.7129875550825548E-2</v>
      </c>
      <c r="G25" s="689">
        <f t="shared" si="1"/>
        <v>1.3561829275921715E-2</v>
      </c>
    </row>
    <row r="26" spans="2:7">
      <c r="B26" s="319" t="s">
        <v>1156</v>
      </c>
      <c r="C26" s="689">
        <f>C14/C$7</f>
        <v>7.0744531029950236E-2</v>
      </c>
      <c r="D26" s="689">
        <f>D14/D$7</f>
        <v>0</v>
      </c>
      <c r="E26" s="689"/>
      <c r="F26" s="689"/>
      <c r="G26" s="689">
        <f>G14/G$7</f>
        <v>0</v>
      </c>
    </row>
    <row r="27" spans="2:7">
      <c r="C27" s="689"/>
      <c r="D27" s="689"/>
      <c r="E27" s="689"/>
      <c r="F27" s="689"/>
    </row>
    <row r="28" spans="2:7" s="683" customFormat="1">
      <c r="B28" s="683" t="str">
        <f>B17</f>
        <v xml:space="preserve">Maintenance </v>
      </c>
      <c r="D28" s="689">
        <f>D17/D$7</f>
        <v>5.5343131158519084E-2</v>
      </c>
      <c r="E28" s="689">
        <f>E17/E$7</f>
        <v>5.3552738055465447E-2</v>
      </c>
    </row>
    <row r="29" spans="2:7" s="683" customFormat="1">
      <c r="B29" s="683" t="str">
        <f>B18</f>
        <v>License fee</v>
      </c>
      <c r="D29" s="689">
        <f>D18/D$7</f>
        <v>0.12036114034248541</v>
      </c>
      <c r="E29" s="689">
        <f>E18/E$7</f>
        <v>0.15874585999966642</v>
      </c>
    </row>
    <row r="30" spans="2:7">
      <c r="C30" s="689"/>
      <c r="D30" s="689"/>
      <c r="E30" s="689"/>
      <c r="F30" s="689"/>
    </row>
    <row r="31" spans="2:7">
      <c r="B31" s="683" t="s">
        <v>4</v>
      </c>
      <c r="C31" s="713">
        <f>1-SUM(C21:C26)</f>
        <v>0.4587010609332457</v>
      </c>
      <c r="D31" s="713">
        <f>1-SUM(D21:D26)</f>
        <v>0.47833157945087545</v>
      </c>
      <c r="E31" s="713">
        <f>1-SUM(E21:E26)</f>
        <v>0.52428388152378425</v>
      </c>
      <c r="F31" s="713">
        <f>1-SUM(F21:F26)</f>
        <v>0.4268918749032844</v>
      </c>
      <c r="G31" s="713">
        <f>1-SUM(G21:G26)</f>
        <v>0.49974352959726842</v>
      </c>
    </row>
    <row r="32" spans="2:7">
      <c r="E32" s="689"/>
      <c r="F32" s="689"/>
    </row>
    <row r="33" spans="2:12">
      <c r="B33" s="698" t="s">
        <v>1245</v>
      </c>
      <c r="C33" s="1116" t="s">
        <v>510</v>
      </c>
      <c r="D33" s="1116" t="s">
        <v>511</v>
      </c>
      <c r="E33" s="1116" t="s">
        <v>524</v>
      </c>
      <c r="F33" s="1116" t="s">
        <v>856</v>
      </c>
      <c r="G33" s="1116" t="s">
        <v>904</v>
      </c>
      <c r="I33" s="323" t="s">
        <v>67</v>
      </c>
      <c r="J33" s="323" t="s">
        <v>510</v>
      </c>
      <c r="K33" s="323" t="s">
        <v>511</v>
      </c>
      <c r="L33" s="323" t="s">
        <v>904</v>
      </c>
    </row>
    <row r="34" spans="2:12">
      <c r="B34" s="1111" t="s">
        <v>591</v>
      </c>
      <c r="C34" s="1113"/>
      <c r="D34" s="1113"/>
      <c r="E34" s="1113"/>
      <c r="F34" s="1113"/>
      <c r="G34" s="1113"/>
      <c r="I34" s="319" t="s">
        <v>1162</v>
      </c>
      <c r="J34" s="701">
        <f>C56</f>
        <v>405705.4926009234</v>
      </c>
      <c r="K34" s="701">
        <f>D56</f>
        <v>6.9599494693747543E-2</v>
      </c>
      <c r="L34" s="701">
        <f>G56</f>
        <v>5.35770611465873E-2</v>
      </c>
    </row>
    <row r="35" spans="2:12">
      <c r="B35" s="319" t="s">
        <v>687</v>
      </c>
      <c r="C35" s="1106">
        <f>[21]Telkomsel!$DA$180</f>
        <v>9.739084316234882E-2</v>
      </c>
      <c r="D35" s="1106">
        <v>55886.9</v>
      </c>
      <c r="E35" s="1106">
        <f>'XLSmart-Proforma'!G5</f>
        <v>34391.597000000002</v>
      </c>
      <c r="F35" s="1106">
        <v>11419.725</v>
      </c>
      <c r="G35" s="1100">
        <f>E35+F35</f>
        <v>45811.322</v>
      </c>
      <c r="H35" s="319">
        <f>1%*G35</f>
        <v>458.11322000000001</v>
      </c>
      <c r="I35" s="319" t="s">
        <v>1163</v>
      </c>
      <c r="J35" s="701">
        <f>C59</f>
        <v>18708.124304486799</v>
      </c>
      <c r="K35" s="701">
        <f>D59</f>
        <v>1.5903548058668487E-2</v>
      </c>
      <c r="L35" s="701">
        <f>E59</f>
        <v>1.3229685146636255E-2</v>
      </c>
    </row>
    <row r="36" spans="2:12">
      <c r="C36" s="1106"/>
      <c r="D36" s="1106"/>
      <c r="E36" s="1106"/>
      <c r="F36" s="1106"/>
      <c r="G36" s="1100"/>
      <c r="I36" s="319" t="s">
        <v>1148</v>
      </c>
      <c r="J36" s="701">
        <f>C57</f>
        <v>81948.155913342009</v>
      </c>
      <c r="K36" s="701">
        <f>D57</f>
        <v>3.5661308821924281E-2</v>
      </c>
      <c r="L36" s="701">
        <f>G57</f>
        <v>8.0688721447505926E-2</v>
      </c>
    </row>
    <row r="37" spans="2:12">
      <c r="B37" s="319" t="s">
        <v>499</v>
      </c>
      <c r="C37" s="1106">
        <f>[21]Telkomsel!$DA$207</f>
        <v>0.99999999999999989</v>
      </c>
      <c r="D37" s="1106"/>
      <c r="E37" s="1106">
        <f>'Income Statement'!CJ240</f>
        <v>3284.18</v>
      </c>
      <c r="F37" s="1106"/>
      <c r="G37" s="1100">
        <f>E37+F37</f>
        <v>3284.18</v>
      </c>
      <c r="I37" s="319" t="s">
        <v>1341</v>
      </c>
      <c r="J37" s="701">
        <f>C49</f>
        <v>75849.019888717885</v>
      </c>
      <c r="K37" s="701">
        <f>D49</f>
        <v>9.1113856735657195E-2</v>
      </c>
      <c r="L37" s="701">
        <f>G49</f>
        <v>0.15337942004817062</v>
      </c>
    </row>
    <row r="38" spans="2:12">
      <c r="B38" s="319" t="s">
        <v>1147</v>
      </c>
      <c r="C38" s="1106">
        <f>[21]Telkomsel!$DA$214</f>
        <v>39512</v>
      </c>
      <c r="D38" s="1106">
        <v>3889.7</v>
      </c>
      <c r="E38" s="1106">
        <f>'Income Statement'!CJ241</f>
        <v>1736.0740000000001</v>
      </c>
      <c r="F38" s="1106">
        <v>718.36199999999997</v>
      </c>
      <c r="G38" s="1100">
        <f t="shared" ref="G38:G43" si="2">E38+F38</f>
        <v>2454.4360000000001</v>
      </c>
    </row>
    <row r="39" spans="2:12">
      <c r="B39" s="319" t="s">
        <v>1148</v>
      </c>
      <c r="C39" s="1106">
        <f>[21]Telkomsel!$DA$218</f>
        <v>7981</v>
      </c>
      <c r="D39" s="1106">
        <v>1993</v>
      </c>
      <c r="E39" s="1106">
        <f>'Income Statement'!CJ242</f>
        <v>2094.192</v>
      </c>
      <c r="F39" s="1106">
        <v>1602.2650000000001</v>
      </c>
      <c r="G39" s="1100">
        <f t="shared" si="2"/>
        <v>3696.4570000000003</v>
      </c>
    </row>
    <row r="40" spans="2:12">
      <c r="B40" s="319" t="s">
        <v>1151</v>
      </c>
      <c r="C40" s="1106">
        <f>[21]Telkomsel!$DA$199</f>
        <v>3199.3704029184009</v>
      </c>
      <c r="D40" s="1106">
        <v>22740.299999999996</v>
      </c>
      <c r="E40" s="1106">
        <f>'Income Statement'!CJ243</f>
        <v>8942.3230000000003</v>
      </c>
      <c r="F40" s="1106">
        <v>4301.4480000000003</v>
      </c>
      <c r="G40" s="1100">
        <f t="shared" si="2"/>
        <v>13243.771000000001</v>
      </c>
    </row>
    <row r="41" spans="2:12">
      <c r="B41" s="319" t="s">
        <v>1155</v>
      </c>
      <c r="C41" s="1106">
        <f>[21]Telkomsel!$DA$222</f>
        <v>1822</v>
      </c>
      <c r="D41" s="1106">
        <v>888.8</v>
      </c>
      <c r="E41" s="1106">
        <f>'Income Statement'!CJ244</f>
        <v>454.99</v>
      </c>
      <c r="F41" s="1106">
        <v>224.87299999999999</v>
      </c>
      <c r="G41" s="1100">
        <f t="shared" si="2"/>
        <v>679.86300000000006</v>
      </c>
    </row>
    <row r="42" spans="2:12">
      <c r="B42" s="319" t="s">
        <v>1156</v>
      </c>
      <c r="C42" s="1106">
        <f>[21]Telkomsel!$DA$203</f>
        <v>0</v>
      </c>
      <c r="D42" s="1106"/>
      <c r="E42" s="1100"/>
      <c r="F42" s="1100"/>
      <c r="G42" s="1100"/>
    </row>
    <row r="43" spans="2:12">
      <c r="B43" s="319" t="s">
        <v>501</v>
      </c>
      <c r="C43" s="1100">
        <f>(C35-C45)-SUM(C37:C42)</f>
        <v>-52515.304704608257</v>
      </c>
      <c r="D43" s="1100">
        <f>(D35-D45)-SUM(D37:D42)</f>
        <v>0</v>
      </c>
      <c r="E43" s="1100">
        <f>(E35-E45)-SUM(E37:E42)</f>
        <v>0.83799999999973807</v>
      </c>
      <c r="F43" s="1100">
        <f>(F35-F45)-SUM(F37:F42)</f>
        <v>0</v>
      </c>
      <c r="G43" s="1100">
        <f t="shared" si="2"/>
        <v>0.83799999999973807</v>
      </c>
    </row>
    <row r="44" spans="2:12">
      <c r="C44" s="1114"/>
      <c r="D44" s="1114"/>
      <c r="E44" s="1114"/>
      <c r="F44" s="1114"/>
      <c r="G44" s="1064"/>
    </row>
    <row r="45" spans="2:12">
      <c r="B45" s="711" t="s">
        <v>2</v>
      </c>
      <c r="C45" s="1118">
        <f>[21]Telkomsel!$DA$234</f>
        <v>3.1692533020407802E-2</v>
      </c>
      <c r="D45" s="1118">
        <v>26375.1</v>
      </c>
      <c r="E45" s="1118">
        <f>'XLSmart-Proforma'!G6</f>
        <v>17879</v>
      </c>
      <c r="F45" s="1118">
        <v>4572.777</v>
      </c>
      <c r="G45" s="1119">
        <f>E45+F45</f>
        <v>22451.777000000002</v>
      </c>
    </row>
    <row r="46" spans="2:12">
      <c r="B46" s="319" t="s">
        <v>260</v>
      </c>
      <c r="C46" s="1114">
        <f>C45/C$35</f>
        <v>0.32541594251912276</v>
      </c>
      <c r="D46" s="1114">
        <f t="shared" ref="D46:G46" si="3">D45/D$35</f>
        <v>0.47193707290975162</v>
      </c>
      <c r="E46" s="1114">
        <f t="shared" si="3"/>
        <v>0.51986536129741223</v>
      </c>
      <c r="F46" s="1114">
        <f t="shared" si="3"/>
        <v>0.40042794375521301</v>
      </c>
      <c r="G46" s="1114">
        <f t="shared" si="3"/>
        <v>0.49009231822648563</v>
      </c>
    </row>
    <row r="47" spans="2:12">
      <c r="C47" s="1114"/>
      <c r="D47" s="1114"/>
      <c r="E47" s="1114"/>
      <c r="F47" s="1114"/>
      <c r="G47" s="1064"/>
    </row>
    <row r="48" spans="2:12">
      <c r="B48" s="683" t="s">
        <v>1327</v>
      </c>
      <c r="C48" s="1106">
        <v>7387</v>
      </c>
      <c r="D48" s="1106">
        <v>5092.0709999999999</v>
      </c>
      <c r="E48" s="1106">
        <v>4748.17</v>
      </c>
      <c r="F48" s="1106">
        <v>2278.3440000000001</v>
      </c>
      <c r="G48" s="1115">
        <f>E48+F48</f>
        <v>7026.5140000000001</v>
      </c>
    </row>
    <row r="49" spans="1:10">
      <c r="B49" s="319" t="s">
        <v>67</v>
      </c>
      <c r="C49" s="1120">
        <f>C48/C$35</f>
        <v>75849.019888717885</v>
      </c>
      <c r="D49" s="1120">
        <f t="shared" ref="D49:G49" si="4">D48/D$35</f>
        <v>9.1113856735657195E-2</v>
      </c>
      <c r="E49" s="1120">
        <f t="shared" si="4"/>
        <v>0.13806192250973398</v>
      </c>
      <c r="F49" s="1120">
        <f t="shared" si="4"/>
        <v>0.19950953284776998</v>
      </c>
      <c r="G49" s="1120">
        <f t="shared" si="4"/>
        <v>0.15337942004817062</v>
      </c>
    </row>
    <row r="50" spans="1:10">
      <c r="C50" s="1114"/>
      <c r="D50" s="1114"/>
      <c r="E50" s="1114"/>
      <c r="F50" s="1114"/>
      <c r="G50" s="1064"/>
    </row>
    <row r="51" spans="1:10">
      <c r="B51" s="711" t="s">
        <v>1328</v>
      </c>
      <c r="C51" s="1117">
        <f>C45-C48</f>
        <v>-7386.9683074669792</v>
      </c>
      <c r="D51" s="1117">
        <f t="shared" ref="D51:G51" si="5">D45-D48</f>
        <v>21283.028999999999</v>
      </c>
      <c r="E51" s="1117">
        <f t="shared" si="5"/>
        <v>13130.83</v>
      </c>
      <c r="F51" s="1117">
        <f t="shared" si="5"/>
        <v>2294.433</v>
      </c>
      <c r="G51" s="1117">
        <f t="shared" si="5"/>
        <v>15425.263000000003</v>
      </c>
    </row>
    <row r="52" spans="1:10">
      <c r="B52" s="319" t="s">
        <v>260</v>
      </c>
      <c r="C52" s="1114">
        <f>C51/C$35</f>
        <v>-75848.694472775358</v>
      </c>
      <c r="D52" s="1114">
        <f t="shared" ref="D52:G52" si="6">D51/D$35</f>
        <v>0.38082321617409443</v>
      </c>
      <c r="E52" s="1114">
        <f t="shared" si="6"/>
        <v>0.38180343878767825</v>
      </c>
      <c r="F52" s="1114">
        <f t="shared" si="6"/>
        <v>0.20091841090744303</v>
      </c>
      <c r="G52" s="1114">
        <f t="shared" si="6"/>
        <v>0.33671289817831501</v>
      </c>
    </row>
    <row r="53" spans="1:10">
      <c r="C53" s="689"/>
      <c r="D53" s="689"/>
      <c r="E53" s="689"/>
      <c r="F53" s="689"/>
    </row>
    <row r="54" spans="1:10">
      <c r="B54" s="683" t="s">
        <v>67</v>
      </c>
      <c r="C54" s="689"/>
      <c r="D54" s="689"/>
      <c r="E54" s="689"/>
      <c r="F54" s="689"/>
    </row>
    <row r="55" spans="1:10">
      <c r="B55" s="319" t="s">
        <v>499</v>
      </c>
      <c r="C55" s="689">
        <f>C37/C$35</f>
        <v>10.267905765360481</v>
      </c>
      <c r="D55" s="689">
        <f t="shared" ref="D55:G55" si="7">D37/D$35</f>
        <v>0</v>
      </c>
      <c r="E55" s="689">
        <f t="shared" si="7"/>
        <v>9.5493675388206009E-2</v>
      </c>
      <c r="F55" s="689">
        <f t="shared" si="7"/>
        <v>0</v>
      </c>
      <c r="G55" s="689">
        <f t="shared" si="7"/>
        <v>7.1689264937606467E-2</v>
      </c>
      <c r="I55" s="701">
        <f>G55-C55</f>
        <v>-10.196216500422874</v>
      </c>
      <c r="J55" s="701">
        <f>G55-D55</f>
        <v>7.1689264937606467E-2</v>
      </c>
    </row>
    <row r="56" spans="1:10">
      <c r="B56" s="319" t="s">
        <v>1147</v>
      </c>
      <c r="C56" s="689">
        <f t="shared" ref="C56:G56" si="8">C38/C$35</f>
        <v>405705.4926009234</v>
      </c>
      <c r="D56" s="689">
        <f t="shared" si="8"/>
        <v>6.9599494693747543E-2</v>
      </c>
      <c r="E56" s="689">
        <f t="shared" si="8"/>
        <v>5.0479598257679045E-2</v>
      </c>
      <c r="F56" s="689">
        <f t="shared" si="8"/>
        <v>6.2905367686174579E-2</v>
      </c>
      <c r="G56" s="689">
        <f t="shared" si="8"/>
        <v>5.35770611465873E-2</v>
      </c>
      <c r="I56" s="701">
        <f t="shared" ref="I56:I59" si="9">G56-C56</f>
        <v>-405705.43902386224</v>
      </c>
      <c r="J56" s="701">
        <f t="shared" ref="J56:J59" si="10">G56-D56</f>
        <v>-1.6022433547160243E-2</v>
      </c>
    </row>
    <row r="57" spans="1:10">
      <c r="B57" s="319" t="s">
        <v>1148</v>
      </c>
      <c r="C57" s="689">
        <f t="shared" ref="C57:G57" si="11">C39/C$35</f>
        <v>81948.155913342009</v>
      </c>
      <c r="D57" s="689">
        <f t="shared" si="11"/>
        <v>3.5661308821924281E-2</v>
      </c>
      <c r="E57" s="689">
        <f t="shared" si="11"/>
        <v>6.0892548839764547E-2</v>
      </c>
      <c r="F57" s="689">
        <f t="shared" si="11"/>
        <v>0.14030679372751972</v>
      </c>
      <c r="G57" s="689">
        <f t="shared" si="11"/>
        <v>8.0688721447505926E-2</v>
      </c>
      <c r="I57" s="701">
        <f t="shared" si="9"/>
        <v>-81948.075224620567</v>
      </c>
      <c r="J57" s="701">
        <f t="shared" si="10"/>
        <v>4.5027412625581645E-2</v>
      </c>
    </row>
    <row r="58" spans="1:10">
      <c r="B58" s="319" t="s">
        <v>1151</v>
      </c>
      <c r="C58" s="689">
        <f t="shared" ref="C58:G58" si="12">C40/C$35</f>
        <v>32850.833805649541</v>
      </c>
      <c r="D58" s="689">
        <f t="shared" si="12"/>
        <v>0.40689857551590791</v>
      </c>
      <c r="E58" s="689">
        <f t="shared" si="12"/>
        <v>0.26001476465312151</v>
      </c>
      <c r="F58" s="689">
        <f t="shared" si="12"/>
        <v>0.3766682647787053</v>
      </c>
      <c r="G58" s="689">
        <f t="shared" si="12"/>
        <v>0.28909384016466499</v>
      </c>
      <c r="I58" s="701">
        <f t="shared" si="9"/>
        <v>-32850.54471180938</v>
      </c>
      <c r="J58" s="701">
        <f t="shared" si="10"/>
        <v>-0.11780473535124292</v>
      </c>
    </row>
    <row r="59" spans="1:10">
      <c r="B59" s="319" t="s">
        <v>1155</v>
      </c>
      <c r="C59" s="689">
        <f t="shared" ref="C59:G59" si="13">C41/C$35</f>
        <v>18708.124304486799</v>
      </c>
      <c r="D59" s="689">
        <f t="shared" si="13"/>
        <v>1.5903548058668487E-2</v>
      </c>
      <c r="E59" s="689">
        <f t="shared" si="13"/>
        <v>1.3229685146636255E-2</v>
      </c>
      <c r="F59" s="689">
        <f t="shared" si="13"/>
        <v>1.9691630052387426E-2</v>
      </c>
      <c r="G59" s="689">
        <f t="shared" si="13"/>
        <v>1.4840501655900697E-2</v>
      </c>
      <c r="I59" s="701">
        <f t="shared" si="9"/>
        <v>-18708.109463985144</v>
      </c>
      <c r="J59" s="701">
        <f t="shared" si="10"/>
        <v>-1.0630464027677894E-3</v>
      </c>
    </row>
    <row r="63" spans="1:10" s="710" customFormat="1">
      <c r="A63" s="319" t="s">
        <v>615</v>
      </c>
    </row>
    <row r="65" spans="1:6">
      <c r="B65" s="683" t="s">
        <v>1274</v>
      </c>
      <c r="C65" s="319" t="s">
        <v>1052</v>
      </c>
      <c r="E65" s="319" t="s">
        <v>1271</v>
      </c>
    </row>
    <row r="66" spans="1:6">
      <c r="B66" s="319" t="s">
        <v>1154</v>
      </c>
      <c r="C66" s="686">
        <v>10.734999999999999</v>
      </c>
      <c r="D66" s="689">
        <f>C66/C$70</f>
        <v>0.70625000000000004</v>
      </c>
      <c r="E66" s="686">
        <v>11.031000000000001</v>
      </c>
      <c r="F66" s="1061">
        <f>E66/E$70</f>
        <v>0.7071153846153847</v>
      </c>
    </row>
    <row r="67" spans="1:6">
      <c r="B67" s="319" t="s">
        <v>511</v>
      </c>
      <c r="C67" s="686">
        <v>0.35</v>
      </c>
      <c r="D67" s="689">
        <f t="shared" ref="D67:F69" si="14">C67/C$70</f>
        <v>2.3026315789473683E-2</v>
      </c>
      <c r="E67" s="686">
        <v>0.35</v>
      </c>
      <c r="F67" s="1061">
        <f t="shared" si="14"/>
        <v>2.2435897435897436E-2</v>
      </c>
    </row>
    <row r="68" spans="1:6">
      <c r="B68" s="319" t="s">
        <v>904</v>
      </c>
      <c r="C68" s="686">
        <v>1</v>
      </c>
      <c r="D68" s="689">
        <f t="shared" si="14"/>
        <v>6.5789473684210523E-2</v>
      </c>
      <c r="E68" s="686">
        <v>1.02</v>
      </c>
      <c r="F68" s="1061">
        <f t="shared" si="14"/>
        <v>6.5384615384615388E-2</v>
      </c>
    </row>
    <row r="69" spans="1:6">
      <c r="B69" s="319" t="s">
        <v>501</v>
      </c>
      <c r="C69" s="686">
        <f>C70-C68-C67-C66</f>
        <v>3.1150000000000002</v>
      </c>
      <c r="D69" s="689">
        <f t="shared" si="14"/>
        <v>0.2049342105263158</v>
      </c>
      <c r="E69" s="686">
        <f>E70-E68-E67-E66</f>
        <v>3.1989999999999998</v>
      </c>
      <c r="F69" s="1061">
        <f t="shared" si="14"/>
        <v>0.20506410256410257</v>
      </c>
    </row>
    <row r="70" spans="1:6">
      <c r="B70" s="684" t="s">
        <v>6</v>
      </c>
      <c r="C70" s="961">
        <v>15.2</v>
      </c>
      <c r="E70" s="961">
        <v>15.6</v>
      </c>
    </row>
    <row r="72" spans="1:6" s="710" customFormat="1">
      <c r="A72" s="319" t="s">
        <v>615</v>
      </c>
    </row>
    <row r="74" spans="1:6">
      <c r="B74" s="319" t="s">
        <v>854</v>
      </c>
      <c r="C74" s="320">
        <v>45637</v>
      </c>
    </row>
    <row r="76" spans="1:6">
      <c r="B76" s="319" t="s">
        <v>503</v>
      </c>
      <c r="C76" s="1105">
        <v>16000</v>
      </c>
    </row>
    <row r="78" spans="1:6">
      <c r="B78" s="711" t="s">
        <v>901</v>
      </c>
      <c r="C78" s="710"/>
      <c r="D78" s="710"/>
    </row>
    <row r="80" spans="1:6">
      <c r="B80" s="319" t="s">
        <v>914</v>
      </c>
      <c r="C80" s="319" t="s">
        <v>915</v>
      </c>
      <c r="D80" s="319" t="s">
        <v>916</v>
      </c>
    </row>
    <row r="83" spans="2:5">
      <c r="B83" s="683"/>
      <c r="C83" s="683" t="s">
        <v>895</v>
      </c>
      <c r="D83" s="683" t="s">
        <v>947</v>
      </c>
      <c r="E83" s="683" t="s">
        <v>948</v>
      </c>
    </row>
    <row r="84" spans="2:5">
      <c r="B84" s="319" t="s">
        <v>898</v>
      </c>
      <c r="C84" s="716">
        <v>104</v>
      </c>
      <c r="D84" s="690">
        <f>C84/D168</f>
        <v>4.6222222222222218</v>
      </c>
      <c r="E84" s="319">
        <f>C84/$C$76*1000</f>
        <v>6.5</v>
      </c>
    </row>
    <row r="85" spans="2:5">
      <c r="B85" s="319" t="s">
        <v>899</v>
      </c>
      <c r="C85" s="319">
        <f>F207</f>
        <v>43.07</v>
      </c>
      <c r="D85" s="319" t="s">
        <v>922</v>
      </c>
    </row>
    <row r="86" spans="2:5">
      <c r="B86" s="319" t="s">
        <v>900</v>
      </c>
      <c r="C86" s="319">
        <f>C84-C85</f>
        <v>60.93</v>
      </c>
    </row>
    <row r="88" spans="2:5">
      <c r="B88" s="683" t="s">
        <v>902</v>
      </c>
    </row>
    <row r="89" spans="2:5">
      <c r="B89" s="319" t="s">
        <v>934</v>
      </c>
    </row>
    <row r="90" spans="2:5">
      <c r="B90" s="319" t="s">
        <v>932</v>
      </c>
    </row>
    <row r="91" spans="2:5">
      <c r="B91" s="319" t="s">
        <v>933</v>
      </c>
    </row>
    <row r="92" spans="2:5">
      <c r="B92" s="319" t="s">
        <v>935</v>
      </c>
    </row>
    <row r="93" spans="2:5">
      <c r="B93" s="319" t="s">
        <v>905</v>
      </c>
    </row>
    <row r="95" spans="2:5">
      <c r="B95" s="683" t="s">
        <v>930</v>
      </c>
      <c r="D95" s="319" t="s">
        <v>937</v>
      </c>
    </row>
    <row r="96" spans="2:5">
      <c r="B96" s="319" t="s">
        <v>926</v>
      </c>
      <c r="C96" s="718">
        <v>0.72</v>
      </c>
      <c r="D96" s="717">
        <v>0.47899999999999998</v>
      </c>
    </row>
    <row r="97" spans="2:17">
      <c r="B97" s="319" t="s">
        <v>927</v>
      </c>
      <c r="C97" s="718">
        <f>1-C96</f>
        <v>0.28000000000000003</v>
      </c>
      <c r="D97" s="717">
        <v>0.217</v>
      </c>
      <c r="M97" s="319" t="s">
        <v>1175</v>
      </c>
      <c r="P97" s="319" t="s">
        <v>1176</v>
      </c>
    </row>
    <row r="98" spans="2:17">
      <c r="M98" s="319" t="s">
        <v>1172</v>
      </c>
      <c r="P98" s="319" t="s">
        <v>1172</v>
      </c>
    </row>
    <row r="99" spans="2:17">
      <c r="B99" s="323"/>
      <c r="C99" s="321" t="s">
        <v>928</v>
      </c>
      <c r="D99" s="321" t="s">
        <v>936</v>
      </c>
      <c r="E99" s="321" t="s">
        <v>929</v>
      </c>
      <c r="F99" s="321" t="s">
        <v>931</v>
      </c>
      <c r="G99" s="321"/>
      <c r="H99" s="321" t="s">
        <v>938</v>
      </c>
      <c r="I99" s="321" t="s">
        <v>939</v>
      </c>
      <c r="L99" s="319" t="s">
        <v>1173</v>
      </c>
      <c r="M99" s="686">
        <f>E100/16000*1000</f>
        <v>1.2551875000000001</v>
      </c>
      <c r="N99" s="319">
        <f>M99/M$102</f>
        <v>0.46628743905270492</v>
      </c>
      <c r="P99" s="686">
        <f>Q99*$P$102</f>
        <v>0.9367724999999999</v>
      </c>
      <c r="Q99" s="717">
        <v>0.34799999999999998</v>
      </c>
    </row>
    <row r="100" spans="2:17">
      <c r="B100" s="319" t="s">
        <v>524</v>
      </c>
      <c r="C100" s="319">
        <f>F205</f>
        <v>30.2</v>
      </c>
      <c r="D100" s="717">
        <v>0.66500000000000004</v>
      </c>
      <c r="E100" s="686">
        <f>C100*D100</f>
        <v>20.083000000000002</v>
      </c>
      <c r="F100" s="689">
        <f>E100/$E$102</f>
        <v>0.66815826464496919</v>
      </c>
      <c r="G100" s="689"/>
      <c r="H100" s="689">
        <v>0.72</v>
      </c>
      <c r="I100" s="686">
        <f>H100*$E$102</f>
        <v>21.641220000000001</v>
      </c>
      <c r="L100" s="319" t="s">
        <v>1174</v>
      </c>
      <c r="M100" s="686">
        <f>E101/16000*1000</f>
        <v>0.62339062499999998</v>
      </c>
      <c r="N100" s="319">
        <f t="shared" ref="N100:N101" si="15">M100/M$102</f>
        <v>0.23158230787090781</v>
      </c>
      <c r="P100" s="686">
        <f>Q100*$P$102</f>
        <v>0.9367724999999999</v>
      </c>
      <c r="Q100" s="717">
        <v>0.34799999999999998</v>
      </c>
    </row>
    <row r="101" spans="2:17">
      <c r="B101" s="319" t="s">
        <v>856</v>
      </c>
      <c r="C101" s="319">
        <f>F206</f>
        <v>12.87</v>
      </c>
      <c r="D101" s="717">
        <v>0.77500000000000002</v>
      </c>
      <c r="E101" s="686">
        <f>C101*D101</f>
        <v>9.9742499999999996</v>
      </c>
      <c r="F101" s="689">
        <f>E101/$E$102</f>
        <v>0.33184173535503075</v>
      </c>
      <c r="G101" s="689"/>
      <c r="H101" s="689">
        <f>1-H100</f>
        <v>0.28000000000000003</v>
      </c>
      <c r="I101" s="686">
        <f>H101*$E$102</f>
        <v>8.416030000000001</v>
      </c>
      <c r="L101" s="319" t="s">
        <v>501</v>
      </c>
      <c r="M101" s="686">
        <f>(C102-E102)/16000*1000</f>
        <v>0.81329687499999981</v>
      </c>
      <c r="N101" s="319">
        <f t="shared" si="15"/>
        <v>0.30213025307638719</v>
      </c>
      <c r="P101" s="686">
        <f>M101</f>
        <v>0.81329687499999981</v>
      </c>
      <c r="Q101" s="319">
        <f t="shared" ref="Q101" si="16">P101/P$102</f>
        <v>0.30213025307638719</v>
      </c>
    </row>
    <row r="102" spans="2:17">
      <c r="B102" s="684"/>
      <c r="C102" s="684">
        <f>SUM(C100:C101)</f>
        <v>43.07</v>
      </c>
      <c r="D102" s="684"/>
      <c r="E102" s="719">
        <f>SUM(E100:E101)</f>
        <v>30.057250000000003</v>
      </c>
      <c r="F102" s="684"/>
      <c r="G102" s="684"/>
      <c r="H102" s="684"/>
      <c r="I102" s="719">
        <f>SUM(I100:I101)</f>
        <v>30.057250000000003</v>
      </c>
      <c r="M102" s="686">
        <f>SUM(M99:M101)</f>
        <v>2.691875</v>
      </c>
      <c r="P102" s="686">
        <f>M102</f>
        <v>2.691875</v>
      </c>
    </row>
    <row r="103" spans="2:17">
      <c r="M103" s="319">
        <f>D109/1000/M102-1</f>
        <v>0.34699947006205045</v>
      </c>
    </row>
    <row r="104" spans="2:17">
      <c r="C104" s="319" t="s">
        <v>1170</v>
      </c>
      <c r="D104" s="319" t="s">
        <v>1171</v>
      </c>
    </row>
    <row r="105" spans="2:17">
      <c r="B105" s="319" t="s">
        <v>927</v>
      </c>
      <c r="C105" s="686">
        <f>E101</f>
        <v>9.9742499999999996</v>
      </c>
      <c r="D105" s="319">
        <f>0.217*C102</f>
        <v>9.34619</v>
      </c>
    </row>
    <row r="108" spans="2:17">
      <c r="B108" s="683" t="s">
        <v>924</v>
      </c>
    </row>
    <row r="109" spans="2:17">
      <c r="B109" s="319" t="s">
        <v>925</v>
      </c>
      <c r="C109" s="319">
        <v>475</v>
      </c>
      <c r="D109" s="319">
        <f>C109/0.131</f>
        <v>3625.9541984732823</v>
      </c>
    </row>
    <row r="110" spans="2:17">
      <c r="B110" s="319" t="s">
        <v>895</v>
      </c>
      <c r="C110" s="319">
        <f>C109*C76/10^6</f>
        <v>7.6</v>
      </c>
    </row>
    <row r="111" spans="2:17">
      <c r="B111" s="319" t="s">
        <v>923</v>
      </c>
      <c r="C111" s="686">
        <f>C110/0.131</f>
        <v>58.015267175572511</v>
      </c>
      <c r="D111" s="319">
        <f>C111*10^6/$C$76</f>
        <v>3625.9541984732823</v>
      </c>
    </row>
    <row r="112" spans="2:17">
      <c r="B112" s="319" t="s">
        <v>940</v>
      </c>
      <c r="C112" s="689">
        <f>C111/C85-1</f>
        <v>0.34699947006205045</v>
      </c>
      <c r="D112" s="319" t="s">
        <v>949</v>
      </c>
    </row>
    <row r="114" spans="2:12">
      <c r="B114" s="319" t="s">
        <v>941</v>
      </c>
    </row>
    <row r="117" spans="2:12">
      <c r="B117" s="683" t="s">
        <v>879</v>
      </c>
    </row>
    <row r="119" spans="2:12">
      <c r="B119" s="321" t="s">
        <v>895</v>
      </c>
      <c r="C119" s="1062" t="s">
        <v>880</v>
      </c>
      <c r="D119" s="1062" t="s">
        <v>724</v>
      </c>
      <c r="E119" s="1062" t="s">
        <v>881</v>
      </c>
    </row>
    <row r="120" spans="2:12">
      <c r="B120" s="319" t="s">
        <v>1309</v>
      </c>
      <c r="C120" s="1064">
        <f>300*$C$76/10^6</f>
        <v>4.8</v>
      </c>
      <c r="D120" s="1064">
        <f>350*$C$76/10^6</f>
        <v>5.6</v>
      </c>
      <c r="E120" s="1064">
        <f>400*$C$76/10^6</f>
        <v>6.4</v>
      </c>
      <c r="F120" s="319" t="s">
        <v>1310</v>
      </c>
    </row>
    <row r="122" spans="2:12">
      <c r="B122" s="323" t="s">
        <v>591</v>
      </c>
      <c r="C122" s="1103">
        <v>2024</v>
      </c>
      <c r="D122" s="1103" t="s">
        <v>950</v>
      </c>
    </row>
    <row r="123" spans="2:12">
      <c r="B123" s="683" t="s">
        <v>246</v>
      </c>
      <c r="C123" s="1099"/>
      <c r="D123" s="1099"/>
      <c r="E123" s="1064"/>
      <c r="G123" s="319" t="s">
        <v>856</v>
      </c>
      <c r="I123" s="712">
        <v>45291</v>
      </c>
      <c r="J123" s="712">
        <f>EOMONTH(I123,3)</f>
        <v>45382</v>
      </c>
      <c r="K123" s="712">
        <f t="shared" ref="K123:L123" si="17">EOMONTH(J123,3)</f>
        <v>45473</v>
      </c>
      <c r="L123" s="712">
        <f t="shared" si="17"/>
        <v>45565</v>
      </c>
    </row>
    <row r="124" spans="2:12">
      <c r="B124" s="319" t="s">
        <v>512</v>
      </c>
      <c r="C124" s="1107">
        <v>16512.597000000002</v>
      </c>
      <c r="D124" s="1107">
        <v>16512.597000000002</v>
      </c>
      <c r="E124" s="1064"/>
      <c r="G124" s="319" t="s">
        <v>893</v>
      </c>
      <c r="H124" s="319">
        <f>SUM(I124:L124)</f>
        <v>11539</v>
      </c>
      <c r="I124" s="319">
        <v>3026</v>
      </c>
      <c r="J124" s="319">
        <v>2779</v>
      </c>
      <c r="K124" s="319">
        <v>2794</v>
      </c>
      <c r="L124" s="319">
        <v>2940</v>
      </c>
    </row>
    <row r="125" spans="2:12">
      <c r="B125" s="319" t="s">
        <v>856</v>
      </c>
      <c r="C125" s="1100">
        <v>6846.9480000000003</v>
      </c>
      <c r="D125" s="1100">
        <f>XLSmart!N711-XLSmart!N720</f>
        <v>6846.9480000000003</v>
      </c>
      <c r="E125" s="1064"/>
      <c r="G125" s="319" t="s">
        <v>897</v>
      </c>
      <c r="H125" s="319">
        <f>SUM(I125:L125)</f>
        <v>5057</v>
      </c>
      <c r="I125" s="319">
        <v>1356</v>
      </c>
      <c r="J125" s="319">
        <v>1241</v>
      </c>
      <c r="K125" s="319">
        <v>1250</v>
      </c>
      <c r="L125" s="319">
        <v>1210</v>
      </c>
    </row>
    <row r="126" spans="2:12">
      <c r="B126" s="698" t="s">
        <v>6</v>
      </c>
      <c r="C126" s="1102">
        <f>SUM(C124:C125)</f>
        <v>23359.545000000002</v>
      </c>
      <c r="D126" s="1102">
        <f>SUM(D124:D125)</f>
        <v>23359.545000000002</v>
      </c>
      <c r="E126" s="1064"/>
      <c r="H126" s="319">
        <f>H125/H124</f>
        <v>0.43825288153219516</v>
      </c>
      <c r="I126" s="319">
        <f t="shared" ref="I126:L126" si="18">I125/I124</f>
        <v>0.44811632518175809</v>
      </c>
      <c r="J126" s="319">
        <f t="shared" si="18"/>
        <v>0.44656351205469591</v>
      </c>
      <c r="K126" s="319">
        <f t="shared" si="18"/>
        <v>0.44738725841088045</v>
      </c>
      <c r="L126" s="319">
        <f t="shared" si="18"/>
        <v>0.41156462585034015</v>
      </c>
    </row>
    <row r="127" spans="2:12">
      <c r="C127" s="1100"/>
      <c r="D127" s="1100"/>
      <c r="E127" s="1064"/>
      <c r="G127" s="319" t="s">
        <v>906</v>
      </c>
      <c r="H127" s="319">
        <f>H124-H125</f>
        <v>6482</v>
      </c>
    </row>
    <row r="128" spans="2:12">
      <c r="B128" s="683" t="s">
        <v>248</v>
      </c>
      <c r="C128" s="1100"/>
      <c r="D128" s="1100"/>
      <c r="E128" s="1064"/>
      <c r="G128" s="319" t="s">
        <v>907</v>
      </c>
      <c r="H128" s="319">
        <f>SUM(I128:L128)</f>
        <v>1166.8</v>
      </c>
      <c r="I128" s="319">
        <v>298.5</v>
      </c>
      <c r="J128" s="319">
        <v>335.3</v>
      </c>
      <c r="K128" s="319">
        <v>222.4</v>
      </c>
      <c r="L128" s="319">
        <v>310.60000000000002</v>
      </c>
    </row>
    <row r="129" spans="2:12">
      <c r="B129" s="319" t="s">
        <v>512</v>
      </c>
      <c r="C129" s="1107">
        <f>'Balance Sheet and Cflow'!T73</f>
        <v>7382</v>
      </c>
      <c r="D129" s="1101">
        <f>C129</f>
        <v>7382</v>
      </c>
      <c r="E129" s="1064"/>
      <c r="G129" s="319" t="s">
        <v>162</v>
      </c>
      <c r="I129" s="689">
        <f>I128/I124</f>
        <v>9.8645076007931265E-2</v>
      </c>
      <c r="J129" s="689">
        <f>J128/J124</f>
        <v>0.12065491183879093</v>
      </c>
      <c r="K129" s="689">
        <f>K128/K124</f>
        <v>7.9599141016463856E-2</v>
      </c>
      <c r="L129" s="689">
        <f>L128/L124</f>
        <v>0.10564625850340137</v>
      </c>
    </row>
    <row r="130" spans="2:12">
      <c r="B130" s="319" t="s">
        <v>856</v>
      </c>
      <c r="C130" s="1100">
        <v>1182.9000000000001</v>
      </c>
      <c r="D130" s="1100">
        <f>C130</f>
        <v>1182.9000000000001</v>
      </c>
      <c r="E130" s="1064"/>
    </row>
    <row r="131" spans="2:12">
      <c r="B131" s="698" t="s">
        <v>6</v>
      </c>
      <c r="C131" s="1102">
        <f>SUM(C129:C130)</f>
        <v>8564.9</v>
      </c>
      <c r="D131" s="1102">
        <f>SUM(D129:D130)</f>
        <v>8564.9</v>
      </c>
      <c r="E131" s="1064"/>
    </row>
    <row r="132" spans="2:12">
      <c r="C132" s="1100"/>
      <c r="D132" s="1100"/>
      <c r="E132" s="1064"/>
    </row>
    <row r="133" spans="2:12">
      <c r="B133" s="683" t="s">
        <v>1311</v>
      </c>
      <c r="C133" s="1100"/>
      <c r="D133" s="1100"/>
      <c r="E133" s="1064"/>
    </row>
    <row r="134" spans="2:12">
      <c r="B134" s="319" t="s">
        <v>512</v>
      </c>
      <c r="C134" s="1100"/>
      <c r="D134" s="1106">
        <v>4748.17</v>
      </c>
      <c r="E134" s="1064"/>
    </row>
    <row r="135" spans="2:12">
      <c r="B135" s="319" t="s">
        <v>856</v>
      </c>
      <c r="C135" s="1100"/>
      <c r="D135" s="1106">
        <v>2278.3440000000001</v>
      </c>
      <c r="E135" s="1064"/>
    </row>
    <row r="136" spans="2:12">
      <c r="B136" s="698" t="s">
        <v>6</v>
      </c>
      <c r="C136" s="1102">
        <f>SUM(C134:C135)</f>
        <v>0</v>
      </c>
      <c r="D136" s="1102">
        <f>SUM(D134:D135)</f>
        <v>7026.5140000000001</v>
      </c>
      <c r="E136" s="1064"/>
    </row>
    <row r="137" spans="2:12">
      <c r="B137" s="683" t="s">
        <v>1336</v>
      </c>
      <c r="C137" s="1130"/>
      <c r="D137" s="1131">
        <f>D136/D139</f>
        <v>0.22009823506720322</v>
      </c>
      <c r="E137" s="1064"/>
    </row>
    <row r="138" spans="2:12">
      <c r="C138" s="1100"/>
      <c r="D138" s="1100"/>
      <c r="E138" s="1064"/>
    </row>
    <row r="139" spans="2:12" ht="15" thickBot="1">
      <c r="B139" s="696" t="s">
        <v>1335</v>
      </c>
      <c r="C139" s="1104">
        <f>C126+C131</f>
        <v>31924.445</v>
      </c>
      <c r="D139" s="1104">
        <f>D126+D131</f>
        <v>31924.445</v>
      </c>
      <c r="E139" s="1064"/>
    </row>
    <row r="140" spans="2:12" ht="15" thickTop="1">
      <c r="C140" s="1064"/>
      <c r="D140" s="1064"/>
      <c r="E140" s="1064"/>
    </row>
    <row r="141" spans="2:12">
      <c r="B141" s="323" t="s">
        <v>903</v>
      </c>
      <c r="C141" s="1062" t="s">
        <v>880</v>
      </c>
      <c r="D141" s="1062" t="s">
        <v>724</v>
      </c>
      <c r="E141" s="1062" t="s">
        <v>881</v>
      </c>
    </row>
    <row r="142" spans="2:12">
      <c r="B142" s="319" t="s">
        <v>894</v>
      </c>
      <c r="C142" s="1063">
        <f>C120/($C$139/1000)</f>
        <v>0.15035500225610812</v>
      </c>
      <c r="D142" s="1064"/>
      <c r="E142" s="1063">
        <f>E120/($C$139/1000)</f>
        <v>0.20047333634147754</v>
      </c>
    </row>
    <row r="143" spans="2:12">
      <c r="B143" s="319" t="s">
        <v>950</v>
      </c>
      <c r="C143" s="1063">
        <f>C120/($D$139/1000)</f>
        <v>0.15035500225610812</v>
      </c>
      <c r="D143" s="1063">
        <f>D120/($D$139/1000)</f>
        <v>0.1754141692987928</v>
      </c>
      <c r="E143" s="1063">
        <f>E120/($D$139/1000)</f>
        <v>0.20047333634147754</v>
      </c>
      <c r="F143" s="319" t="s">
        <v>951</v>
      </c>
    </row>
    <row r="144" spans="2:12">
      <c r="C144" s="1063"/>
      <c r="D144" s="1063"/>
      <c r="E144" s="1063"/>
    </row>
    <row r="146" spans="2:5">
      <c r="B146" s="710"/>
      <c r="C146" s="710"/>
      <c r="D146" s="710"/>
      <c r="E146" s="710"/>
    </row>
    <row r="147" spans="2:5">
      <c r="B147" s="1125" t="s">
        <v>908</v>
      </c>
      <c r="C147" s="1126">
        <v>8.3234244946492272E-2</v>
      </c>
      <c r="D147" s="710"/>
      <c r="E147" s="710"/>
    </row>
    <row r="148" spans="2:5">
      <c r="B148" s="1125" t="s">
        <v>909</v>
      </c>
      <c r="C148" s="1127">
        <v>0.12011356191308147</v>
      </c>
      <c r="D148" s="710"/>
      <c r="E148" s="710"/>
    </row>
    <row r="149" spans="2:5">
      <c r="B149" s="1125" t="s">
        <v>910</v>
      </c>
      <c r="C149" s="1126">
        <v>0.124</v>
      </c>
      <c r="D149" s="710"/>
      <c r="E149" s="710"/>
    </row>
    <row r="150" spans="2:5">
      <c r="B150" s="1125" t="s">
        <v>911</v>
      </c>
      <c r="C150" s="1126">
        <v>0.125</v>
      </c>
      <c r="D150" s="710"/>
      <c r="E150" s="710"/>
    </row>
    <row r="151" spans="2:5">
      <c r="B151" s="1125" t="s">
        <v>912</v>
      </c>
      <c r="C151" s="1126">
        <v>0.133144003016155</v>
      </c>
      <c r="D151" s="710"/>
      <c r="E151" s="710"/>
    </row>
    <row r="152" spans="2:5">
      <c r="B152" s="1125" t="s">
        <v>913</v>
      </c>
      <c r="C152" s="1126">
        <v>0.14421343588510996</v>
      </c>
      <c r="D152" s="710"/>
      <c r="E152" s="710"/>
    </row>
    <row r="153" spans="2:5">
      <c r="B153" s="1125" t="s">
        <v>918</v>
      </c>
      <c r="C153" s="1126">
        <v>0.15037593984962405</v>
      </c>
      <c r="D153" s="710" t="s">
        <v>920</v>
      </c>
      <c r="E153" s="710"/>
    </row>
    <row r="154" spans="2:5" ht="29">
      <c r="B154" s="1128" t="s">
        <v>1314</v>
      </c>
      <c r="C154" s="1129">
        <f>C143</f>
        <v>0.15035500225610812</v>
      </c>
      <c r="D154" s="710"/>
      <c r="E154" s="710"/>
    </row>
    <row r="155" spans="2:5" ht="29">
      <c r="B155" s="1128" t="s">
        <v>1313</v>
      </c>
      <c r="C155" s="1129">
        <f>D143</f>
        <v>0.1754141692987928</v>
      </c>
      <c r="D155" s="710"/>
      <c r="E155" s="710"/>
    </row>
    <row r="156" spans="2:5" ht="29">
      <c r="B156" s="1128" t="s">
        <v>1312</v>
      </c>
      <c r="C156" s="1129">
        <f>E143</f>
        <v>0.20047333634147754</v>
      </c>
      <c r="D156" s="710"/>
      <c r="E156" s="710"/>
    </row>
    <row r="162" spans="1:9">
      <c r="A162" s="319" t="s">
        <v>615</v>
      </c>
      <c r="B162" s="711" t="s">
        <v>579</v>
      </c>
      <c r="C162" s="710"/>
      <c r="D162" s="710"/>
    </row>
    <row r="164" spans="1:9">
      <c r="B164" s="683">
        <v>2024</v>
      </c>
    </row>
    <row r="165" spans="1:9">
      <c r="B165" s="323" t="s">
        <v>895</v>
      </c>
      <c r="C165" s="323" t="s">
        <v>896</v>
      </c>
      <c r="D165" s="323" t="s">
        <v>897</v>
      </c>
      <c r="E165" s="323" t="s">
        <v>4</v>
      </c>
      <c r="F165" s="323" t="s">
        <v>1152</v>
      </c>
      <c r="G165" s="323"/>
    </row>
    <row r="166" spans="1:9">
      <c r="B166" s="319" t="s">
        <v>510</v>
      </c>
      <c r="C166" s="716">
        <v>113.339</v>
      </c>
      <c r="D166" s="716">
        <v>51.337000000000003</v>
      </c>
      <c r="E166" s="689">
        <f>D166/C166</f>
        <v>0.45295088186767135</v>
      </c>
      <c r="F166" s="716">
        <v>12.37</v>
      </c>
      <c r="G166" s="689">
        <f>F166/C166</f>
        <v>0.10914160174344223</v>
      </c>
    </row>
    <row r="167" spans="1:9">
      <c r="B167" s="319" t="s">
        <v>511</v>
      </c>
      <c r="C167" s="716">
        <v>55.887</v>
      </c>
      <c r="D167" s="716">
        <v>26.375</v>
      </c>
      <c r="E167" s="689">
        <f t="shared" ref="E167:E169" si="19">D167/C167</f>
        <v>0.47193443913611394</v>
      </c>
      <c r="F167" s="716">
        <v>9.9380000000000006</v>
      </c>
      <c r="G167" s="689">
        <f t="shared" ref="G167:G169" si="20">F167/C167</f>
        <v>0.17782310734160003</v>
      </c>
    </row>
    <row r="168" spans="1:9">
      <c r="B168" s="319" t="s">
        <v>904</v>
      </c>
      <c r="C168" s="716">
        <v>45.8</v>
      </c>
      <c r="D168" s="716">
        <v>22.5</v>
      </c>
      <c r="E168" s="689">
        <f t="shared" si="19"/>
        <v>0.49126637554585156</v>
      </c>
      <c r="F168" s="1121">
        <f>2+D129/1000</f>
        <v>9.3819999999999997</v>
      </c>
      <c r="G168" s="689">
        <f t="shared" si="20"/>
        <v>0.20484716157205241</v>
      </c>
    </row>
    <row r="169" spans="1:9">
      <c r="B169" s="684" t="s">
        <v>6</v>
      </c>
      <c r="C169" s="684">
        <f>SUM(C166:C168)</f>
        <v>215.02600000000001</v>
      </c>
      <c r="D169" s="684">
        <f>SUM(D166:D168)</f>
        <v>100.212</v>
      </c>
      <c r="E169" s="714">
        <f t="shared" si="19"/>
        <v>0.46604596653427954</v>
      </c>
      <c r="F169" s="684">
        <f>SUM(F166:F168)</f>
        <v>31.689999999999998</v>
      </c>
      <c r="G169" s="689">
        <f t="shared" si="20"/>
        <v>0.14737752643866323</v>
      </c>
    </row>
    <row r="171" spans="1:9" s="683" customFormat="1">
      <c r="B171" s="323" t="s">
        <v>917</v>
      </c>
      <c r="C171" s="1103" t="s">
        <v>942</v>
      </c>
      <c r="D171" s="1103" t="s">
        <v>943</v>
      </c>
      <c r="E171" s="1103" t="s">
        <v>944</v>
      </c>
      <c r="F171" s="1103" t="s">
        <v>945</v>
      </c>
      <c r="G171" s="1103" t="s">
        <v>946</v>
      </c>
      <c r="H171" s="1103" t="s">
        <v>6</v>
      </c>
    </row>
    <row r="172" spans="1:9">
      <c r="B172" s="319" t="s">
        <v>510</v>
      </c>
      <c r="C172" s="1064"/>
      <c r="D172" s="1137">
        <v>30</v>
      </c>
      <c r="E172" s="1137">
        <v>45</v>
      </c>
      <c r="F172" s="1137">
        <v>40</v>
      </c>
      <c r="G172" s="1137">
        <v>50</v>
      </c>
      <c r="H172" s="1064">
        <f>SUM(C172:G172)</f>
        <v>165</v>
      </c>
      <c r="I172" s="319">
        <f>0.06*E184</f>
        <v>2.7479999999999998</v>
      </c>
    </row>
    <row r="173" spans="1:9">
      <c r="B173" s="319" t="s">
        <v>511</v>
      </c>
      <c r="C173" s="1064"/>
      <c r="D173" s="1137">
        <v>25</v>
      </c>
      <c r="E173" s="1137">
        <v>60</v>
      </c>
      <c r="F173" s="1137">
        <v>50</v>
      </c>
      <c r="G173" s="1064"/>
      <c r="H173" s="1064">
        <f t="shared" ref="H173:H177" si="21">SUM(C173:G173)</f>
        <v>135</v>
      </c>
    </row>
    <row r="174" spans="1:9">
      <c r="B174" s="319" t="s">
        <v>904</v>
      </c>
      <c r="C174" s="1137">
        <v>22</v>
      </c>
      <c r="D174" s="1137">
        <v>15</v>
      </c>
      <c r="E174" s="1137">
        <v>45</v>
      </c>
      <c r="F174" s="1137">
        <v>30</v>
      </c>
      <c r="G174" s="1137">
        <v>40</v>
      </c>
      <c r="H174" s="1064">
        <f t="shared" ref="H174" si="22">SUM(C174:G174)</f>
        <v>152</v>
      </c>
    </row>
    <row r="175" spans="1:9">
      <c r="B175" s="319" t="s">
        <v>1273</v>
      </c>
      <c r="C175" s="1137">
        <v>22</v>
      </c>
      <c r="D175" s="1137"/>
      <c r="E175" s="1137">
        <v>45</v>
      </c>
      <c r="F175" s="1137">
        <v>30</v>
      </c>
      <c r="G175" s="1137">
        <v>40</v>
      </c>
      <c r="H175" s="1064">
        <f t="shared" si="21"/>
        <v>137</v>
      </c>
    </row>
    <row r="176" spans="1:9">
      <c r="B176" s="692" t="s">
        <v>524</v>
      </c>
      <c r="C176" s="1064"/>
      <c r="D176" s="1137">
        <v>15</v>
      </c>
      <c r="E176" s="1137">
        <v>45</v>
      </c>
      <c r="F176" s="1137">
        <v>30</v>
      </c>
      <c r="G176" s="1064"/>
      <c r="H176" s="1064">
        <f t="shared" si="21"/>
        <v>90</v>
      </c>
    </row>
    <row r="177" spans="2:10">
      <c r="B177" s="692" t="s">
        <v>856</v>
      </c>
      <c r="C177" s="1137">
        <v>22</v>
      </c>
      <c r="D177" s="1064"/>
      <c r="E177" s="1064"/>
      <c r="F177" s="1064"/>
      <c r="G177" s="1137">
        <v>40</v>
      </c>
      <c r="H177" s="1064">
        <f t="shared" si="21"/>
        <v>62</v>
      </c>
    </row>
    <row r="178" spans="2:10">
      <c r="C178" s="1064"/>
      <c r="D178" s="1064"/>
      <c r="E178" s="1064"/>
      <c r="F178" s="1064"/>
      <c r="G178" s="1064"/>
      <c r="H178" s="1064"/>
    </row>
    <row r="179" spans="2:10">
      <c r="B179" s="684"/>
      <c r="C179" s="684"/>
      <c r="D179" s="684"/>
      <c r="E179" s="684"/>
      <c r="F179" s="684"/>
      <c r="G179" s="684"/>
      <c r="H179" s="684">
        <f>H172+H173+H174</f>
        <v>452</v>
      </c>
    </row>
    <row r="180" spans="2:10">
      <c r="B180" s="683" t="s">
        <v>653</v>
      </c>
      <c r="C180" s="319" t="s">
        <v>1271</v>
      </c>
      <c r="E180" s="319">
        <v>2024</v>
      </c>
      <c r="G180" s="319">
        <v>2024</v>
      </c>
    </row>
    <row r="181" spans="2:10">
      <c r="C181" s="319" t="s">
        <v>921</v>
      </c>
      <c r="E181" s="319" t="s">
        <v>1272</v>
      </c>
      <c r="G181" s="319" t="s">
        <v>921</v>
      </c>
    </row>
    <row r="182" spans="2:10">
      <c r="B182" s="319" t="s">
        <v>510</v>
      </c>
      <c r="C182" s="1058">
        <v>158.81100000000001</v>
      </c>
      <c r="D182" s="689">
        <f>C182/C$186</f>
        <v>0.45503150330505349</v>
      </c>
      <c r="E182" s="1058">
        <v>86.733000000000004</v>
      </c>
      <c r="F182" s="689" t="e">
        <f>E182/E$215</f>
        <v>#DIV/0!</v>
      </c>
      <c r="G182" s="1058">
        <v>159.38900000000001</v>
      </c>
      <c r="H182" s="689">
        <f>G182/G$186</f>
        <v>0.45750296364121718</v>
      </c>
    </row>
    <row r="183" spans="2:10">
      <c r="B183" s="319" t="s">
        <v>511</v>
      </c>
      <c r="C183" s="1058">
        <v>95.4</v>
      </c>
      <c r="D183" s="689">
        <f t="shared" ref="D183:D185" si="23">C183/C$186</f>
        <v>0.2733438201088218</v>
      </c>
      <c r="E183" s="1058">
        <v>47.036000000000001</v>
      </c>
      <c r="F183" s="689" t="e">
        <f>E183/E$215</f>
        <v>#DIV/0!</v>
      </c>
      <c r="G183" s="1058">
        <v>94.7</v>
      </c>
      <c r="H183" s="689">
        <f t="shared" ref="H183:H184" si="24">G183/G$186</f>
        <v>0.27182258911733725</v>
      </c>
    </row>
    <row r="184" spans="2:10">
      <c r="B184" s="319" t="s">
        <v>512</v>
      </c>
      <c r="C184" s="1058">
        <v>58.9</v>
      </c>
      <c r="D184" s="689">
        <f t="shared" si="23"/>
        <v>0.16876258914475475</v>
      </c>
      <c r="E184" s="1058">
        <v>45.8</v>
      </c>
      <c r="F184" s="689" t="e">
        <f>E184/E$215</f>
        <v>#DIV/0!</v>
      </c>
      <c r="G184" s="1058">
        <v>94.3</v>
      </c>
      <c r="H184" s="689">
        <f t="shared" si="24"/>
        <v>0.27067444724144563</v>
      </c>
    </row>
    <row r="185" spans="2:10">
      <c r="B185" s="319" t="s">
        <v>856</v>
      </c>
      <c r="C185" s="1058">
        <v>35.9</v>
      </c>
      <c r="D185" s="689">
        <f t="shared" si="23"/>
        <v>0.10286208744137004</v>
      </c>
      <c r="E185" s="1058"/>
      <c r="F185" s="689" t="e">
        <f>E185/E$215</f>
        <v>#DIV/0!</v>
      </c>
      <c r="G185" s="689"/>
    </row>
    <row r="186" spans="2:10">
      <c r="B186" s="684"/>
      <c r="C186" s="715">
        <f>SUM(C182:C185)</f>
        <v>349.01099999999997</v>
      </c>
      <c r="D186" s="684"/>
      <c r="E186" s="715">
        <f>SUM(E182:E185)</f>
        <v>179.56900000000002</v>
      </c>
      <c r="F186" s="684"/>
      <c r="G186" s="715">
        <f>SUM(G182:G185)</f>
        <v>348.38900000000001</v>
      </c>
      <c r="H186" s="684"/>
    </row>
    <row r="189" spans="2:10">
      <c r="B189" s="683" t="s">
        <v>1270</v>
      </c>
      <c r="C189" s="683" t="s">
        <v>865</v>
      </c>
      <c r="D189" s="683" t="s">
        <v>4</v>
      </c>
      <c r="E189" s="683" t="s">
        <v>1329</v>
      </c>
      <c r="F189" s="683" t="s">
        <v>1153</v>
      </c>
      <c r="G189" s="683" t="s">
        <v>919</v>
      </c>
      <c r="H189" s="683" t="s">
        <v>866</v>
      </c>
      <c r="I189" s="683" t="s">
        <v>1325</v>
      </c>
      <c r="J189" s="683" t="s">
        <v>1326</v>
      </c>
    </row>
    <row r="190" spans="2:10">
      <c r="B190" s="319" t="s">
        <v>510</v>
      </c>
      <c r="C190" s="689">
        <f>C166/C$169</f>
        <v>0.52709439788676715</v>
      </c>
      <c r="D190" s="701">
        <f>E166</f>
        <v>0.45295088186767135</v>
      </c>
      <c r="E190" s="701">
        <f>C52</f>
        <v>-75848.694472775358</v>
      </c>
      <c r="F190" s="689">
        <f>F166/F$169</f>
        <v>0.39034395708425373</v>
      </c>
      <c r="G190" s="701">
        <f>D182</f>
        <v>0.45503150330505349</v>
      </c>
      <c r="H190" s="689">
        <f>E182/E$186</f>
        <v>0.48300653230791502</v>
      </c>
      <c r="I190" s="689">
        <f>H172/H$179</f>
        <v>0.36504424778761063</v>
      </c>
      <c r="J190" s="689">
        <f>H172/($H$172+$H$173+$H$175)</f>
        <v>0.37757437070938216</v>
      </c>
    </row>
    <row r="191" spans="2:10">
      <c r="B191" s="319" t="s">
        <v>511</v>
      </c>
      <c r="C191" s="689">
        <f t="shared" ref="C191" si="25">C167/C$169</f>
        <v>0.25990810413624399</v>
      </c>
      <c r="D191" s="701">
        <f>E167</f>
        <v>0.47193443913611394</v>
      </c>
      <c r="E191" s="701">
        <f>D52</f>
        <v>0.38082321617409443</v>
      </c>
      <c r="F191" s="689">
        <f>F167/F$169</f>
        <v>0.31360050489113289</v>
      </c>
      <c r="G191" s="701">
        <f>D183</f>
        <v>0.2733438201088218</v>
      </c>
      <c r="H191" s="689">
        <f>E183/E$186</f>
        <v>0.26193830783709882</v>
      </c>
      <c r="I191" s="689">
        <f>H173/H$179</f>
        <v>0.29867256637168144</v>
      </c>
      <c r="J191" s="689">
        <f>H173/($H$172+$H$173+$H$175)</f>
        <v>0.30892448512585813</v>
      </c>
    </row>
    <row r="192" spans="2:10">
      <c r="B192" s="319" t="s">
        <v>904</v>
      </c>
      <c r="C192" s="689">
        <f t="shared" ref="C192" si="26">C168/C$169</f>
        <v>0.2129974979769888</v>
      </c>
      <c r="D192" s="701">
        <f>E168</f>
        <v>0.49126637554585156</v>
      </c>
      <c r="E192" s="701">
        <f>G52</f>
        <v>0.33671289817831501</v>
      </c>
      <c r="F192" s="689">
        <f>F168/F$169</f>
        <v>0.29605553802461343</v>
      </c>
      <c r="G192" s="701">
        <f>1-G191-G190</f>
        <v>0.27162467658612466</v>
      </c>
      <c r="H192" s="689">
        <f>1-H191-H190</f>
        <v>0.25505515985498617</v>
      </c>
      <c r="I192" s="689">
        <f>H174/H$179</f>
        <v>0.33628318584070799</v>
      </c>
      <c r="J192" s="689">
        <f>H175/($H$172+$H$173+$H$175)</f>
        <v>0.31350114416475972</v>
      </c>
    </row>
    <row r="193" spans="1:15 16384:16384">
      <c r="B193" s="684"/>
      <c r="C193" s="1098">
        <f>SUM(C190:C192)</f>
        <v>1</v>
      </c>
      <c r="D193" s="1098"/>
      <c r="E193" s="684"/>
      <c r="F193" s="1098">
        <f>SUM(F190:F192)</f>
        <v>1</v>
      </c>
      <c r="G193" s="1098">
        <f>SUM(G190:G192)</f>
        <v>0.99999999999999989</v>
      </c>
      <c r="H193" s="1098">
        <f t="shared" ref="H193:I193" si="27">SUM(H190:H192)</f>
        <v>1</v>
      </c>
      <c r="I193" s="1098">
        <f t="shared" si="27"/>
        <v>1</v>
      </c>
      <c r="J193" s="1098">
        <f t="shared" ref="J193" si="28">SUM(J190:J192)</f>
        <v>1</v>
      </c>
    </row>
    <row r="194" spans="1:15 16384:16384">
      <c r="B194" s="683"/>
    </row>
    <row r="195" spans="1:15 16384:16384">
      <c r="B195" s="319" t="s">
        <v>1330</v>
      </c>
    </row>
    <row r="201" spans="1:15 16384:16384" s="710" customFormat="1">
      <c r="A201" s="319" t="s">
        <v>615</v>
      </c>
    </row>
    <row r="202" spans="1:15 16384:16384">
      <c r="B202" s="319" t="s">
        <v>854</v>
      </c>
      <c r="C202" s="320">
        <v>45636</v>
      </c>
    </row>
    <row r="204" spans="1:15 16384:16384">
      <c r="C204" s="683" t="s">
        <v>437</v>
      </c>
      <c r="D204" s="683" t="s">
        <v>863</v>
      </c>
      <c r="E204" s="683" t="s">
        <v>862</v>
      </c>
      <c r="F204" s="683" t="s">
        <v>858</v>
      </c>
      <c r="G204" s="683" t="s">
        <v>859</v>
      </c>
      <c r="H204" s="683" t="s">
        <v>860</v>
      </c>
      <c r="L204" s="686"/>
    </row>
    <row r="205" spans="1:15 16384:16384">
      <c r="B205" s="319" t="s">
        <v>512</v>
      </c>
      <c r="C205" s="322"/>
      <c r="D205" s="322"/>
      <c r="E205" s="322"/>
      <c r="F205" s="319">
        <v>30.2</v>
      </c>
      <c r="G205" s="322">
        <v>15898.7</v>
      </c>
      <c r="H205" s="687">
        <f>F205*1000/G205</f>
        <v>1.8995263763703949</v>
      </c>
      <c r="K205" s="322"/>
      <c r="L205" s="686"/>
      <c r="O205" s="322"/>
      <c r="XFD205" s="322"/>
    </row>
    <row r="206" spans="1:15 16384:16384">
      <c r="B206" s="319" t="s">
        <v>856</v>
      </c>
      <c r="C206" s="322"/>
      <c r="D206" s="322"/>
      <c r="E206" s="322"/>
      <c r="F206" s="319">
        <v>12.87</v>
      </c>
      <c r="G206" s="322">
        <v>15898.7</v>
      </c>
      <c r="H206" s="687">
        <f>F206*1000/G206</f>
        <v>0.80950014781082724</v>
      </c>
      <c r="K206" s="322"/>
      <c r="L206" s="322"/>
    </row>
    <row r="207" spans="1:15 16384:16384">
      <c r="B207" s="684"/>
      <c r="C207" s="685"/>
      <c r="D207" s="685"/>
      <c r="E207" s="685"/>
      <c r="F207" s="684">
        <f>SUM(F205:F206)</f>
        <v>43.07</v>
      </c>
      <c r="G207" s="685">
        <v>15898.7</v>
      </c>
      <c r="H207" s="688">
        <f>SUM(H205:H206)</f>
        <v>2.7090265241812221</v>
      </c>
      <c r="K207" s="322"/>
      <c r="L207" s="686"/>
    </row>
    <row r="210" spans="1:15 16384:16384">
      <c r="B210" s="319" t="s">
        <v>892</v>
      </c>
      <c r="C210" s="319" t="s">
        <v>773</v>
      </c>
    </row>
    <row r="211" spans="1:15 16384:16384">
      <c r="B211" s="319" t="s">
        <v>510</v>
      </c>
      <c r="C211" s="686">
        <v>158.416</v>
      </c>
      <c r="D211" s="319">
        <f>C211/C$215</f>
        <v>0.45040885259698166</v>
      </c>
    </row>
    <row r="212" spans="1:15 16384:16384">
      <c r="B212" s="319" t="s">
        <v>511</v>
      </c>
      <c r="C212" s="686">
        <v>98.7</v>
      </c>
      <c r="D212" s="319">
        <f>C212/C$215</f>
        <v>0.28062413993108076</v>
      </c>
    </row>
    <row r="213" spans="1:15 16384:16384">
      <c r="B213" s="319" t="s">
        <v>512</v>
      </c>
      <c r="C213" s="686">
        <v>58.6</v>
      </c>
      <c r="D213" s="319">
        <f>C213/C$215</f>
        <v>0.1666116980745829</v>
      </c>
    </row>
    <row r="214" spans="1:15 16384:16384">
      <c r="B214" s="319" t="s">
        <v>856</v>
      </c>
      <c r="C214" s="686">
        <v>36</v>
      </c>
      <c r="D214" s="319">
        <f>C214/C$215</f>
        <v>0.10235530939735468</v>
      </c>
    </row>
    <row r="215" spans="1:15 16384:16384">
      <c r="C215" s="709">
        <f>SUM(C211:C214)</f>
        <v>351.71600000000001</v>
      </c>
    </row>
    <row r="216" spans="1:15 16384:16384">
      <c r="C216" s="709"/>
    </row>
    <row r="217" spans="1:15 16384:16384">
      <c r="C217" s="709"/>
    </row>
    <row r="218" spans="1:15 16384:16384" s="710" customFormat="1">
      <c r="A218" s="319" t="s">
        <v>615</v>
      </c>
    </row>
    <row r="219" spans="1:15 16384:16384">
      <c r="B219" s="319" t="s">
        <v>854</v>
      </c>
      <c r="C219" s="320">
        <v>45427</v>
      </c>
      <c r="D219" s="320"/>
      <c r="E219" s="320"/>
    </row>
    <row r="220" spans="1:15 16384:16384">
      <c r="B220" s="319" t="s">
        <v>855</v>
      </c>
    </row>
    <row r="222" spans="1:15 16384:16384">
      <c r="C222" s="683" t="s">
        <v>437</v>
      </c>
      <c r="D222" s="683" t="s">
        <v>863</v>
      </c>
      <c r="E222" s="683" t="s">
        <v>862</v>
      </c>
      <c r="F222" s="683" t="s">
        <v>858</v>
      </c>
      <c r="G222" s="683" t="s">
        <v>859</v>
      </c>
      <c r="H222" s="683" t="s">
        <v>860</v>
      </c>
      <c r="L222" s="686"/>
    </row>
    <row r="223" spans="1:15 16384:16384">
      <c r="B223" s="319" t="s">
        <v>512</v>
      </c>
      <c r="C223" s="322">
        <f>'Lisbon - New'!BS41</f>
        <v>57600</v>
      </c>
      <c r="D223" s="322">
        <f>'Income Statement'!CE236</f>
        <v>32322.651000000005</v>
      </c>
      <c r="E223" s="322">
        <f>'Income Statement'!CE234</f>
        <v>31821.641</v>
      </c>
      <c r="F223" s="319">
        <v>33.869999999999997</v>
      </c>
      <c r="G223" s="322">
        <v>15898.7</v>
      </c>
      <c r="H223" s="687">
        <f>F223*1000/G223</f>
        <v>2.1303628598564663</v>
      </c>
      <c r="K223" s="322"/>
      <c r="L223" s="686"/>
      <c r="O223" s="322"/>
      <c r="XFD223" s="322"/>
    </row>
    <row r="224" spans="1:15 16384:16384">
      <c r="B224" s="319" t="s">
        <v>856</v>
      </c>
      <c r="C224" s="322">
        <v>32000</v>
      </c>
      <c r="D224" s="322">
        <v>11655.708000000001</v>
      </c>
      <c r="E224" s="322">
        <f>11655.708-779.056</f>
        <v>10876.652</v>
      </c>
      <c r="F224" s="319">
        <v>21.47</v>
      </c>
      <c r="G224" s="322">
        <v>15898.7</v>
      </c>
      <c r="H224" s="687">
        <f>F224*1000/G224</f>
        <v>1.3504248775057079</v>
      </c>
      <c r="K224" s="322"/>
      <c r="L224" s="322"/>
    </row>
    <row r="225" spans="2:13">
      <c r="B225" s="684"/>
      <c r="C225" s="685">
        <f>SUM(C223:C224)</f>
        <v>89600</v>
      </c>
      <c r="D225" s="685">
        <f t="shared" ref="D225:E225" si="29">SUM(D223:D224)</f>
        <v>43978.359000000004</v>
      </c>
      <c r="E225" s="685">
        <f t="shared" si="29"/>
        <v>42698.292999999998</v>
      </c>
      <c r="F225" s="684">
        <f>SUM(F223:F224)</f>
        <v>55.339999999999996</v>
      </c>
      <c r="G225" s="685">
        <v>15898.7</v>
      </c>
      <c r="H225" s="688">
        <f>SUM(H223:H224)</f>
        <v>3.4807877373621743</v>
      </c>
      <c r="K225" s="322"/>
      <c r="L225" s="686"/>
    </row>
    <row r="227" spans="2:13">
      <c r="C227" s="319" t="s">
        <v>773</v>
      </c>
      <c r="D227" s="319" t="s">
        <v>687</v>
      </c>
      <c r="E227" s="319" t="s">
        <v>862</v>
      </c>
    </row>
    <row r="228" spans="2:13">
      <c r="B228" s="319" t="s">
        <v>510</v>
      </c>
      <c r="C228" s="686">
        <v>159.66800000000001</v>
      </c>
      <c r="D228" s="322">
        <v>102370</v>
      </c>
      <c r="E228" s="322">
        <v>89144</v>
      </c>
    </row>
    <row r="229" spans="2:13">
      <c r="B229" s="319" t="s">
        <v>511</v>
      </c>
      <c r="C229" s="686">
        <v>108.8</v>
      </c>
      <c r="D229" s="322">
        <v>51228.800000000003</v>
      </c>
      <c r="E229" s="322">
        <v>43750</v>
      </c>
      <c r="M229" s="691" t="s">
        <v>868</v>
      </c>
    </row>
    <row r="230" spans="2:13">
      <c r="B230" s="319" t="s">
        <v>867</v>
      </c>
      <c r="C230" s="686">
        <f>C225/1000</f>
        <v>89.6</v>
      </c>
      <c r="D230" s="322">
        <f>D225</f>
        <v>43978.359000000004</v>
      </c>
      <c r="E230" s="322">
        <f>E225</f>
        <v>42698.292999999998</v>
      </c>
      <c r="M230" s="691" t="s">
        <v>869</v>
      </c>
    </row>
    <row r="231" spans="2:13">
      <c r="C231" s="686">
        <f>SUM(C228:C230)</f>
        <v>358.06799999999998</v>
      </c>
      <c r="D231" s="322">
        <f>SUM(D228:D230)</f>
        <v>197577.15899999999</v>
      </c>
      <c r="E231" s="322">
        <f>SUM(E228:E230)</f>
        <v>175592.29300000001</v>
      </c>
    </row>
    <row r="232" spans="2:13">
      <c r="C232" s="686"/>
      <c r="D232" s="322"/>
      <c r="E232" s="322"/>
    </row>
    <row r="233" spans="2:13">
      <c r="C233" s="686"/>
      <c r="D233" s="322"/>
    </row>
    <row r="234" spans="2:13">
      <c r="C234" s="690">
        <f>C223/1000/C231</f>
        <v>0.16086329970843527</v>
      </c>
      <c r="D234" s="322"/>
      <c r="E234" s="699">
        <f>E223/E231</f>
        <v>0.18122458825684337</v>
      </c>
    </row>
    <row r="236" spans="2:13">
      <c r="C236" s="319" t="s">
        <v>864</v>
      </c>
      <c r="D236" s="319" t="s">
        <v>865</v>
      </c>
      <c r="E236" s="319" t="s">
        <v>866</v>
      </c>
    </row>
    <row r="237" spans="2:13">
      <c r="B237" s="319" t="s">
        <v>510</v>
      </c>
      <c r="C237" s="689">
        <f t="shared" ref="C237:E239" si="30">C228/C$231</f>
        <v>0.44591530100427856</v>
      </c>
      <c r="D237" s="689">
        <f t="shared" si="30"/>
        <v>0.51812669297466718</v>
      </c>
      <c r="E237" s="689">
        <f t="shared" si="30"/>
        <v>0.50767604020069379</v>
      </c>
    </row>
    <row r="238" spans="2:13">
      <c r="B238" s="319" t="s">
        <v>511</v>
      </c>
      <c r="C238" s="689">
        <f t="shared" si="30"/>
        <v>0.30385289944926663</v>
      </c>
      <c r="D238" s="689">
        <f t="shared" si="30"/>
        <v>0.25928503203146069</v>
      </c>
      <c r="E238" s="689">
        <f t="shared" si="30"/>
        <v>0.24915672124630206</v>
      </c>
    </row>
    <row r="239" spans="2:13">
      <c r="B239" s="319" t="s">
        <v>867</v>
      </c>
      <c r="C239" s="689">
        <f t="shared" si="30"/>
        <v>0.25023179954645486</v>
      </c>
      <c r="D239" s="689">
        <f t="shared" si="30"/>
        <v>0.22258827499387218</v>
      </c>
      <c r="E239" s="689">
        <f t="shared" si="30"/>
        <v>0.24316723855300412</v>
      </c>
    </row>
    <row r="240" spans="2:13">
      <c r="C240" s="689">
        <f>SUM(C237:C239)</f>
        <v>1</v>
      </c>
      <c r="D240" s="689">
        <f>SUM(D237:D239)</f>
        <v>1</v>
      </c>
      <c r="E240" s="689">
        <f>SUM(E237:E239)</f>
        <v>1</v>
      </c>
    </row>
    <row r="243" spans="2:17">
      <c r="C243" s="319" t="s">
        <v>512</v>
      </c>
      <c r="D243" s="319" t="s">
        <v>856</v>
      </c>
      <c r="E243" s="319" t="s">
        <v>510</v>
      </c>
      <c r="F243" s="319" t="s">
        <v>511</v>
      </c>
      <c r="G243" s="319" t="s">
        <v>875</v>
      </c>
      <c r="I243" s="683" t="s">
        <v>693</v>
      </c>
    </row>
    <row r="244" spans="2:17">
      <c r="B244" s="319" t="s">
        <v>77</v>
      </c>
      <c r="C244" s="322">
        <f>'Income Statement'!CE257</f>
        <v>4537.2420000000002</v>
      </c>
      <c r="D244" s="319">
        <f>543.702</f>
        <v>543.702</v>
      </c>
      <c r="E244" s="319">
        <v>30366</v>
      </c>
      <c r="F244" s="319">
        <v>10428</v>
      </c>
      <c r="G244" s="319">
        <v>3681.2000000000007</v>
      </c>
      <c r="I244" s="319" t="s">
        <v>874</v>
      </c>
      <c r="K244" s="319" t="s">
        <v>227</v>
      </c>
      <c r="M244" s="322">
        <v>2719675</v>
      </c>
      <c r="Q244" s="322"/>
    </row>
    <row r="245" spans="2:17">
      <c r="B245" s="319" t="s">
        <v>870</v>
      </c>
      <c r="C245" s="694">
        <v>0.25</v>
      </c>
      <c r="D245" s="694">
        <v>0.25</v>
      </c>
      <c r="E245" s="694">
        <v>0.25</v>
      </c>
      <c r="F245" s="694">
        <v>0.25</v>
      </c>
      <c r="G245" s="694">
        <v>0.25</v>
      </c>
      <c r="J245" s="319" t="s">
        <v>856</v>
      </c>
      <c r="K245" s="695">
        <v>9.9151744174341278E-3</v>
      </c>
      <c r="M245" s="322">
        <v>4514164</v>
      </c>
      <c r="Q245" s="322"/>
    </row>
    <row r="246" spans="2:17">
      <c r="B246" s="698" t="s">
        <v>871</v>
      </c>
      <c r="C246" s="684">
        <f>C244*(1-C245)</f>
        <v>3402.9315000000001</v>
      </c>
      <c r="D246" s="684">
        <f>D244*(1-D245)</f>
        <v>407.7765</v>
      </c>
      <c r="E246" s="684">
        <f t="shared" ref="E246:G246" si="31">E244*(1-E245)</f>
        <v>22774.5</v>
      </c>
      <c r="F246" s="684">
        <f t="shared" si="31"/>
        <v>7821</v>
      </c>
      <c r="G246" s="684">
        <f t="shared" si="31"/>
        <v>2760.9000000000005</v>
      </c>
      <c r="J246" s="319" t="s">
        <v>512</v>
      </c>
      <c r="K246" s="695">
        <v>4.5724320466889241E-2</v>
      </c>
      <c r="M246" s="322">
        <v>432859</v>
      </c>
      <c r="Q246" s="322"/>
    </row>
    <row r="247" spans="2:17">
      <c r="J247" s="319" t="s">
        <v>876</v>
      </c>
      <c r="K247" s="695">
        <v>6.1233704446828054E-2</v>
      </c>
      <c r="M247" s="322">
        <v>2682220</v>
      </c>
      <c r="Q247" s="322"/>
    </row>
    <row r="248" spans="2:17">
      <c r="B248" s="319" t="s">
        <v>872</v>
      </c>
      <c r="J248" s="319" t="s">
        <v>511</v>
      </c>
      <c r="K248" s="695">
        <v>8.6856694217337618E-2</v>
      </c>
      <c r="M248" s="322">
        <f>SUM(M244:M247)</f>
        <v>10348918</v>
      </c>
      <c r="Q248" s="322"/>
    </row>
    <row r="249" spans="2:17">
      <c r="B249" s="692" t="s">
        <v>123</v>
      </c>
      <c r="C249" s="319">
        <f>'Balance Sheet and Cflow'!S21</f>
        <v>87688.084000000003</v>
      </c>
      <c r="D249" s="319">
        <v>45044.800999999999</v>
      </c>
      <c r="E249" s="319">
        <v>112966</v>
      </c>
      <c r="F249" s="319">
        <v>114722.249</v>
      </c>
      <c r="G249" s="319">
        <v>63400.148000000001</v>
      </c>
      <c r="I249" s="319" t="s">
        <v>874</v>
      </c>
      <c r="J249" s="319" t="s">
        <v>510</v>
      </c>
      <c r="K249" s="695">
        <v>0.26829196461177801</v>
      </c>
      <c r="M249" s="319">
        <f>M248/1000</f>
        <v>10348.918</v>
      </c>
    </row>
    <row r="250" spans="2:17">
      <c r="B250" s="692" t="s">
        <v>873</v>
      </c>
      <c r="C250" s="319">
        <f>'Balance Sheet and Cflow'!S29</f>
        <v>20141.984</v>
      </c>
      <c r="D250" s="319">
        <v>6620.2550000000001</v>
      </c>
      <c r="E250" s="319">
        <v>40009</v>
      </c>
      <c r="F250" s="319">
        <v>34134.343000000001</v>
      </c>
      <c r="G250" s="319">
        <v>28658.151999999998</v>
      </c>
      <c r="I250" s="319" t="s">
        <v>874</v>
      </c>
    </row>
    <row r="251" spans="2:17">
      <c r="B251" s="692" t="s">
        <v>735</v>
      </c>
      <c r="C251" s="319">
        <f>'Balance Sheet and Cflow'!S26+'Balance Sheet and Cflow'!S27</f>
        <v>6876.6900000000005</v>
      </c>
      <c r="D251" s="319">
        <f>2552.986+148.976</f>
        <v>2701.962</v>
      </c>
      <c r="E251" s="319">
        <f>9530+2400</f>
        <v>11930</v>
      </c>
      <c r="F251" s="319">
        <v>9456.9670000000006</v>
      </c>
      <c r="G251" s="319">
        <v>10348.918</v>
      </c>
      <c r="I251" s="319" t="s">
        <v>874</v>
      </c>
    </row>
    <row r="252" spans="2:17">
      <c r="B252" s="684" t="s">
        <v>872</v>
      </c>
      <c r="C252" s="684">
        <f>C249-C250+C251</f>
        <v>74422.790000000008</v>
      </c>
      <c r="D252" s="684">
        <f t="shared" ref="D252:G252" si="32">D249-D250+D251</f>
        <v>41126.508000000002</v>
      </c>
      <c r="E252" s="684">
        <f t="shared" si="32"/>
        <v>84887</v>
      </c>
      <c r="F252" s="684">
        <f t="shared" si="32"/>
        <v>90044.872999999992</v>
      </c>
      <c r="G252" s="684">
        <f t="shared" si="32"/>
        <v>45090.913999999997</v>
      </c>
      <c r="I252" s="319" t="s">
        <v>874</v>
      </c>
    </row>
    <row r="254" spans="2:17" ht="15" thickBot="1">
      <c r="B254" s="696" t="s">
        <v>227</v>
      </c>
      <c r="C254" s="697">
        <f>C246/C252</f>
        <v>4.5724320466889241E-2</v>
      </c>
      <c r="D254" s="697">
        <f>D246/D252</f>
        <v>9.9151744174341278E-3</v>
      </c>
      <c r="E254" s="697">
        <f>E246/E252</f>
        <v>0.26829196461177801</v>
      </c>
      <c r="F254" s="697">
        <f>F246/F252</f>
        <v>8.6856694217337618E-2</v>
      </c>
      <c r="G254" s="697">
        <f>G246/G252</f>
        <v>6.1229630430645089E-2</v>
      </c>
    </row>
    <row r="255" spans="2:17" ht="15" thickTop="1"/>
    <row r="257" spans="2:8">
      <c r="B257" s="683" t="s">
        <v>877</v>
      </c>
    </row>
    <row r="258" spans="2:8">
      <c r="F258" s="319" t="s">
        <v>879</v>
      </c>
    </row>
    <row r="259" spans="2:8">
      <c r="C259" s="319" t="s">
        <v>512</v>
      </c>
      <c r="D259" s="319" t="s">
        <v>856</v>
      </c>
      <c r="E259" s="319" t="s">
        <v>878</v>
      </c>
      <c r="F259" s="319" t="s">
        <v>880</v>
      </c>
      <c r="G259" s="319" t="s">
        <v>881</v>
      </c>
    </row>
    <row r="260" spans="2:8">
      <c r="B260" s="319" t="s">
        <v>246</v>
      </c>
      <c r="C260" s="322">
        <f>'Income Statement'!CE246</f>
        <v>16437.651000000005</v>
      </c>
      <c r="D260" s="322">
        <f>11112.006-4602.252</f>
        <v>6509.753999999999</v>
      </c>
      <c r="E260" s="322">
        <f>SUM(C260:D260)</f>
        <v>22947.405000000006</v>
      </c>
      <c r="F260" s="322"/>
      <c r="G260" s="322"/>
    </row>
    <row r="261" spans="2:8">
      <c r="B261" s="319" t="s">
        <v>248</v>
      </c>
      <c r="C261" s="322">
        <f>'Balance Sheet and Cflow'!S73</f>
        <v>7158</v>
      </c>
      <c r="D261" s="322">
        <f>1014.527+170.709</f>
        <v>1185.2360000000001</v>
      </c>
      <c r="E261" s="322">
        <f t="shared" ref="E261:E262" si="33">SUM(C261:D261)</f>
        <v>8343.2360000000008</v>
      </c>
      <c r="F261" s="322"/>
      <c r="G261" s="322"/>
    </row>
    <row r="262" spans="2:8">
      <c r="C262" s="322">
        <f>SUM(C260:C261)</f>
        <v>23595.651000000005</v>
      </c>
      <c r="D262" s="322">
        <f>SUM(D260:D261)</f>
        <v>7694.9899999999989</v>
      </c>
      <c r="E262" s="322">
        <f t="shared" si="33"/>
        <v>31290.641000000003</v>
      </c>
      <c r="F262" s="322">
        <f>8%*E262</f>
        <v>2503.2512800000004</v>
      </c>
      <c r="G262" s="322">
        <f>15%*E262</f>
        <v>4693.5961500000003</v>
      </c>
    </row>
    <row r="263" spans="2:8">
      <c r="F263" s="319">
        <f>F262/E223</f>
        <v>7.8665059416640412E-2</v>
      </c>
    </row>
    <row r="264" spans="2:8">
      <c r="C264" s="693"/>
    </row>
    <row r="265" spans="2:8">
      <c r="B265" s="683" t="s">
        <v>882</v>
      </c>
    </row>
    <row r="266" spans="2:8">
      <c r="B266" s="683">
        <v>2023</v>
      </c>
    </row>
    <row r="267" spans="2:8">
      <c r="B267" s="319" t="s">
        <v>886</v>
      </c>
      <c r="C267" s="319" t="s">
        <v>510</v>
      </c>
      <c r="D267" s="319" t="s">
        <v>511</v>
      </c>
      <c r="E267" s="319" t="s">
        <v>524</v>
      </c>
      <c r="F267" s="319" t="s">
        <v>856</v>
      </c>
      <c r="G267" s="319" t="s">
        <v>6</v>
      </c>
      <c r="H267" s="319" t="s">
        <v>693</v>
      </c>
    </row>
    <row r="268" spans="2:8">
      <c r="B268" s="319" t="s">
        <v>883</v>
      </c>
      <c r="C268" s="319">
        <v>4840.9960000000001</v>
      </c>
      <c r="D268" s="319">
        <v>1697.7919999999999</v>
      </c>
      <c r="E268" s="319">
        <v>881.36900000000003</v>
      </c>
      <c r="G268" s="319">
        <v>8594.5300000000007</v>
      </c>
      <c r="H268" s="319" t="s">
        <v>888</v>
      </c>
    </row>
    <row r="269" spans="2:8">
      <c r="B269" s="319" t="s">
        <v>884</v>
      </c>
      <c r="C269" s="319">
        <v>1463.3620000000001</v>
      </c>
      <c r="D269" s="319">
        <v>4476.7030000000004</v>
      </c>
      <c r="E269" s="319">
        <v>3619.91</v>
      </c>
      <c r="G269" s="319">
        <v>11740.344999999998</v>
      </c>
    </row>
    <row r="270" spans="2:8">
      <c r="B270" s="319" t="s">
        <v>885</v>
      </c>
      <c r="C270" s="319">
        <v>1694.1579999999999</v>
      </c>
      <c r="D270" s="319">
        <v>1430.2829999999999</v>
      </c>
      <c r="E270" s="319">
        <v>866.75699999999995</v>
      </c>
      <c r="F270" s="319">
        <f>409.39+295.132</f>
        <v>704.52199999999993</v>
      </c>
      <c r="G270" s="319">
        <v>4708.5349999999999</v>
      </c>
      <c r="H270" s="319" t="s">
        <v>887</v>
      </c>
    </row>
    <row r="272" spans="2:8">
      <c r="C272" s="319" t="s">
        <v>510</v>
      </c>
      <c r="D272" s="319" t="s">
        <v>511</v>
      </c>
      <c r="E272" s="319" t="s">
        <v>524</v>
      </c>
      <c r="F272" s="319" t="s">
        <v>856</v>
      </c>
    </row>
    <row r="273" spans="2:8">
      <c r="B273" s="319" t="s">
        <v>883</v>
      </c>
      <c r="C273" s="689">
        <f>C268/$G268</f>
        <v>0.56326477422267418</v>
      </c>
      <c r="D273" s="689">
        <f t="shared" ref="D273:E273" si="34">D268/$G268</f>
        <v>0.19754332115892315</v>
      </c>
      <c r="E273" s="689">
        <f t="shared" si="34"/>
        <v>0.1025499940078166</v>
      </c>
      <c r="F273" s="700">
        <v>0.1</v>
      </c>
      <c r="H273" s="1057">
        <f>E273+F273</f>
        <v>0.20254999400781659</v>
      </c>
    </row>
    <row r="274" spans="2:8">
      <c r="B274" s="319" t="s">
        <v>884</v>
      </c>
      <c r="C274" s="689">
        <f t="shared" ref="C274:F275" si="35">C269/$G269</f>
        <v>0.12464386693917431</v>
      </c>
      <c r="D274" s="689">
        <f t="shared" si="35"/>
        <v>0.38130932268174411</v>
      </c>
      <c r="E274" s="689">
        <f t="shared" si="35"/>
        <v>0.30833080288526449</v>
      </c>
      <c r="F274" s="700">
        <v>0.1</v>
      </c>
      <c r="H274" s="1057">
        <f t="shared" ref="H274:H275" si="36">E274+F274</f>
        <v>0.40833080288526447</v>
      </c>
    </row>
    <row r="275" spans="2:8">
      <c r="B275" s="319" t="s">
        <v>885</v>
      </c>
      <c r="C275" s="689">
        <f t="shared" si="35"/>
        <v>0.35980575699235534</v>
      </c>
      <c r="D275" s="689">
        <f t="shared" si="35"/>
        <v>0.30376390958121791</v>
      </c>
      <c r="E275" s="689">
        <f t="shared" si="35"/>
        <v>0.18408209772254003</v>
      </c>
      <c r="F275" s="689">
        <f t="shared" si="35"/>
        <v>0.14962658236585263</v>
      </c>
      <c r="H275" s="1057">
        <f t="shared" si="36"/>
        <v>0.33370868008839266</v>
      </c>
    </row>
    <row r="280" spans="2:8">
      <c r="B280" s="683">
        <v>2022</v>
      </c>
    </row>
    <row r="281" spans="2:8">
      <c r="B281" s="319" t="s">
        <v>886</v>
      </c>
      <c r="C281" s="319" t="s">
        <v>510</v>
      </c>
      <c r="D281" s="319" t="s">
        <v>511</v>
      </c>
      <c r="E281" s="319" t="s">
        <v>524</v>
      </c>
      <c r="F281" s="319" t="s">
        <v>856</v>
      </c>
      <c r="G281" s="319" t="s">
        <v>6</v>
      </c>
      <c r="H281" s="319" t="s">
        <v>693</v>
      </c>
    </row>
    <row r="282" spans="2:8">
      <c r="B282" s="319" t="s">
        <v>883</v>
      </c>
      <c r="C282" s="319">
        <v>4382.7120000000004</v>
      </c>
      <c r="D282" s="319">
        <v>1450.84</v>
      </c>
      <c r="E282" s="319">
        <v>796.13</v>
      </c>
      <c r="G282" s="319">
        <v>7728.93</v>
      </c>
    </row>
    <row r="283" spans="2:8">
      <c r="B283" s="319" t="s">
        <v>884</v>
      </c>
      <c r="C283" s="319">
        <v>1690.9970000000001</v>
      </c>
      <c r="D283" s="319">
        <v>4125.1319999999996</v>
      </c>
      <c r="E283" s="319">
        <v>3257.7759999999998</v>
      </c>
      <c r="G283" s="319">
        <v>11035.7</v>
      </c>
    </row>
    <row r="284" spans="2:8">
      <c r="B284" s="319" t="s">
        <v>885</v>
      </c>
      <c r="C284" s="319">
        <v>1713.6559999999999</v>
      </c>
      <c r="D284" s="319">
        <v>1699.345</v>
      </c>
      <c r="E284" s="319">
        <v>787.04399999999998</v>
      </c>
      <c r="F284" s="319">
        <f>384.901+288.256</f>
        <v>673.15699999999993</v>
      </c>
      <c r="G284" s="319">
        <v>4891.1930000000002</v>
      </c>
      <c r="H284" s="319" t="s">
        <v>887</v>
      </c>
    </row>
    <row r="288" spans="2:8">
      <c r="B288" s="319" t="s">
        <v>857</v>
      </c>
    </row>
    <row r="289" spans="2:2">
      <c r="B289" s="319" t="s">
        <v>861</v>
      </c>
    </row>
  </sheetData>
  <autoFilter ref="J244:K248" xr:uid="{5128A9EB-89BE-412D-A717-5FAEE49C22FB}">
    <sortState xmlns:xlrd2="http://schemas.microsoft.com/office/spreadsheetml/2017/richdata2" ref="J245:K248">
      <sortCondition ref="K244:K248"/>
    </sortState>
  </autoFilter>
  <conditionalFormatting sqref="J34:L34">
    <cfRule type="colorScale" priority="4">
      <colorScale>
        <cfvo type="min"/>
        <cfvo type="max"/>
        <color rgb="FFFCFCFF"/>
        <color rgb="FF63BE7B"/>
      </colorScale>
    </cfRule>
  </conditionalFormatting>
  <conditionalFormatting sqref="J35:L35">
    <cfRule type="colorScale" priority="2">
      <colorScale>
        <cfvo type="min"/>
        <cfvo type="max"/>
        <color rgb="FFFCFCFF"/>
        <color rgb="FF63BE7B"/>
      </colorScale>
    </cfRule>
  </conditionalFormatting>
  <conditionalFormatting sqref="J36:L36">
    <cfRule type="colorScale" priority="3">
      <colorScale>
        <cfvo type="min"/>
        <cfvo type="max"/>
        <color rgb="FFFCFCFF"/>
        <color rgb="FF63BE7B"/>
      </colorScale>
    </cfRule>
  </conditionalFormatting>
  <conditionalFormatting sqref="J37:L37">
    <cfRule type="colorScale" priority="1">
      <colorScale>
        <cfvo type="min"/>
        <cfvo type="max"/>
        <color rgb="FFFCFCFF"/>
        <color rgb="FF63BE7B"/>
      </colorScale>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1CE5A-67D0-4B01-ACDF-D58A83C1901B}">
  <sheetPr codeName="Sheet21">
    <tabColor rgb="FFC00000"/>
  </sheetPr>
  <dimension ref="A2:M63"/>
  <sheetViews>
    <sheetView zoomScale="85" zoomScaleNormal="85" workbookViewId="0">
      <selection activeCell="M63" sqref="M63"/>
    </sheetView>
  </sheetViews>
  <sheetFormatPr defaultColWidth="8.90625" defaultRowHeight="14.5" outlineLevelRow="1"/>
  <cols>
    <col min="1" max="1" width="8.90625" style="319"/>
    <col min="2" max="2" width="25.90625" style="319" customWidth="1"/>
    <col min="3" max="3" width="10.36328125" style="319" customWidth="1"/>
    <col min="4" max="4" width="10.6328125" style="319" customWidth="1"/>
    <col min="5" max="5" width="10.1796875" style="319" customWidth="1"/>
    <col min="6" max="6" width="8.90625" style="319" customWidth="1"/>
    <col min="7" max="9" width="10.36328125" style="319" customWidth="1"/>
    <col min="10" max="16384" width="8.90625" style="319"/>
  </cols>
  <sheetData>
    <row r="2" spans="1:13">
      <c r="B2" s="147" t="s">
        <v>1244</v>
      </c>
      <c r="C2" s="298" t="s">
        <v>1237</v>
      </c>
      <c r="D2" s="1025"/>
      <c r="E2" s="1025"/>
      <c r="G2" s="1025" t="s">
        <v>1245</v>
      </c>
      <c r="H2" s="1025"/>
      <c r="I2" s="1025"/>
    </row>
    <row r="3" spans="1:13">
      <c r="A3" s="319" t="s">
        <v>615</v>
      </c>
      <c r="C3" s="147" t="s">
        <v>524</v>
      </c>
      <c r="D3" s="147" t="s">
        <v>856</v>
      </c>
      <c r="E3" s="147" t="s">
        <v>1083</v>
      </c>
      <c r="G3" s="147" t="s">
        <v>524</v>
      </c>
      <c r="H3" s="147" t="s">
        <v>856</v>
      </c>
      <c r="I3" s="147" t="s">
        <v>1083</v>
      </c>
    </row>
    <row r="4" spans="1:13">
      <c r="B4" s="147" t="s">
        <v>591</v>
      </c>
      <c r="C4" s="146"/>
      <c r="D4" s="146"/>
      <c r="G4" s="683"/>
      <c r="H4" s="683"/>
    </row>
    <row r="5" spans="1:13" s="683" customFormat="1">
      <c r="B5" s="147" t="s">
        <v>687</v>
      </c>
      <c r="C5" s="891">
        <v>33816.258000000002</v>
      </c>
      <c r="D5" s="891">
        <v>11569.258000000002</v>
      </c>
      <c r="E5" s="891">
        <v>45385.516000000003</v>
      </c>
      <c r="G5" s="892">
        <f>XLSmart!N672</f>
        <v>34391.597000000002</v>
      </c>
      <c r="H5" s="892">
        <f>XLSmart!N711</f>
        <v>11419.725</v>
      </c>
      <c r="I5" s="1024">
        <f>G5+H5</f>
        <v>45811.322</v>
      </c>
      <c r="K5" s="683">
        <f>G5/$I5</f>
        <v>0.75072264886832996</v>
      </c>
      <c r="L5" s="683">
        <f>H5/$I5</f>
        <v>0.24927735113167004</v>
      </c>
    </row>
    <row r="6" spans="1:13" s="683" customFormat="1">
      <c r="B6" s="147" t="s">
        <v>2</v>
      </c>
      <c r="C6" s="891">
        <v>17426</v>
      </c>
      <c r="D6" s="891">
        <v>5056.442</v>
      </c>
      <c r="E6" s="891">
        <v>22482.441999999999</v>
      </c>
      <c r="G6" s="892">
        <f>XLSmart!N681</f>
        <v>17879</v>
      </c>
      <c r="H6" s="892">
        <f>XLSmart!N720</f>
        <v>4572.777</v>
      </c>
      <c r="I6" s="1024">
        <f>G6+H6</f>
        <v>22451.777000000002</v>
      </c>
      <c r="K6" s="683">
        <f>G6/$I6</f>
        <v>0.7963289498198739</v>
      </c>
      <c r="L6" s="683">
        <f>H6/$I6</f>
        <v>0.20367105018012605</v>
      </c>
      <c r="M6" s="713"/>
    </row>
    <row r="7" spans="1:13">
      <c r="B7" s="972" t="s">
        <v>4</v>
      </c>
      <c r="C7" s="170">
        <v>0.51531426096879196</v>
      </c>
      <c r="D7" s="170">
        <v>0.43705845266826959</v>
      </c>
      <c r="E7" s="170">
        <v>0.49536601060126756</v>
      </c>
      <c r="G7" s="170">
        <f>G6/G$5</f>
        <v>0.51986536129741223</v>
      </c>
      <c r="H7" s="170">
        <f>H6/H$5</f>
        <v>0.40042794375521301</v>
      </c>
      <c r="I7" s="170">
        <f>I6/I$5</f>
        <v>0.49009231822648563</v>
      </c>
      <c r="K7" s="693">
        <v>0.5</v>
      </c>
      <c r="L7" s="693">
        <v>0.4</v>
      </c>
      <c r="M7" s="319">
        <f>(K6*K7)+(L6*L7)</f>
        <v>0.47963289498198736</v>
      </c>
    </row>
    <row r="8" spans="1:13">
      <c r="B8" s="146" t="s">
        <v>581</v>
      </c>
      <c r="C8" s="891">
        <v>11896.742999999999</v>
      </c>
      <c r="D8" s="891">
        <v>4923.9660000000003</v>
      </c>
      <c r="E8" s="891">
        <v>16820.708999999999</v>
      </c>
      <c r="G8" s="891">
        <f>XLSmart!N682</f>
        <v>12074.334999999999</v>
      </c>
      <c r="H8" s="891">
        <f>XLSmart!N721+XLSmart!N722</f>
        <v>4882.1260000000002</v>
      </c>
      <c r="I8" s="1024">
        <f>G8+H8</f>
        <v>16956.460999999999</v>
      </c>
    </row>
    <row r="9" spans="1:13" s="683" customFormat="1">
      <c r="B9" s="147" t="s">
        <v>77</v>
      </c>
      <c r="C9" s="891">
        <v>5529.2570000000014</v>
      </c>
      <c r="D9" s="891">
        <v>132.47599999999966</v>
      </c>
      <c r="E9" s="891">
        <v>5661.7330000000011</v>
      </c>
      <c r="G9" s="892">
        <f>G6-G8</f>
        <v>5804.6650000000009</v>
      </c>
      <c r="H9" s="892">
        <f>H6-H8</f>
        <v>-309.34900000000016</v>
      </c>
      <c r="I9" s="892">
        <f>I6-I8</f>
        <v>5495.3160000000025</v>
      </c>
    </row>
    <row r="10" spans="1:13">
      <c r="B10" s="972" t="s">
        <v>583</v>
      </c>
      <c r="C10" s="170">
        <v>0.16350883648924139</v>
      </c>
      <c r="D10" s="170">
        <v>1.1450691133346637E-2</v>
      </c>
      <c r="E10" s="170">
        <v>0.12474757365323336</v>
      </c>
      <c r="G10" s="170">
        <f>G9/G$5</f>
        <v>0.16878149043209598</v>
      </c>
      <c r="H10" s="170">
        <f>H9/H$5</f>
        <v>-2.7089006083771731E-2</v>
      </c>
      <c r="I10" s="170">
        <f>I9/I$5</f>
        <v>0.11995541189577551</v>
      </c>
    </row>
    <row r="11" spans="1:13">
      <c r="B11" s="146" t="s">
        <v>173</v>
      </c>
      <c r="C11" s="891">
        <v>-3072.3409999999999</v>
      </c>
      <c r="D11" s="891">
        <v>-1326.2819999999999</v>
      </c>
      <c r="E11" s="891">
        <v>-4398.6229999999996</v>
      </c>
      <c r="G11" s="891">
        <f>XLSmart!N686</f>
        <v>-3112.8020000000001</v>
      </c>
      <c r="H11" s="891">
        <f>XLSmart!N725</f>
        <v>-1317.934</v>
      </c>
      <c r="I11" s="1026">
        <f t="shared" ref="I11:I16" si="0">G11+H11</f>
        <v>-4430.7359999999999</v>
      </c>
    </row>
    <row r="12" spans="1:13">
      <c r="B12" s="146" t="s">
        <v>355</v>
      </c>
      <c r="C12" s="891">
        <v>87.397999999999996</v>
      </c>
      <c r="D12" s="891">
        <v>28.624000000000002</v>
      </c>
      <c r="E12" s="891">
        <v>116.02199999999999</v>
      </c>
      <c r="G12" s="891">
        <f>XLSmart!N687</f>
        <v>80.256</v>
      </c>
      <c r="H12" s="891">
        <f>XLSmart!N726</f>
        <v>33.415999999999997</v>
      </c>
      <c r="I12" s="1026">
        <f t="shared" si="0"/>
        <v>113.672</v>
      </c>
    </row>
    <row r="13" spans="1:13">
      <c r="B13" s="146" t="s">
        <v>501</v>
      </c>
      <c r="C13" s="891">
        <v>-336.42000000000189</v>
      </c>
      <c r="D13" s="891">
        <v>953.846</v>
      </c>
      <c r="E13" s="891">
        <v>617.42599999999811</v>
      </c>
      <c r="G13" s="891">
        <f>XLSmart!N689</f>
        <v>-344.89400000000023</v>
      </c>
      <c r="H13" s="891">
        <f>XLSmart!N728</f>
        <v>307.50399999999996</v>
      </c>
      <c r="I13" s="1026">
        <f t="shared" si="0"/>
        <v>-37.390000000000271</v>
      </c>
    </row>
    <row r="14" spans="1:13">
      <c r="B14" s="146" t="s">
        <v>999</v>
      </c>
      <c r="C14" s="891">
        <v>2207.8939999999998</v>
      </c>
      <c r="D14" s="891">
        <v>-211.33600000000001</v>
      </c>
      <c r="E14" s="891">
        <v>1996.5579999999998</v>
      </c>
      <c r="G14" s="891">
        <f>XLSmart!N690</f>
        <v>2427.2249999999999</v>
      </c>
      <c r="H14" s="891">
        <f>XLSmart!N729</f>
        <v>-1286.3630000000001</v>
      </c>
      <c r="I14" s="1026">
        <f t="shared" si="0"/>
        <v>1140.8619999999999</v>
      </c>
    </row>
    <row r="15" spans="1:13">
      <c r="B15" s="146" t="s">
        <v>809</v>
      </c>
      <c r="C15" s="891">
        <v>-607.09699999999975</v>
      </c>
      <c r="D15" s="891">
        <v>-305.69900000000007</v>
      </c>
      <c r="E15" s="891">
        <v>-912.79599999999982</v>
      </c>
      <c r="G15" s="891">
        <f>XLSmart!N691</f>
        <v>-579.59399999999994</v>
      </c>
      <c r="H15" s="891">
        <f>XLSmart!N730</f>
        <v>-8.6129999999999995</v>
      </c>
      <c r="I15" s="1026">
        <f t="shared" si="0"/>
        <v>-588.20699999999988</v>
      </c>
    </row>
    <row r="16" spans="1:13" s="683" customFormat="1">
      <c r="B16" s="147" t="s">
        <v>416</v>
      </c>
      <c r="C16" s="891">
        <v>1600.797</v>
      </c>
      <c r="D16" s="891">
        <v>-517.00099999999998</v>
      </c>
      <c r="E16" s="891">
        <v>1083.796</v>
      </c>
      <c r="G16" s="892">
        <f>XLSmart!N692</f>
        <v>1847.6309999999999</v>
      </c>
      <c r="H16" s="892">
        <f>XLSmart!N731</f>
        <v>-1294.9760000000001</v>
      </c>
      <c r="I16" s="1026">
        <f t="shared" si="0"/>
        <v>552.65499999999975</v>
      </c>
    </row>
    <row r="17" spans="1:9">
      <c r="B17" s="972" t="s">
        <v>768</v>
      </c>
      <c r="C17" s="170">
        <v>4.7338088087688468E-2</v>
      </c>
      <c r="D17" s="170">
        <v>-4.4687481254199697E-2</v>
      </c>
      <c r="E17" s="170">
        <v>2.3879776975544355E-2</v>
      </c>
      <c r="G17" s="170">
        <f>G16/G$5</f>
        <v>5.3723326660288555E-2</v>
      </c>
      <c r="H17" s="170">
        <f>H16/H$5</f>
        <v>-0.11339817727659818</v>
      </c>
      <c r="I17" s="170">
        <f>I16/I$5</f>
        <v>1.2063720841760465E-2</v>
      </c>
    </row>
    <row r="18" spans="1:9">
      <c r="B18" s="146"/>
      <c r="C18" s="146"/>
      <c r="D18" s="146"/>
      <c r="E18" s="146"/>
      <c r="G18" s="146"/>
      <c r="H18" s="146"/>
    </row>
    <row r="19" spans="1:9">
      <c r="B19" s="146" t="s">
        <v>1070</v>
      </c>
      <c r="C19" s="891">
        <v>12698</v>
      </c>
      <c r="D19" s="891">
        <v>6031.6299999999992</v>
      </c>
      <c r="E19" s="891">
        <v>18729.629999999997</v>
      </c>
      <c r="G19" s="891">
        <f>XLSmart!N699</f>
        <v>12493.376</v>
      </c>
      <c r="H19" s="891">
        <f>XLSmart!N736</f>
        <v>6920.9529999999995</v>
      </c>
      <c r="I19" s="1026">
        <f>G19+H19</f>
        <v>19414.328999999998</v>
      </c>
    </row>
    <row r="20" spans="1:9">
      <c r="B20" s="146" t="s">
        <v>1069</v>
      </c>
      <c r="C20" s="891">
        <v>1835</v>
      </c>
      <c r="D20" s="891">
        <v>2103</v>
      </c>
      <c r="E20" s="891">
        <v>3938</v>
      </c>
      <c r="G20" s="891">
        <f>XLSmart!N701</f>
        <v>1386.6369999999999</v>
      </c>
      <c r="H20" s="891">
        <f>XLSmart!N738</f>
        <v>155.31100000000001</v>
      </c>
      <c r="I20" s="1026">
        <f>G20+H20</f>
        <v>1541.9479999999999</v>
      </c>
    </row>
    <row r="21" spans="1:9">
      <c r="B21" s="146" t="s">
        <v>1019</v>
      </c>
      <c r="C21" s="891">
        <v>10863</v>
      </c>
      <c r="D21" s="891">
        <v>3928.6299999999992</v>
      </c>
      <c r="E21" s="891">
        <v>14791.629999999997</v>
      </c>
      <c r="G21" s="891">
        <f>G19-G20</f>
        <v>11106.739</v>
      </c>
      <c r="H21" s="891">
        <f>H19-H20</f>
        <v>6765.6419999999998</v>
      </c>
      <c r="I21" s="891">
        <f>I19-I20</f>
        <v>17872.380999999998</v>
      </c>
    </row>
    <row r="22" spans="1:9">
      <c r="B22" s="146" t="s">
        <v>978</v>
      </c>
      <c r="C22" s="891">
        <v>33946</v>
      </c>
      <c r="D22" s="891">
        <v>11385.37</v>
      </c>
      <c r="E22" s="891">
        <v>45331.37</v>
      </c>
      <c r="G22" s="891">
        <f>XLSmart!N700</f>
        <v>33594.637999999999</v>
      </c>
      <c r="H22" s="891">
        <f>XLSmart!N737</f>
        <v>11185.642</v>
      </c>
      <c r="I22" s="1026">
        <f>G22+H22</f>
        <v>44780.28</v>
      </c>
    </row>
    <row r="23" spans="1:9">
      <c r="B23" s="146" t="s">
        <v>150</v>
      </c>
      <c r="C23" s="891">
        <v>44809</v>
      </c>
      <c r="D23" s="891">
        <v>15314</v>
      </c>
      <c r="E23" s="891">
        <v>60123</v>
      </c>
      <c r="G23" s="891">
        <f>G21+G22</f>
        <v>44701.377</v>
      </c>
      <c r="H23" s="891">
        <f>H21+H22</f>
        <v>17951.284</v>
      </c>
      <c r="I23" s="1026">
        <f>G23+H23</f>
        <v>62652.661</v>
      </c>
    </row>
    <row r="24" spans="1:9">
      <c r="B24" s="146" t="s">
        <v>1071</v>
      </c>
      <c r="C24" s="948">
        <v>2.5713875817743603</v>
      </c>
      <c r="D24" s="948">
        <v>3.0286118183497406</v>
      </c>
      <c r="E24" s="948">
        <v>2.6742201759043791</v>
      </c>
      <c r="G24" s="948">
        <f>G23/G6</f>
        <v>2.5002168465797863</v>
      </c>
      <c r="H24" s="948">
        <f>H23/H6</f>
        <v>3.925685420478628</v>
      </c>
      <c r="I24" s="948">
        <f>I23/I6</f>
        <v>2.7905435280245299</v>
      </c>
    </row>
    <row r="25" spans="1:9" ht="15" thickBot="1"/>
    <row r="26" spans="1:9">
      <c r="A26" s="319" t="s">
        <v>615</v>
      </c>
      <c r="B26" s="973" t="s">
        <v>1276</v>
      </c>
      <c r="C26" s="973" t="s">
        <v>524</v>
      </c>
      <c r="D26" s="973" t="s">
        <v>856</v>
      </c>
      <c r="E26" s="989" t="s">
        <v>1083</v>
      </c>
      <c r="G26" s="973" t="s">
        <v>524</v>
      </c>
      <c r="H26" s="973" t="s">
        <v>856</v>
      </c>
      <c r="I26" s="989" t="s">
        <v>1083</v>
      </c>
    </row>
    <row r="27" spans="1:9">
      <c r="B27" s="988" t="s">
        <v>895</v>
      </c>
      <c r="C27" s="988"/>
      <c r="D27" s="988"/>
      <c r="E27" s="990"/>
      <c r="G27" s="988"/>
      <c r="H27" s="988"/>
      <c r="I27" s="990"/>
    </row>
    <row r="28" spans="1:9" hidden="1" outlineLevel="1">
      <c r="E28" s="991"/>
      <c r="I28" s="991"/>
    </row>
    <row r="29" spans="1:9" hidden="1" outlineLevel="1">
      <c r="B29" s="974" t="s">
        <v>687</v>
      </c>
      <c r="C29" s="976">
        <f>C5/1000</f>
        <v>33.816258000000005</v>
      </c>
      <c r="D29" s="976">
        <f t="shared" ref="C29:E30" si="1">D5/1000</f>
        <v>11.569258000000001</v>
      </c>
      <c r="E29" s="992">
        <f t="shared" si="1"/>
        <v>45.385516000000003</v>
      </c>
      <c r="G29" s="976">
        <f>G5/1000</f>
        <v>34.391597000000004</v>
      </c>
      <c r="H29" s="976">
        <f t="shared" ref="H29:I29" si="2">H5/1000</f>
        <v>11.419725</v>
      </c>
      <c r="I29" s="992">
        <f t="shared" si="2"/>
        <v>45.811321999999997</v>
      </c>
    </row>
    <row r="30" spans="1:9" hidden="1" outlineLevel="1">
      <c r="B30" s="77" t="s">
        <v>2</v>
      </c>
      <c r="C30" s="977">
        <f t="shared" si="1"/>
        <v>17.425999999999998</v>
      </c>
      <c r="D30" s="977">
        <f t="shared" si="1"/>
        <v>5.0564419999999997</v>
      </c>
      <c r="E30" s="993">
        <f t="shared" si="1"/>
        <v>22.482441999999999</v>
      </c>
      <c r="G30" s="977">
        <f t="shared" ref="G30:I30" si="3">G6/1000</f>
        <v>17.879000000000001</v>
      </c>
      <c r="H30" s="977">
        <f t="shared" si="3"/>
        <v>4.5727770000000003</v>
      </c>
      <c r="I30" s="993">
        <f t="shared" si="3"/>
        <v>22.451777000000003</v>
      </c>
    </row>
    <row r="31" spans="1:9" hidden="1" outlineLevel="1">
      <c r="B31" s="978" t="s">
        <v>4</v>
      </c>
      <c r="C31" s="979">
        <f>C30/C$29</f>
        <v>0.51531426096879185</v>
      </c>
      <c r="D31" s="979">
        <f>D30/D$29</f>
        <v>0.43705845266826959</v>
      </c>
      <c r="E31" s="994">
        <f>E30/E$29</f>
        <v>0.49536601060126756</v>
      </c>
      <c r="G31" s="979">
        <f>G30/G$29</f>
        <v>0.51986536129741223</v>
      </c>
      <c r="H31" s="979">
        <f>H30/H$29</f>
        <v>0.40042794375521307</v>
      </c>
      <c r="I31" s="994">
        <f>I30/I$29</f>
        <v>0.49009231822648569</v>
      </c>
    </row>
    <row r="32" spans="1:9" hidden="1" outlineLevel="1">
      <c r="B32" t="s">
        <v>581</v>
      </c>
      <c r="C32" s="980">
        <f t="shared" ref="C32:E33" si="4">C8/1000</f>
        <v>11.896742999999999</v>
      </c>
      <c r="D32" s="980">
        <f t="shared" si="4"/>
        <v>4.9239660000000001</v>
      </c>
      <c r="E32" s="995">
        <f t="shared" si="4"/>
        <v>16.820708999999997</v>
      </c>
      <c r="G32" s="980">
        <f t="shared" ref="G32:I32" si="5">G8/1000</f>
        <v>12.074335</v>
      </c>
      <c r="H32" s="980">
        <f t="shared" si="5"/>
        <v>4.8821260000000004</v>
      </c>
      <c r="I32" s="995">
        <f t="shared" si="5"/>
        <v>16.956461000000001</v>
      </c>
    </row>
    <row r="33" spans="2:9" hidden="1" outlineLevel="1">
      <c r="B33" s="1071" t="s">
        <v>77</v>
      </c>
      <c r="C33" s="1072">
        <f t="shared" si="4"/>
        <v>5.5292570000000012</v>
      </c>
      <c r="D33" s="1072">
        <f t="shared" si="4"/>
        <v>0.13247599999999965</v>
      </c>
      <c r="E33" s="1073">
        <f t="shared" si="4"/>
        <v>5.6617330000000008</v>
      </c>
      <c r="F33" s="684"/>
      <c r="G33" s="1072">
        <f t="shared" ref="G33:I33" si="6">G9/1000</f>
        <v>5.8046650000000009</v>
      </c>
      <c r="H33" s="1072">
        <f t="shared" si="6"/>
        <v>-0.30934900000000015</v>
      </c>
      <c r="I33" s="1073">
        <f t="shared" si="6"/>
        <v>5.4953160000000025</v>
      </c>
    </row>
    <row r="34" spans="2:9" hidden="1" outlineLevel="1">
      <c r="B34" s="981" t="s">
        <v>583</v>
      </c>
      <c r="C34" s="982">
        <f>C33/C$29</f>
        <v>0.16350883648924136</v>
      </c>
      <c r="D34" s="982">
        <f>D33/D$29</f>
        <v>1.1450691133346637E-2</v>
      </c>
      <c r="E34" s="996">
        <f>E33/E$29</f>
        <v>0.12474757365323334</v>
      </c>
      <c r="G34" s="982">
        <f>G33/G$29</f>
        <v>0.16878149043209595</v>
      </c>
      <c r="H34" s="982">
        <f>H33/H$29</f>
        <v>-2.7089006083771735E-2</v>
      </c>
      <c r="I34" s="996">
        <f>I33/I$29</f>
        <v>0.11995541189577552</v>
      </c>
    </row>
    <row r="35" spans="2:9" hidden="1" outlineLevel="1">
      <c r="B35" s="975" t="s">
        <v>173</v>
      </c>
      <c r="C35" s="983">
        <f t="shared" ref="C35:E40" si="7">C11/1000</f>
        <v>-3.0723409999999998</v>
      </c>
      <c r="D35" s="983">
        <f t="shared" si="7"/>
        <v>-1.326282</v>
      </c>
      <c r="E35" s="997">
        <f t="shared" si="7"/>
        <v>-4.3986229999999997</v>
      </c>
      <c r="G35" s="983">
        <f t="shared" ref="G35:I35" si="8">G11/1000</f>
        <v>-3.1128020000000003</v>
      </c>
      <c r="H35" s="983">
        <f t="shared" si="8"/>
        <v>-1.3179339999999999</v>
      </c>
      <c r="I35" s="997">
        <f t="shared" si="8"/>
        <v>-4.4307359999999996</v>
      </c>
    </row>
    <row r="36" spans="2:9" hidden="1" outlineLevel="1">
      <c r="B36" t="s">
        <v>355</v>
      </c>
      <c r="C36" s="980">
        <f t="shared" si="7"/>
        <v>8.739799999999999E-2</v>
      </c>
      <c r="D36" s="980">
        <f t="shared" si="7"/>
        <v>2.8624000000000004E-2</v>
      </c>
      <c r="E36" s="995">
        <f t="shared" si="7"/>
        <v>0.11602199999999999</v>
      </c>
      <c r="G36" s="980">
        <f t="shared" ref="G36:I36" si="9">G12/1000</f>
        <v>8.0255999999999994E-2</v>
      </c>
      <c r="H36" s="980">
        <f t="shared" si="9"/>
        <v>3.3415999999999994E-2</v>
      </c>
      <c r="I36" s="995">
        <f t="shared" si="9"/>
        <v>0.113672</v>
      </c>
    </row>
    <row r="37" spans="2:9" hidden="1" outlineLevel="1">
      <c r="B37" s="975" t="s">
        <v>501</v>
      </c>
      <c r="C37" s="983">
        <f t="shared" si="7"/>
        <v>-0.33642000000000188</v>
      </c>
      <c r="D37" s="983">
        <f t="shared" si="7"/>
        <v>0.95384599999999997</v>
      </c>
      <c r="E37" s="997">
        <f t="shared" si="7"/>
        <v>0.61742599999999814</v>
      </c>
      <c r="G37" s="983">
        <f t="shared" ref="G37:I37" si="10">G13/1000</f>
        <v>-0.34489400000000026</v>
      </c>
      <c r="H37" s="983">
        <f t="shared" si="10"/>
        <v>0.30750399999999994</v>
      </c>
      <c r="I37" s="997">
        <f t="shared" si="10"/>
        <v>-3.739000000000027E-2</v>
      </c>
    </row>
    <row r="38" spans="2:9" hidden="1" outlineLevel="1">
      <c r="B38" s="865" t="s">
        <v>799</v>
      </c>
      <c r="C38" s="1074">
        <f t="shared" si="7"/>
        <v>2.2078939999999996</v>
      </c>
      <c r="D38" s="1074">
        <f t="shared" si="7"/>
        <v>-0.21133600000000002</v>
      </c>
      <c r="E38" s="1075">
        <f t="shared" si="7"/>
        <v>1.9965579999999998</v>
      </c>
      <c r="F38" s="698"/>
      <c r="G38" s="1074">
        <f t="shared" ref="G38:I38" si="11">G14/1000</f>
        <v>2.427225</v>
      </c>
      <c r="H38" s="1074">
        <f t="shared" si="11"/>
        <v>-1.2863630000000001</v>
      </c>
      <c r="I38" s="1075">
        <f t="shared" si="11"/>
        <v>1.1408619999999998</v>
      </c>
    </row>
    <row r="39" spans="2:9" hidden="1" outlineLevel="1">
      <c r="B39" s="975" t="s">
        <v>809</v>
      </c>
      <c r="C39" s="983">
        <f t="shared" si="7"/>
        <v>-0.60709699999999978</v>
      </c>
      <c r="D39" s="983">
        <f t="shared" si="7"/>
        <v>-0.30569900000000005</v>
      </c>
      <c r="E39" s="997">
        <f t="shared" si="7"/>
        <v>-0.91279599999999983</v>
      </c>
      <c r="G39" s="983">
        <f t="shared" ref="G39:I39" si="12">G15/1000</f>
        <v>-0.57959399999999994</v>
      </c>
      <c r="H39" s="983">
        <f t="shared" si="12"/>
        <v>-8.6129999999999991E-3</v>
      </c>
      <c r="I39" s="997">
        <f t="shared" si="12"/>
        <v>-0.58820699999999992</v>
      </c>
    </row>
    <row r="40" spans="2:9" ht="15" hidden="1" outlineLevel="1" thickBot="1">
      <c r="B40" s="1068" t="s">
        <v>416</v>
      </c>
      <c r="C40" s="1069">
        <f t="shared" si="7"/>
        <v>1.600797</v>
      </c>
      <c r="D40" s="1069">
        <f t="shared" si="7"/>
        <v>-0.51700099999999993</v>
      </c>
      <c r="E40" s="1070">
        <f t="shared" si="7"/>
        <v>1.083796</v>
      </c>
      <c r="F40" s="1018"/>
      <c r="G40" s="1069">
        <f t="shared" ref="G40:I40" si="13">G16/1000</f>
        <v>1.8476309999999998</v>
      </c>
      <c r="H40" s="1069">
        <f t="shared" si="13"/>
        <v>-1.2949760000000001</v>
      </c>
      <c r="I40" s="1070">
        <f t="shared" si="13"/>
        <v>0.55265499999999979</v>
      </c>
    </row>
    <row r="41" spans="2:9" ht="15" hidden="1" outlineLevel="1" thickTop="1">
      <c r="B41" s="978" t="s">
        <v>768</v>
      </c>
      <c r="C41" s="979">
        <f>C40/C$29</f>
        <v>4.7338088087688468E-2</v>
      </c>
      <c r="D41" s="979">
        <f>D40/D$29</f>
        <v>-4.4687481254199697E-2</v>
      </c>
      <c r="E41" s="994">
        <f>E40/E$29</f>
        <v>2.3879776975544355E-2</v>
      </c>
      <c r="G41" s="979">
        <f>G40/G$29</f>
        <v>5.3723326660288548E-2</v>
      </c>
      <c r="H41" s="979">
        <f>H40/H$29</f>
        <v>-0.11339817727659818</v>
      </c>
      <c r="I41" s="994">
        <f>I40/I$29</f>
        <v>1.2063720841760467E-2</v>
      </c>
    </row>
    <row r="42" spans="2:9" collapsed="1">
      <c r="B42"/>
      <c r="C42"/>
      <c r="D42"/>
      <c r="E42" s="998"/>
      <c r="G42"/>
      <c r="H42"/>
      <c r="I42" s="998"/>
    </row>
    <row r="43" spans="2:9">
      <c r="B43" s="984" t="s">
        <v>1070</v>
      </c>
      <c r="C43" s="983">
        <f>C19/1000</f>
        <v>12.698</v>
      </c>
      <c r="D43" s="983">
        <f t="shared" ref="D43:E43" si="14">D19/1000</f>
        <v>6.0316299999999989</v>
      </c>
      <c r="E43" s="997">
        <f t="shared" si="14"/>
        <v>18.729629999999997</v>
      </c>
      <c r="G43" s="983">
        <f>G19/1000</f>
        <v>12.493376</v>
      </c>
      <c r="H43" s="983">
        <f t="shared" ref="H43:I43" si="15">H19/1000</f>
        <v>6.9209529999999999</v>
      </c>
      <c r="I43" s="997">
        <f t="shared" si="15"/>
        <v>19.414328999999999</v>
      </c>
    </row>
    <row r="44" spans="2:9">
      <c r="B44" s="789" t="s">
        <v>1069</v>
      </c>
      <c r="C44" s="980">
        <f t="shared" ref="C44:E47" si="16">C20/1000</f>
        <v>1.835</v>
      </c>
      <c r="D44" s="980">
        <f t="shared" si="16"/>
        <v>2.1030000000000002</v>
      </c>
      <c r="E44" s="995">
        <f t="shared" si="16"/>
        <v>3.9380000000000002</v>
      </c>
      <c r="G44" s="980">
        <f t="shared" ref="G44:I44" si="17">G20/1000</f>
        <v>1.3866369999999999</v>
      </c>
      <c r="H44" s="980">
        <f t="shared" si="17"/>
        <v>0.155311</v>
      </c>
      <c r="I44" s="995">
        <f t="shared" si="17"/>
        <v>1.5419479999999999</v>
      </c>
    </row>
    <row r="45" spans="2:9">
      <c r="B45" s="985" t="s">
        <v>1019</v>
      </c>
      <c r="C45" s="976">
        <f t="shared" si="16"/>
        <v>10.863</v>
      </c>
      <c r="D45" s="976">
        <f t="shared" si="16"/>
        <v>3.9286299999999992</v>
      </c>
      <c r="E45" s="992">
        <f t="shared" si="16"/>
        <v>14.791629999999998</v>
      </c>
      <c r="G45" s="976">
        <f t="shared" ref="G45:I45" si="18">G21/1000</f>
        <v>11.106738999999999</v>
      </c>
      <c r="H45" s="976">
        <f t="shared" si="18"/>
        <v>6.7656419999999997</v>
      </c>
      <c r="I45" s="992">
        <f t="shared" si="18"/>
        <v>17.872380999999997</v>
      </c>
    </row>
    <row r="46" spans="2:9">
      <c r="B46" s="789" t="s">
        <v>978</v>
      </c>
      <c r="C46" s="980">
        <f t="shared" si="16"/>
        <v>33.945999999999998</v>
      </c>
      <c r="D46" s="980">
        <f t="shared" si="16"/>
        <v>11.38537</v>
      </c>
      <c r="E46" s="995">
        <f t="shared" si="16"/>
        <v>45.33137</v>
      </c>
      <c r="G46" s="980">
        <f t="shared" ref="G46:I46" si="19">G22/1000</f>
        <v>33.594637999999996</v>
      </c>
      <c r="H46" s="980">
        <f t="shared" si="19"/>
        <v>11.185642</v>
      </c>
      <c r="I46" s="995">
        <f t="shared" si="19"/>
        <v>44.780279999999998</v>
      </c>
    </row>
    <row r="47" spans="2:9">
      <c r="B47" s="985" t="s">
        <v>150</v>
      </c>
      <c r="C47" s="976">
        <f t="shared" si="16"/>
        <v>44.808999999999997</v>
      </c>
      <c r="D47" s="976">
        <f t="shared" si="16"/>
        <v>15.314</v>
      </c>
      <c r="E47" s="992">
        <f t="shared" si="16"/>
        <v>60.122999999999998</v>
      </c>
      <c r="G47" s="976">
        <f t="shared" ref="G47:I47" si="20">G23/1000</f>
        <v>44.701377000000001</v>
      </c>
      <c r="H47" s="976">
        <f t="shared" si="20"/>
        <v>17.951284000000001</v>
      </c>
      <c r="I47" s="992">
        <f t="shared" si="20"/>
        <v>62.652661000000002</v>
      </c>
    </row>
    <row r="48" spans="2:9" ht="15" thickBot="1">
      <c r="B48" s="986" t="s">
        <v>1071</v>
      </c>
      <c r="C48" s="987">
        <f>C47/C30</f>
        <v>2.5713875817743603</v>
      </c>
      <c r="D48" s="987">
        <f t="shared" ref="D48:E48" si="21">D47/D30</f>
        <v>3.028611818349741</v>
      </c>
      <c r="E48" s="999">
        <f t="shared" si="21"/>
        <v>2.6742201759043791</v>
      </c>
      <c r="G48" s="987">
        <f>G47/G30</f>
        <v>2.5002168465797863</v>
      </c>
      <c r="H48" s="987">
        <f t="shared" ref="H48:I48" si="22">H47/H30</f>
        <v>3.925685420478628</v>
      </c>
      <c r="I48" s="999">
        <f t="shared" si="22"/>
        <v>2.7905435280245299</v>
      </c>
    </row>
    <row r="50" spans="1:5">
      <c r="A50" s="319" t="s">
        <v>615</v>
      </c>
      <c r="B50" s="683" t="s">
        <v>1114</v>
      </c>
      <c r="C50" s="683" t="s">
        <v>895</v>
      </c>
      <c r="D50" s="683" t="s">
        <v>1179</v>
      </c>
    </row>
    <row r="51" spans="1:5">
      <c r="B51" s="319" t="s">
        <v>524</v>
      </c>
      <c r="C51" s="1000">
        <v>29.67</v>
      </c>
      <c r="D51" s="1000">
        <f>C51*1000/16000</f>
        <v>1.8543750000000001</v>
      </c>
    </row>
    <row r="52" spans="1:5">
      <c r="B52" s="319" t="s">
        <v>856</v>
      </c>
      <c r="C52" s="1000">
        <v>10.96</v>
      </c>
      <c r="D52" s="1000">
        <f t="shared" ref="D52:D56" si="23">C52*1000/16000</f>
        <v>0.68500000000000005</v>
      </c>
    </row>
    <row r="53" spans="1:5">
      <c r="B53" s="698" t="s">
        <v>878</v>
      </c>
      <c r="C53" s="1001">
        <f>C51+C52</f>
        <v>40.630000000000003</v>
      </c>
      <c r="D53" s="1001">
        <f t="shared" si="23"/>
        <v>2.5393750000000002</v>
      </c>
    </row>
    <row r="54" spans="1:5">
      <c r="B54" s="319" t="s">
        <v>150</v>
      </c>
      <c r="C54" s="1000">
        <f>E47</f>
        <v>60.122999999999998</v>
      </c>
      <c r="D54" s="1000">
        <f t="shared" si="23"/>
        <v>3.7576874999999998</v>
      </c>
    </row>
    <row r="55" spans="1:5">
      <c r="B55" s="698" t="s">
        <v>1119</v>
      </c>
      <c r="C55" s="1001">
        <f>C53+C54</f>
        <v>100.753</v>
      </c>
      <c r="D55" s="1001">
        <f>C55*1000/16000</f>
        <v>6.2970625</v>
      </c>
    </row>
    <row r="56" spans="1:5">
      <c r="B56" s="319" t="s">
        <v>897</v>
      </c>
      <c r="C56" s="1000">
        <f>E30</f>
        <v>22.482441999999999</v>
      </c>
      <c r="D56" s="1000">
        <f t="shared" si="23"/>
        <v>1.4051526249999999</v>
      </c>
    </row>
    <row r="57" spans="1:5">
      <c r="B57" s="319" t="s">
        <v>1178</v>
      </c>
      <c r="C57" s="1000">
        <f>C55/C56</f>
        <v>4.4814082028989555</v>
      </c>
      <c r="D57" s="1000">
        <f>D55/D56</f>
        <v>4.4814082028989555</v>
      </c>
    </row>
    <row r="59" spans="1:5">
      <c r="B59" s="683" t="s">
        <v>1180</v>
      </c>
    </row>
    <row r="60" spans="1:5">
      <c r="A60" s="319" t="s">
        <v>615</v>
      </c>
      <c r="B60" s="683" t="s">
        <v>895</v>
      </c>
      <c r="C60" s="683" t="s">
        <v>150</v>
      </c>
      <c r="D60" s="683" t="s">
        <v>897</v>
      </c>
      <c r="E60" s="683" t="s">
        <v>1071</v>
      </c>
    </row>
    <row r="61" spans="1:5">
      <c r="B61" s="319" t="s">
        <v>510</v>
      </c>
      <c r="C61" s="686">
        <v>50.08</v>
      </c>
      <c r="D61" s="686">
        <v>52.555</v>
      </c>
      <c r="E61" s="686">
        <f>C61/D61</f>
        <v>0.95290647892683855</v>
      </c>
    </row>
    <row r="62" spans="1:5">
      <c r="B62" s="319" t="s">
        <v>511</v>
      </c>
      <c r="C62" s="686">
        <v>49.805</v>
      </c>
      <c r="D62" s="686">
        <v>26.472000000000001</v>
      </c>
      <c r="E62" s="686">
        <f t="shared" ref="E62:E63" si="24">C62/D62</f>
        <v>1.8814218797219702</v>
      </c>
    </row>
    <row r="63" spans="1:5">
      <c r="B63" s="319" t="s">
        <v>904</v>
      </c>
      <c r="C63" s="686">
        <f>E47</f>
        <v>60.122999999999998</v>
      </c>
      <c r="D63" s="686">
        <f>E30</f>
        <v>22.482441999999999</v>
      </c>
      <c r="E63" s="686">
        <f t="shared" si="24"/>
        <v>2.6742201759043791</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D2E5-9D42-4C48-9360-D4973387B65B}">
  <sheetPr codeName="Sheet22">
    <tabColor rgb="FFC00000"/>
  </sheetPr>
  <dimension ref="A1:AE743"/>
  <sheetViews>
    <sheetView zoomScale="70" zoomScaleNormal="70" workbookViewId="0">
      <pane xSplit="2" ySplit="7" topLeftCell="F468" activePane="bottomRight" state="frozen"/>
      <selection pane="topRight" activeCell="C1" sqref="C1"/>
      <selection pane="bottomLeft" activeCell="A7" sqref="A7"/>
      <selection pane="bottomRight" activeCell="W485" sqref="W485"/>
    </sheetView>
  </sheetViews>
  <sheetFormatPr defaultColWidth="8.90625" defaultRowHeight="13" outlineLevelRow="1" outlineLevelCol="1"/>
  <cols>
    <col min="1" max="1" width="2.6328125" style="146" customWidth="1"/>
    <col min="2" max="2" width="38.36328125" style="146" bestFit="1" customWidth="1"/>
    <col min="3" max="3" width="10.08984375" style="891" customWidth="1"/>
    <col min="4" max="4" width="8.90625" style="891" customWidth="1"/>
    <col min="5" max="8" width="8.90625" style="891" customWidth="1" outlineLevel="1"/>
    <col min="9" max="9" width="8.90625" style="891" customWidth="1"/>
    <col min="10" max="13" width="8.90625" style="891" hidden="1" customWidth="1" outlineLevel="1"/>
    <col min="14" max="14" width="8.90625" style="891" customWidth="1" collapsed="1"/>
    <col min="15" max="15" width="8.90625" style="891" customWidth="1"/>
    <col min="16" max="19" width="8.90625" style="891"/>
    <col min="20" max="20" width="9.36328125" style="891" bestFit="1" customWidth="1"/>
    <col min="21" max="24" width="8.90625" style="891"/>
    <col min="25" max="25" width="21.6328125" style="891" bestFit="1" customWidth="1"/>
    <col min="26" max="16384" width="8.90625" style="891"/>
  </cols>
  <sheetData>
    <row r="1" spans="1:25" s="146" customFormat="1">
      <c r="I1" s="146" t="s">
        <v>260</v>
      </c>
      <c r="N1" s="175">
        <f>N365</f>
        <v>1.2063720841760465E-2</v>
      </c>
      <c r="O1" s="175">
        <f t="shared" ref="O1:T1" ca="1" si="0">O365</f>
        <v>3.2916060249800642E-2</v>
      </c>
      <c r="P1" s="175">
        <f t="shared" ca="1" si="0"/>
        <v>4.2151989690817654E-2</v>
      </c>
      <c r="Q1" s="175">
        <f t="shared" ca="1" si="0"/>
        <v>5.933106535812932E-2</v>
      </c>
      <c r="R1" s="175">
        <f t="shared" ca="1" si="0"/>
        <v>8.8016346697640579E-2</v>
      </c>
      <c r="S1" s="175">
        <f t="shared" ca="1" si="0"/>
        <v>9.8331108625829305E-2</v>
      </c>
      <c r="T1" s="175">
        <f t="shared" ca="1" si="0"/>
        <v>0.10772165942772612</v>
      </c>
      <c r="Y1" s="891">
        <f ca="1">$C$213</f>
        <v>6338.7505774560514</v>
      </c>
    </row>
    <row r="2" spans="1:25" s="146" customFormat="1">
      <c r="I2" s="146" t="s">
        <v>162</v>
      </c>
      <c r="N2" s="175">
        <f>N382</f>
        <v>0.18696033264440612</v>
      </c>
      <c r="O2" s="175">
        <f t="shared" ref="O2:T2" si="1">O382</f>
        <v>0.21735007340751072</v>
      </c>
      <c r="P2" s="175">
        <f t="shared" si="1"/>
        <v>0.20933943574798611</v>
      </c>
      <c r="Q2" s="175">
        <f t="shared" si="1"/>
        <v>0.18620749813624329</v>
      </c>
      <c r="R2" s="175">
        <f t="shared" si="1"/>
        <v>0.15699359955610637</v>
      </c>
      <c r="S2" s="175">
        <f t="shared" si="1"/>
        <v>0.15303168653996763</v>
      </c>
      <c r="T2" s="175">
        <f t="shared" si="1"/>
        <v>0.15381993629198135</v>
      </c>
    </row>
    <row r="3" spans="1:25" s="899" customFormat="1" ht="14.5">
      <c r="A3" s="146"/>
      <c r="B3" s="904" t="s">
        <v>1044</v>
      </c>
      <c r="C3" s="905"/>
      <c r="D3" s="898"/>
      <c r="E3" s="897"/>
      <c r="F3" s="897"/>
      <c r="G3" s="897"/>
      <c r="H3" s="897"/>
      <c r="I3" s="898"/>
      <c r="J3" s="897"/>
      <c r="K3" s="897"/>
      <c r="L3" s="897"/>
      <c r="M3" s="897"/>
      <c r="N3" s="903"/>
      <c r="O3" s="903" t="s">
        <v>418</v>
      </c>
      <c r="P3" s="902"/>
      <c r="Q3" s="902"/>
      <c r="R3" s="902"/>
      <c r="S3" s="902"/>
      <c r="T3" s="902"/>
      <c r="W3" s="898"/>
    </row>
    <row r="4" spans="1:25" s="899" customFormat="1">
      <c r="A4" s="146" t="s">
        <v>615</v>
      </c>
      <c r="B4" s="906" t="s">
        <v>591</v>
      </c>
      <c r="C4" s="907"/>
      <c r="D4" s="901">
        <v>2022</v>
      </c>
      <c r="E4" s="900" t="s">
        <v>1053</v>
      </c>
      <c r="F4" s="900" t="s">
        <v>1054</v>
      </c>
      <c r="G4" s="900" t="s">
        <v>1055</v>
      </c>
      <c r="H4" s="900" t="s">
        <v>1057</v>
      </c>
      <c r="I4" s="901">
        <f>D4+1</f>
        <v>2023</v>
      </c>
      <c r="J4" s="900" t="s">
        <v>1050</v>
      </c>
      <c r="K4" s="900" t="s">
        <v>1051</v>
      </c>
      <c r="L4" s="900" t="s">
        <v>1052</v>
      </c>
      <c r="M4" s="900" t="s">
        <v>1088</v>
      </c>
      <c r="N4" s="901">
        <f>I4+1</f>
        <v>2024</v>
      </c>
      <c r="O4" s="920">
        <f>N4+1</f>
        <v>2025</v>
      </c>
      <c r="P4" s="920">
        <f>O4+1</f>
        <v>2026</v>
      </c>
      <c r="Q4" s="920">
        <f t="shared" ref="Q4:S4" si="2">P4+1</f>
        <v>2027</v>
      </c>
      <c r="R4" s="920">
        <f t="shared" si="2"/>
        <v>2028</v>
      </c>
      <c r="S4" s="920">
        <f t="shared" si="2"/>
        <v>2029</v>
      </c>
      <c r="T4" s="920">
        <f t="shared" ref="T4" si="3">S4+1</f>
        <v>2030</v>
      </c>
      <c r="V4" s="200" t="s">
        <v>693</v>
      </c>
      <c r="W4" s="901" t="s">
        <v>1058</v>
      </c>
    </row>
    <row r="5" spans="1:25" s="146" customFormat="1"/>
    <row r="6" spans="1:25" s="146" customFormat="1">
      <c r="O6" s="147"/>
    </row>
    <row r="7" spans="1:25" s="146" customFormat="1"/>
    <row r="8" spans="1:25" s="146" customFormat="1">
      <c r="A8" s="146" t="s">
        <v>615</v>
      </c>
      <c r="B8" s="894" t="s">
        <v>613</v>
      </c>
      <c r="C8" s="895"/>
      <c r="D8" s="895"/>
      <c r="E8" s="895"/>
      <c r="F8" s="895"/>
      <c r="G8" s="895"/>
      <c r="H8" s="895"/>
      <c r="I8" s="895"/>
      <c r="J8" s="895"/>
      <c r="K8" s="895"/>
      <c r="L8" s="895"/>
      <c r="M8" s="895"/>
      <c r="N8" s="895"/>
      <c r="O8" s="895"/>
      <c r="P8" s="895"/>
      <c r="Q8" s="895"/>
      <c r="R8" s="895"/>
      <c r="S8" s="895"/>
      <c r="T8" s="895"/>
      <c r="W8" s="895"/>
    </row>
    <row r="9" spans="1:25" s="146" customFormat="1"/>
    <row r="10" spans="1:25" s="146" customFormat="1">
      <c r="B10" s="147" t="s">
        <v>1066</v>
      </c>
    </row>
    <row r="11" spans="1:25" s="146" customFormat="1">
      <c r="B11" s="146" t="s">
        <v>503</v>
      </c>
      <c r="C11" s="908">
        <v>16200</v>
      </c>
    </row>
    <row r="12" spans="1:25" s="146" customFormat="1">
      <c r="B12" s="147"/>
    </row>
    <row r="13" spans="1:25" s="146" customFormat="1">
      <c r="B13" s="147" t="s">
        <v>406</v>
      </c>
      <c r="C13" s="277">
        <v>0.22</v>
      </c>
      <c r="I13" s="278">
        <v>0.22</v>
      </c>
      <c r="J13" s="278">
        <v>0.22</v>
      </c>
      <c r="K13" s="278">
        <v>0.22</v>
      </c>
      <c r="L13" s="278">
        <v>0.22</v>
      </c>
      <c r="M13" s="278">
        <v>0.22</v>
      </c>
      <c r="N13" s="278">
        <v>0.22</v>
      </c>
      <c r="O13" s="278">
        <v>0.22</v>
      </c>
      <c r="P13" s="278">
        <v>0.22</v>
      </c>
      <c r="Q13" s="278">
        <v>0.22</v>
      </c>
      <c r="R13" s="278">
        <v>0.22</v>
      </c>
      <c r="S13" s="278">
        <v>0.22</v>
      </c>
      <c r="T13" s="278">
        <v>0.22</v>
      </c>
      <c r="W13" s="278">
        <v>0.22</v>
      </c>
    </row>
    <row r="14" spans="1:25" s="146" customFormat="1">
      <c r="B14" s="147"/>
      <c r="C14" s="175"/>
    </row>
    <row r="15" spans="1:25" s="146" customFormat="1">
      <c r="B15" s="147" t="s">
        <v>279</v>
      </c>
      <c r="C15" s="175"/>
    </row>
    <row r="16" spans="1:25" s="146" customFormat="1">
      <c r="B16" s="146" t="s">
        <v>251</v>
      </c>
      <c r="C16" s="277">
        <f>DCF!$B$46</f>
        <v>0.106223</v>
      </c>
    </row>
    <row r="17" spans="2:23" s="146" customFormat="1">
      <c r="B17" s="146" t="s">
        <v>1107</v>
      </c>
      <c r="C17" s="277">
        <f>DCF!$B$47</f>
        <v>0.02</v>
      </c>
    </row>
    <row r="18" spans="2:23" s="146" customFormat="1">
      <c r="B18" s="147"/>
    </row>
    <row r="19" spans="2:23" s="146" customFormat="1">
      <c r="B19" s="147" t="s">
        <v>1087</v>
      </c>
      <c r="N19" s="926">
        <v>0</v>
      </c>
      <c r="O19" s="926">
        <v>0.5</v>
      </c>
      <c r="P19" s="926">
        <f>100%</f>
        <v>1</v>
      </c>
      <c r="Q19" s="926">
        <f>100%</f>
        <v>1</v>
      </c>
      <c r="R19" s="926">
        <f>100%</f>
        <v>1</v>
      </c>
      <c r="S19" s="926">
        <f>100%</f>
        <v>1</v>
      </c>
      <c r="T19" s="926">
        <f>100%</f>
        <v>1</v>
      </c>
      <c r="V19" s="147" t="s">
        <v>1086</v>
      </c>
      <c r="W19" s="926"/>
    </row>
    <row r="20" spans="2:23" s="146" customFormat="1">
      <c r="B20" s="147"/>
    </row>
    <row r="21" spans="2:23" s="146" customFormat="1">
      <c r="B21" s="249" t="s">
        <v>579</v>
      </c>
      <c r="C21" s="222"/>
      <c r="D21" s="222"/>
      <c r="E21" s="222"/>
      <c r="F21" s="222"/>
      <c r="G21" s="222"/>
      <c r="H21" s="222"/>
      <c r="I21" s="222"/>
      <c r="J21" s="222"/>
      <c r="K21" s="222"/>
      <c r="L21" s="222"/>
      <c r="M21" s="222"/>
      <c r="N21" s="222"/>
      <c r="O21" s="222"/>
      <c r="P21" s="222"/>
      <c r="Q21" s="222"/>
      <c r="R21" s="222"/>
      <c r="S21" s="222"/>
      <c r="T21" s="222"/>
    </row>
    <row r="22" spans="2:23" s="146" customFormat="1">
      <c r="B22" s="147"/>
    </row>
    <row r="23" spans="2:23" s="146" customFormat="1">
      <c r="B23" s="147" t="s">
        <v>88</v>
      </c>
    </row>
    <row r="24" spans="2:23" s="146" customFormat="1">
      <c r="B24" s="146" t="s">
        <v>524</v>
      </c>
      <c r="N24" s="170">
        <f>N609/I609-1</f>
        <v>6.4009168059884658E-2</v>
      </c>
      <c r="O24" s="170">
        <f>O609/N609-1</f>
        <v>3.4773023910131151E-2</v>
      </c>
      <c r="P24" s="170">
        <f t="shared" ref="P24:T24" si="4">P609/O609-1</f>
        <v>2.770843132643197E-2</v>
      </c>
      <c r="Q24" s="170">
        <f t="shared" si="4"/>
        <v>2.8010043334651957E-2</v>
      </c>
      <c r="R24" s="170">
        <f t="shared" si="4"/>
        <v>2.3907944310888052E-2</v>
      </c>
      <c r="S24" s="170">
        <f t="shared" si="4"/>
        <v>2.4094090185227346E-2</v>
      </c>
      <c r="T24" s="170">
        <f t="shared" si="4"/>
        <v>2.427119019480517E-2</v>
      </c>
    </row>
    <row r="25" spans="2:23" s="146" customFormat="1">
      <c r="B25" s="146" t="s">
        <v>856</v>
      </c>
      <c r="N25" s="170">
        <f>N711/I711-1</f>
        <v>-2.024613176651302E-2</v>
      </c>
      <c r="O25" s="225">
        <f>O24</f>
        <v>3.4773023910131151E-2</v>
      </c>
      <c r="P25" s="225">
        <f t="shared" ref="P25:T25" si="5">P24</f>
        <v>2.770843132643197E-2</v>
      </c>
      <c r="Q25" s="225">
        <f t="shared" si="5"/>
        <v>2.8010043334651957E-2</v>
      </c>
      <c r="R25" s="225">
        <f t="shared" si="5"/>
        <v>2.3907944310888052E-2</v>
      </c>
      <c r="S25" s="225">
        <f t="shared" si="5"/>
        <v>2.4094090185227346E-2</v>
      </c>
      <c r="T25" s="225">
        <f t="shared" si="5"/>
        <v>2.427119019480517E-2</v>
      </c>
      <c r="V25" s="146" t="s">
        <v>1059</v>
      </c>
    </row>
    <row r="26" spans="2:23" s="146" customFormat="1"/>
    <row r="27" spans="2:23" s="146" customFormat="1">
      <c r="B27" s="147" t="s">
        <v>4</v>
      </c>
    </row>
    <row r="28" spans="2:23" s="146" customFormat="1">
      <c r="B28" s="146" t="s">
        <v>524</v>
      </c>
      <c r="E28" s="170">
        <f t="shared" ref="E28:I28" si="6">E615/E609</f>
        <v>0.47473780110672342</v>
      </c>
      <c r="F28" s="170">
        <f t="shared" si="6"/>
        <v>0.49518065940442257</v>
      </c>
      <c r="G28" s="170">
        <f t="shared" si="6"/>
        <v>0.50633836162826473</v>
      </c>
      <c r="H28" s="170">
        <f t="shared" si="6"/>
        <v>0.48847720130240074</v>
      </c>
      <c r="I28" s="170">
        <f t="shared" si="6"/>
        <v>0.49145102609312574</v>
      </c>
      <c r="J28" s="170">
        <f t="shared" ref="J28:L28" si="7">J615/J609</f>
        <v>0.52783237352139678</v>
      </c>
      <c r="K28" s="170">
        <f t="shared" si="7"/>
        <v>0.52279541249637762</v>
      </c>
      <c r="L28" s="170">
        <f t="shared" si="7"/>
        <v>0.52215368478765001</v>
      </c>
      <c r="M28" s="170"/>
      <c r="W28" s="170">
        <f>W615/W609</f>
        <v>0.51531426096879196</v>
      </c>
    </row>
    <row r="29" spans="2:23" s="146" customFormat="1">
      <c r="B29" s="146" t="s">
        <v>856</v>
      </c>
      <c r="D29" s="170"/>
      <c r="E29" s="170">
        <f>E720/E711</f>
        <v>0.45334995453783949</v>
      </c>
      <c r="F29" s="170">
        <f t="shared" ref="F29:N29" si="8">F720/F711</f>
        <v>0.44098152400787183</v>
      </c>
      <c r="G29" s="170">
        <f t="shared" si="8"/>
        <v>0.44609064950326538</v>
      </c>
      <c r="H29" s="170">
        <f t="shared" si="8"/>
        <v>0.44794347446212579</v>
      </c>
      <c r="I29" s="170">
        <f t="shared" si="8"/>
        <v>0.44707786090729107</v>
      </c>
      <c r="J29" s="170">
        <f t="shared" si="8"/>
        <v>0.44657987782386122</v>
      </c>
      <c r="K29" s="170">
        <f t="shared" si="8"/>
        <v>0.44751095091406445</v>
      </c>
      <c r="L29" s="170">
        <f t="shared" si="8"/>
        <v>0.40722841024936601</v>
      </c>
      <c r="M29" s="170"/>
      <c r="N29" s="170">
        <f t="shared" si="8"/>
        <v>0.40042794375521301</v>
      </c>
      <c r="O29" s="277">
        <v>0.40100000000000002</v>
      </c>
      <c r="P29" s="277">
        <f>O29+0.1%</f>
        <v>0.40200000000000002</v>
      </c>
      <c r="Q29" s="277">
        <f>P29+0.5%</f>
        <v>0.40700000000000003</v>
      </c>
      <c r="R29" s="277">
        <f>Q29+1%</f>
        <v>0.41700000000000004</v>
      </c>
      <c r="S29" s="277">
        <f t="shared" ref="S29:T29" si="9">R29+1%</f>
        <v>0.42700000000000005</v>
      </c>
      <c r="T29" s="277">
        <f t="shared" si="9"/>
        <v>0.43700000000000006</v>
      </c>
      <c r="W29" s="170">
        <f>W616/W610</f>
        <v>0.43705845266826959</v>
      </c>
    </row>
    <row r="30" spans="2:23" s="146" customFormat="1"/>
    <row r="31" spans="2:23" s="146" customFormat="1">
      <c r="B31" s="147" t="s">
        <v>1080</v>
      </c>
    </row>
    <row r="32" spans="2:23" s="146" customFormat="1">
      <c r="B32" s="146" t="s">
        <v>524</v>
      </c>
    </row>
    <row r="33" spans="2:23" s="146" customFormat="1">
      <c r="B33" s="146" t="s">
        <v>856</v>
      </c>
      <c r="N33" s="170">
        <f>N721/N$711</f>
        <v>0.41623655560882594</v>
      </c>
      <c r="O33" s="256">
        <f>N33</f>
        <v>0.41623655560882594</v>
      </c>
      <c r="P33" s="256">
        <f t="shared" ref="P33:T33" si="10">O33</f>
        <v>0.41623655560882594</v>
      </c>
      <c r="Q33" s="256">
        <f t="shared" si="10"/>
        <v>0.41623655560882594</v>
      </c>
      <c r="R33" s="256">
        <f t="shared" si="10"/>
        <v>0.41623655560882594</v>
      </c>
      <c r="S33" s="256">
        <f t="shared" si="10"/>
        <v>0.41623655560882594</v>
      </c>
      <c r="T33" s="256">
        <f t="shared" si="10"/>
        <v>0.41623655560882594</v>
      </c>
      <c r="W33" s="170">
        <f>W554/W552</f>
        <v>0.3706184369480342</v>
      </c>
    </row>
    <row r="34" spans="2:23" s="146" customFormat="1">
      <c r="B34" s="146" t="s">
        <v>904</v>
      </c>
      <c r="I34" s="170">
        <f t="shared" ref="I34:N34" si="11">I554/I552</f>
        <v>0.35107757714551313</v>
      </c>
      <c r="J34" s="170">
        <f t="shared" si="11"/>
        <v>0.35637798438900797</v>
      </c>
      <c r="K34" s="170">
        <f t="shared" si="11"/>
        <v>0.36764243533730101</v>
      </c>
      <c r="L34" s="170">
        <f t="shared" si="11"/>
        <v>0.34898831670600577</v>
      </c>
      <c r="M34" s="170"/>
      <c r="N34" s="170">
        <f t="shared" ca="1" si="11"/>
        <v>0.37</v>
      </c>
      <c r="O34" s="277">
        <v>0.37</v>
      </c>
      <c r="P34" s="277">
        <v>0.37</v>
      </c>
      <c r="Q34" s="277">
        <v>0.37</v>
      </c>
      <c r="R34" s="277">
        <v>0.37</v>
      </c>
      <c r="S34" s="277">
        <v>0.37</v>
      </c>
      <c r="T34" s="277">
        <v>0.37</v>
      </c>
      <c r="W34" s="170"/>
    </row>
    <row r="35" spans="2:23" s="146" customFormat="1">
      <c r="I35" s="170"/>
      <c r="J35" s="170"/>
      <c r="K35" s="170"/>
      <c r="L35" s="170"/>
      <c r="M35" s="170"/>
      <c r="N35" s="170"/>
      <c r="O35" s="1020"/>
      <c r="P35" s="1020"/>
      <c r="Q35" s="1020"/>
      <c r="R35" s="1020"/>
      <c r="S35" s="1020"/>
      <c r="T35" s="1020"/>
      <c r="W35" s="170"/>
    </row>
    <row r="36" spans="2:23" s="146" customFormat="1">
      <c r="B36" s="147" t="s">
        <v>1233</v>
      </c>
    </row>
    <row r="37" spans="2:23" s="146" customFormat="1">
      <c r="B37" s="146" t="s">
        <v>524</v>
      </c>
    </row>
    <row r="38" spans="2:23" s="146" customFormat="1">
      <c r="B38" s="146" t="s">
        <v>856</v>
      </c>
      <c r="I38" s="170">
        <f>I722/I$711</f>
        <v>1.1034421933013421E-2</v>
      </c>
      <c r="N38" s="170">
        <f>N722/N$711</f>
        <v>1.128039423015878E-2</v>
      </c>
      <c r="O38" s="256">
        <f>N38</f>
        <v>1.128039423015878E-2</v>
      </c>
      <c r="P38" s="256">
        <f t="shared" ref="P38:T38" si="12">O38</f>
        <v>1.128039423015878E-2</v>
      </c>
      <c r="Q38" s="256">
        <f t="shared" si="12"/>
        <v>1.128039423015878E-2</v>
      </c>
      <c r="R38" s="256">
        <f t="shared" si="12"/>
        <v>1.128039423015878E-2</v>
      </c>
      <c r="S38" s="256">
        <f t="shared" si="12"/>
        <v>1.128039423015878E-2</v>
      </c>
      <c r="T38" s="256">
        <f t="shared" si="12"/>
        <v>1.128039423015878E-2</v>
      </c>
    </row>
    <row r="39" spans="2:23" s="146" customFormat="1">
      <c r="B39" s="146" t="s">
        <v>904</v>
      </c>
    </row>
    <row r="40" spans="2:23" s="146" customFormat="1"/>
    <row r="41" spans="2:23" s="146" customFormat="1">
      <c r="B41" s="146" t="s">
        <v>1160</v>
      </c>
      <c r="N41" s="277">
        <v>0.06</v>
      </c>
      <c r="O41" s="277">
        <v>0.06</v>
      </c>
      <c r="P41" s="277">
        <v>0.06</v>
      </c>
      <c r="Q41" s="277">
        <v>0.06</v>
      </c>
      <c r="R41" s="277">
        <v>0.06</v>
      </c>
      <c r="S41" s="277">
        <v>0.06</v>
      </c>
      <c r="T41" s="277">
        <v>0.06</v>
      </c>
    </row>
    <row r="42" spans="2:23" s="146" customFormat="1"/>
    <row r="43" spans="2:23" s="146" customFormat="1">
      <c r="B43" s="146" t="s">
        <v>406</v>
      </c>
      <c r="N43" s="964">
        <f>$C$13</f>
        <v>0.22</v>
      </c>
      <c r="O43" s="964">
        <f t="shared" ref="O43:T43" si="13">$C$13</f>
        <v>0.22</v>
      </c>
      <c r="P43" s="964">
        <f t="shared" si="13"/>
        <v>0.22</v>
      </c>
      <c r="Q43" s="964">
        <f t="shared" si="13"/>
        <v>0.22</v>
      </c>
      <c r="R43" s="964">
        <f t="shared" si="13"/>
        <v>0.22</v>
      </c>
      <c r="S43" s="964">
        <f t="shared" si="13"/>
        <v>0.22</v>
      </c>
      <c r="T43" s="964">
        <f t="shared" si="13"/>
        <v>0.22</v>
      </c>
    </row>
    <row r="44" spans="2:23" s="146" customFormat="1"/>
    <row r="45" spans="2:23" s="146" customFormat="1">
      <c r="B45" s="147" t="s">
        <v>248</v>
      </c>
    </row>
    <row r="46" spans="2:23" s="146" customFormat="1">
      <c r="B46" s="146" t="s">
        <v>524</v>
      </c>
    </row>
    <row r="47" spans="2:23" s="146" customFormat="1">
      <c r="B47" s="146" t="s">
        <v>856</v>
      </c>
      <c r="N47" s="923">
        <v>2098.0274399999998</v>
      </c>
      <c r="O47" s="923">
        <v>2194.184419535291</v>
      </c>
      <c r="P47" s="923">
        <v>2286.0661396017986</v>
      </c>
      <c r="Q47" s="923">
        <v>2373.0970002293188</v>
      </c>
      <c r="R47" s="923">
        <v>2453.2048872589944</v>
      </c>
      <c r="S47" s="923">
        <v>2536.3362697329389</v>
      </c>
      <c r="T47" s="923">
        <v>2622.5886850752381</v>
      </c>
      <c r="V47" s="146" t="s">
        <v>1181</v>
      </c>
    </row>
    <row r="48" spans="2:23" s="146" customFormat="1">
      <c r="N48" s="916"/>
      <c r="O48" s="916"/>
      <c r="P48" s="916"/>
      <c r="Q48" s="916"/>
      <c r="R48" s="916"/>
      <c r="S48" s="916"/>
      <c r="T48" s="916"/>
    </row>
    <row r="49" spans="1:22" s="146" customFormat="1">
      <c r="N49" s="916"/>
      <c r="O49" s="916"/>
      <c r="P49" s="916"/>
      <c r="Q49" s="916"/>
      <c r="R49" s="916"/>
      <c r="S49" s="916"/>
      <c r="T49" s="916"/>
    </row>
    <row r="50" spans="1:22" s="146" customFormat="1">
      <c r="N50" s="891"/>
      <c r="O50" s="891"/>
      <c r="P50" s="891"/>
      <c r="Q50" s="891"/>
      <c r="R50" s="891"/>
      <c r="S50" s="891"/>
      <c r="T50" s="891"/>
    </row>
    <row r="51" spans="1:22" s="146" customFormat="1">
      <c r="A51" s="146" t="s">
        <v>615</v>
      </c>
      <c r="B51" s="968" t="s">
        <v>1275</v>
      </c>
      <c r="C51" s="1065"/>
      <c r="D51" s="1065"/>
      <c r="E51" s="1065"/>
      <c r="F51" s="1065"/>
      <c r="G51" s="1065"/>
      <c r="H51" s="1065"/>
      <c r="I51" s="1065"/>
      <c r="J51" s="1065"/>
      <c r="K51" s="1065"/>
      <c r="L51" s="1065"/>
      <c r="M51" s="1065"/>
      <c r="N51" s="1066"/>
      <c r="O51" s="1067">
        <f>O$4</f>
        <v>2025</v>
      </c>
      <c r="P51" s="1067">
        <f t="shared" ref="P51:T51" si="14">P$4</f>
        <v>2026</v>
      </c>
      <c r="Q51" s="1067">
        <f t="shared" si="14"/>
        <v>2027</v>
      </c>
      <c r="R51" s="1067">
        <f t="shared" si="14"/>
        <v>2028</v>
      </c>
      <c r="S51" s="1067">
        <f t="shared" si="14"/>
        <v>2029</v>
      </c>
      <c r="T51" s="1067">
        <f t="shared" si="14"/>
        <v>2030</v>
      </c>
    </row>
    <row r="52" spans="1:22" s="146" customFormat="1">
      <c r="N52" s="891"/>
      <c r="O52" s="891"/>
      <c r="P52" s="891"/>
      <c r="Q52" s="891"/>
      <c r="R52" s="891"/>
      <c r="S52" s="891"/>
      <c r="T52" s="891"/>
    </row>
    <row r="53" spans="1:22" s="146" customFormat="1">
      <c r="B53" s="249" t="s">
        <v>1130</v>
      </c>
      <c r="N53" s="891"/>
      <c r="O53" s="891"/>
      <c r="P53" s="891"/>
      <c r="Q53" s="891"/>
      <c r="R53" s="891"/>
      <c r="S53" s="891"/>
      <c r="T53" s="891"/>
    </row>
    <row r="54" spans="1:22" s="146" customFormat="1">
      <c r="B54" s="147" t="s">
        <v>1064</v>
      </c>
      <c r="D54" s="896" t="s">
        <v>880</v>
      </c>
      <c r="E54" s="896" t="s">
        <v>881</v>
      </c>
      <c r="F54" s="147" t="s">
        <v>1068</v>
      </c>
      <c r="N54" s="891"/>
      <c r="O54" s="891">
        <f>$F$56</f>
        <v>5670</v>
      </c>
      <c r="P54" s="891">
        <f t="shared" ref="P54:T54" si="15">$F$56</f>
        <v>5670</v>
      </c>
      <c r="Q54" s="891">
        <f t="shared" si="15"/>
        <v>5670</v>
      </c>
      <c r="R54" s="891">
        <f t="shared" si="15"/>
        <v>5670</v>
      </c>
      <c r="S54" s="891">
        <f t="shared" si="15"/>
        <v>5670</v>
      </c>
      <c r="T54" s="891">
        <f t="shared" si="15"/>
        <v>5670</v>
      </c>
    </row>
    <row r="55" spans="1:22" s="146" customFormat="1">
      <c r="B55" s="146" t="s">
        <v>1065</v>
      </c>
      <c r="D55" s="910">
        <v>300</v>
      </c>
      <c r="E55" s="910">
        <v>400</v>
      </c>
      <c r="F55" s="911">
        <f>AVERAGE(D55,E55)</f>
        <v>350</v>
      </c>
      <c r="N55" s="891"/>
      <c r="O55" s="891"/>
      <c r="P55" s="891"/>
      <c r="Q55" s="891"/>
      <c r="R55" s="891"/>
      <c r="S55" s="891"/>
      <c r="T55" s="891"/>
    </row>
    <row r="56" spans="1:22" s="146" customFormat="1">
      <c r="B56" s="146" t="s">
        <v>591</v>
      </c>
      <c r="D56" s="911">
        <f>D55*$C$11/1000</f>
        <v>4860</v>
      </c>
      <c r="E56" s="911">
        <f>E55*$C$11/1000</f>
        <v>6480</v>
      </c>
      <c r="F56" s="911">
        <f>AVERAGE(D56,E56)</f>
        <v>5670</v>
      </c>
      <c r="N56" s="891"/>
      <c r="O56" s="891"/>
      <c r="P56" s="891"/>
      <c r="Q56" s="891"/>
      <c r="R56" s="891"/>
      <c r="S56" s="891"/>
      <c r="T56" s="891"/>
    </row>
    <row r="57" spans="1:22" s="146" customFormat="1">
      <c r="D57" s="911"/>
      <c r="E57" s="911"/>
      <c r="F57" s="911"/>
      <c r="N57" s="891"/>
      <c r="O57" s="891"/>
      <c r="P57" s="891"/>
      <c r="Q57" s="891"/>
      <c r="R57" s="891"/>
      <c r="S57" s="891"/>
      <c r="T57" s="891"/>
    </row>
    <row r="58" spans="1:22" s="146" customFormat="1">
      <c r="B58" s="147" t="s">
        <v>1126</v>
      </c>
      <c r="D58" s="911"/>
      <c r="E58" s="911"/>
      <c r="F58" s="911"/>
      <c r="N58" s="896"/>
      <c r="O58" s="896"/>
      <c r="P58" s="896"/>
      <c r="Q58" s="896"/>
      <c r="R58" s="896"/>
      <c r="S58" s="896"/>
      <c r="T58" s="896"/>
    </row>
    <row r="59" spans="1:22" s="146" customFormat="1">
      <c r="B59" s="146" t="s">
        <v>246</v>
      </c>
      <c r="D59" s="911"/>
      <c r="E59" s="911"/>
      <c r="F59" s="911"/>
      <c r="N59" s="950"/>
      <c r="O59" s="951">
        <v>0.2</v>
      </c>
      <c r="P59" s="951">
        <v>0.2</v>
      </c>
      <c r="Q59" s="951">
        <v>0.2</v>
      </c>
      <c r="R59" s="951">
        <v>0.2</v>
      </c>
      <c r="S59" s="951">
        <v>0.2</v>
      </c>
      <c r="T59" s="951">
        <v>0.2</v>
      </c>
      <c r="V59" s="146" t="s">
        <v>1315</v>
      </c>
    </row>
    <row r="60" spans="1:22" s="146" customFormat="1">
      <c r="B60" s="146" t="s">
        <v>1318</v>
      </c>
      <c r="D60" s="911"/>
      <c r="E60" s="911"/>
      <c r="F60" s="911"/>
      <c r="N60" s="950"/>
      <c r="O60" s="950">
        <f>1-O59-O61</f>
        <v>0.30000000000000004</v>
      </c>
      <c r="P60" s="950">
        <f t="shared" ref="P60:T60" si="16">1-P59-P61</f>
        <v>0.30000000000000004</v>
      </c>
      <c r="Q60" s="950">
        <f t="shared" si="16"/>
        <v>0.30000000000000004</v>
      </c>
      <c r="R60" s="950">
        <f t="shared" si="16"/>
        <v>0.30000000000000004</v>
      </c>
      <c r="S60" s="950">
        <f t="shared" si="16"/>
        <v>0.30000000000000004</v>
      </c>
      <c r="T60" s="950">
        <f t="shared" si="16"/>
        <v>0.30000000000000004</v>
      </c>
      <c r="V60" s="146" t="s">
        <v>1394</v>
      </c>
    </row>
    <row r="61" spans="1:22" s="146" customFormat="1">
      <c r="B61" s="146" t="s">
        <v>248</v>
      </c>
      <c r="D61" s="911"/>
      <c r="E61" s="911"/>
      <c r="F61" s="911"/>
      <c r="N61" s="952"/>
      <c r="O61" s="951">
        <v>0.5</v>
      </c>
      <c r="P61" s="951">
        <v>0.5</v>
      </c>
      <c r="Q61" s="951">
        <v>0.5</v>
      </c>
      <c r="R61" s="951">
        <v>0.5</v>
      </c>
      <c r="S61" s="951">
        <v>0.5</v>
      </c>
      <c r="T61" s="951">
        <v>0.5</v>
      </c>
    </row>
    <row r="62" spans="1:22" s="146" customFormat="1">
      <c r="D62" s="891"/>
      <c r="E62" s="891"/>
      <c r="F62" s="891"/>
      <c r="N62" s="891"/>
      <c r="O62" s="891"/>
      <c r="P62" s="891"/>
      <c r="Q62" s="891"/>
      <c r="R62" s="891"/>
      <c r="S62" s="891"/>
      <c r="T62" s="891"/>
    </row>
    <row r="63" spans="1:22" s="146" customFormat="1">
      <c r="B63" s="147" t="s">
        <v>1127</v>
      </c>
      <c r="C63" s="896" t="s">
        <v>1067</v>
      </c>
      <c r="D63" s="912" t="s">
        <v>880</v>
      </c>
      <c r="E63" s="912" t="s">
        <v>881</v>
      </c>
      <c r="F63" s="892" t="s">
        <v>1068</v>
      </c>
      <c r="N63" s="891"/>
      <c r="O63" s="891"/>
      <c r="P63" s="891"/>
      <c r="Q63" s="891"/>
      <c r="R63" s="891"/>
      <c r="S63" s="891"/>
      <c r="T63" s="891"/>
    </row>
    <row r="64" spans="1:22" s="146" customFormat="1">
      <c r="B64" s="146" t="s">
        <v>246</v>
      </c>
      <c r="C64" s="909">
        <f>1-C66-C65</f>
        <v>0.2</v>
      </c>
      <c r="D64" s="911">
        <f>D$56*$C64</f>
        <v>972</v>
      </c>
      <c r="E64" s="911">
        <f t="shared" ref="E64:F66" si="17">E$56*$C64</f>
        <v>1296</v>
      </c>
      <c r="F64" s="911">
        <f t="shared" si="17"/>
        <v>1134</v>
      </c>
      <c r="N64" s="891"/>
      <c r="O64" s="891">
        <f>O$54*O59</f>
        <v>1134</v>
      </c>
      <c r="P64" s="891">
        <f t="shared" ref="P64:T65" si="18">P$54*P59</f>
        <v>1134</v>
      </c>
      <c r="Q64" s="891">
        <f t="shared" si="18"/>
        <v>1134</v>
      </c>
      <c r="R64" s="891">
        <f t="shared" si="18"/>
        <v>1134</v>
      </c>
      <c r="S64" s="891">
        <f t="shared" si="18"/>
        <v>1134</v>
      </c>
      <c r="T64" s="891">
        <f t="shared" si="18"/>
        <v>1134</v>
      </c>
    </row>
    <row r="65" spans="2:22" s="146" customFormat="1">
      <c r="B65" s="146" t="s">
        <v>1318</v>
      </c>
      <c r="C65" s="917">
        <v>0.3</v>
      </c>
      <c r="D65" s="911">
        <f>D$56*$C65</f>
        <v>1458</v>
      </c>
      <c r="E65" s="911">
        <f t="shared" si="17"/>
        <v>1944</v>
      </c>
      <c r="F65" s="911">
        <f t="shared" si="17"/>
        <v>1701</v>
      </c>
      <c r="N65" s="891"/>
      <c r="O65" s="891">
        <f>O$54*O60</f>
        <v>1701.0000000000002</v>
      </c>
      <c r="P65" s="891">
        <f t="shared" si="18"/>
        <v>1701.0000000000002</v>
      </c>
      <c r="Q65" s="891">
        <f t="shared" si="18"/>
        <v>1701.0000000000002</v>
      </c>
      <c r="R65" s="891">
        <f t="shared" si="18"/>
        <v>1701.0000000000002</v>
      </c>
      <c r="S65" s="891">
        <f t="shared" si="18"/>
        <v>1701.0000000000002</v>
      </c>
      <c r="T65" s="891">
        <f t="shared" si="18"/>
        <v>1701.0000000000002</v>
      </c>
    </row>
    <row r="66" spans="2:22" s="146" customFormat="1">
      <c r="B66" s="146" t="s">
        <v>248</v>
      </c>
      <c r="C66" s="917">
        <v>0.5</v>
      </c>
      <c r="D66" s="911">
        <f>D$56*$C66</f>
        <v>2430</v>
      </c>
      <c r="E66" s="911">
        <f t="shared" si="17"/>
        <v>3240</v>
      </c>
      <c r="F66" s="911">
        <f t="shared" si="17"/>
        <v>2835</v>
      </c>
      <c r="N66" s="891"/>
      <c r="O66" s="891">
        <f>O$54*O61</f>
        <v>2835</v>
      </c>
      <c r="P66" s="891">
        <f t="shared" ref="P66:T66" si="19">P$54*P61</f>
        <v>2835</v>
      </c>
      <c r="Q66" s="891">
        <f t="shared" si="19"/>
        <v>2835</v>
      </c>
      <c r="R66" s="891">
        <f t="shared" si="19"/>
        <v>2835</v>
      </c>
      <c r="S66" s="891">
        <f t="shared" si="19"/>
        <v>2835</v>
      </c>
      <c r="T66" s="891">
        <f t="shared" si="19"/>
        <v>2835</v>
      </c>
    </row>
    <row r="67" spans="2:22" s="146" customFormat="1">
      <c r="N67" s="891"/>
      <c r="O67" s="891"/>
      <c r="P67" s="891"/>
      <c r="Q67" s="891"/>
      <c r="R67" s="891"/>
      <c r="S67" s="891"/>
      <c r="T67" s="891"/>
    </row>
    <row r="68" spans="2:22" s="146" customFormat="1">
      <c r="B68" s="147" t="s">
        <v>1104</v>
      </c>
      <c r="V68" s="146" t="s">
        <v>1460</v>
      </c>
    </row>
    <row r="69" spans="2:22" s="146" customFormat="1">
      <c r="B69" s="146" t="s">
        <v>246</v>
      </c>
      <c r="N69" s="926"/>
      <c r="O69" s="278">
        <v>0.1</v>
      </c>
      <c r="P69" s="278">
        <v>0.35</v>
      </c>
      <c r="Q69" s="278">
        <v>0.65</v>
      </c>
      <c r="R69" s="278">
        <v>1</v>
      </c>
      <c r="S69" s="278">
        <v>1</v>
      </c>
      <c r="T69" s="278">
        <v>1</v>
      </c>
    </row>
    <row r="70" spans="2:22" s="146" customFormat="1">
      <c r="B70" s="146" t="s">
        <v>1318</v>
      </c>
      <c r="N70" s="926"/>
      <c r="O70" s="278">
        <v>0.1</v>
      </c>
      <c r="P70" s="278">
        <v>0.35</v>
      </c>
      <c r="Q70" s="278">
        <v>0.65</v>
      </c>
      <c r="R70" s="278">
        <v>1</v>
      </c>
      <c r="S70" s="278">
        <v>1</v>
      </c>
      <c r="T70" s="278">
        <v>1</v>
      </c>
    </row>
    <row r="71" spans="2:22" s="146" customFormat="1">
      <c r="B71" s="146" t="s">
        <v>248</v>
      </c>
      <c r="N71" s="926"/>
      <c r="O71" s="278">
        <v>0.1</v>
      </c>
      <c r="P71" s="278">
        <v>0.35</v>
      </c>
      <c r="Q71" s="278">
        <v>0.65</v>
      </c>
      <c r="R71" s="278">
        <v>1</v>
      </c>
      <c r="S71" s="278">
        <v>1</v>
      </c>
      <c r="T71" s="278">
        <v>1</v>
      </c>
    </row>
    <row r="72" spans="2:22" s="146" customFormat="1">
      <c r="N72" s="926"/>
      <c r="O72" s="926"/>
      <c r="P72" s="187">
        <f>P71-O71</f>
        <v>0.24999999999999997</v>
      </c>
      <c r="Q72" s="187">
        <f t="shared" ref="Q72:T72" si="20">Q71-P71</f>
        <v>0.30000000000000004</v>
      </c>
      <c r="R72" s="187">
        <f t="shared" si="20"/>
        <v>0.35</v>
      </c>
      <c r="S72" s="187">
        <f t="shared" si="20"/>
        <v>0</v>
      </c>
      <c r="T72" s="187">
        <f t="shared" si="20"/>
        <v>0</v>
      </c>
    </row>
    <row r="73" spans="2:22" s="146" customFormat="1">
      <c r="B73" s="147" t="s">
        <v>1131</v>
      </c>
      <c r="N73" s="926"/>
      <c r="O73" s="926"/>
      <c r="P73" s="926"/>
      <c r="Q73" s="926"/>
      <c r="R73" s="926"/>
      <c r="S73" s="926"/>
      <c r="T73" s="926"/>
    </row>
    <row r="74" spans="2:22" s="146" customFormat="1">
      <c r="B74" s="146" t="s">
        <v>246</v>
      </c>
      <c r="N74" s="891"/>
      <c r="O74" s="891">
        <f>O64*O69</f>
        <v>113.4</v>
      </c>
      <c r="P74" s="891">
        <f t="shared" ref="O74:T75" si="21">P64*P69</f>
        <v>396.9</v>
      </c>
      <c r="Q74" s="891">
        <f t="shared" si="21"/>
        <v>737.1</v>
      </c>
      <c r="R74" s="891">
        <f t="shared" si="21"/>
        <v>1134</v>
      </c>
      <c r="S74" s="891">
        <f>S64*S69</f>
        <v>1134</v>
      </c>
      <c r="T74" s="891">
        <f t="shared" si="21"/>
        <v>1134</v>
      </c>
    </row>
    <row r="75" spans="2:22" s="146" customFormat="1">
      <c r="B75" s="146" t="s">
        <v>1318</v>
      </c>
      <c r="N75" s="891"/>
      <c r="O75" s="891">
        <f t="shared" si="21"/>
        <v>170.10000000000002</v>
      </c>
      <c r="P75" s="891">
        <f t="shared" si="21"/>
        <v>595.35</v>
      </c>
      <c r="Q75" s="891">
        <f t="shared" si="21"/>
        <v>1105.6500000000001</v>
      </c>
      <c r="R75" s="891">
        <f t="shared" si="21"/>
        <v>1701.0000000000002</v>
      </c>
      <c r="S75" s="891">
        <f t="shared" si="21"/>
        <v>1701.0000000000002</v>
      </c>
      <c r="T75" s="891">
        <f t="shared" si="21"/>
        <v>1701.0000000000002</v>
      </c>
    </row>
    <row r="76" spans="2:22" s="146" customFormat="1">
      <c r="B76" s="146" t="s">
        <v>248</v>
      </c>
      <c r="N76" s="891"/>
      <c r="O76" s="891">
        <f t="shared" ref="O76:S76" si="22">O66*O71</f>
        <v>283.5</v>
      </c>
      <c r="P76" s="891">
        <f>P66*P71</f>
        <v>992.24999999999989</v>
      </c>
      <c r="Q76" s="891">
        <f>Q66*Q71</f>
        <v>1842.75</v>
      </c>
      <c r="R76" s="891">
        <f t="shared" si="22"/>
        <v>2835</v>
      </c>
      <c r="S76" s="891">
        <f t="shared" si="22"/>
        <v>2835</v>
      </c>
      <c r="T76" s="891">
        <f>T66*T71</f>
        <v>2835</v>
      </c>
    </row>
    <row r="77" spans="2:22" s="146" customFormat="1">
      <c r="B77" s="148" t="s">
        <v>1359</v>
      </c>
      <c r="C77" s="149"/>
      <c r="D77" s="149"/>
      <c r="E77" s="149"/>
      <c r="F77" s="149"/>
      <c r="G77" s="149"/>
      <c r="H77" s="149"/>
      <c r="I77" s="149"/>
      <c r="J77" s="149"/>
      <c r="K77" s="149"/>
      <c r="L77" s="149"/>
      <c r="M77" s="149"/>
      <c r="N77" s="149"/>
      <c r="O77" s="947">
        <f>SUM(O74:O76)</f>
        <v>567</v>
      </c>
      <c r="P77" s="947">
        <f t="shared" ref="P77:T77" si="23">SUM(P74:P76)</f>
        <v>1984.5</v>
      </c>
      <c r="Q77" s="947">
        <f t="shared" si="23"/>
        <v>3685.5</v>
      </c>
      <c r="R77" s="947">
        <f t="shared" si="23"/>
        <v>5670</v>
      </c>
      <c r="S77" s="947">
        <f t="shared" si="23"/>
        <v>5670</v>
      </c>
      <c r="T77" s="947">
        <f t="shared" si="23"/>
        <v>5670</v>
      </c>
    </row>
    <row r="78" spans="2:22" s="146" customFormat="1">
      <c r="B78" s="147" t="s">
        <v>1358</v>
      </c>
      <c r="O78" s="892">
        <f t="shared" ref="O78:T78" si="24">O77/$C$11*1000</f>
        <v>35</v>
      </c>
      <c r="P78" s="892">
        <f t="shared" si="24"/>
        <v>122.5</v>
      </c>
      <c r="Q78" s="892">
        <f t="shared" si="24"/>
        <v>227.5</v>
      </c>
      <c r="R78" s="892">
        <f t="shared" si="24"/>
        <v>350</v>
      </c>
      <c r="S78" s="892">
        <f t="shared" si="24"/>
        <v>350</v>
      </c>
      <c r="T78" s="892">
        <f t="shared" si="24"/>
        <v>350</v>
      </c>
      <c r="U78" s="891"/>
    </row>
    <row r="79" spans="2:22" s="146" customFormat="1"/>
    <row r="80" spans="2:22" s="146" customFormat="1">
      <c r="B80" s="249" t="s">
        <v>1093</v>
      </c>
      <c r="N80" s="891"/>
      <c r="U80" s="891"/>
    </row>
    <row r="81" spans="2:22" s="146" customFormat="1">
      <c r="B81" s="146" t="s">
        <v>1363</v>
      </c>
      <c r="D81" s="896"/>
      <c r="E81" s="896"/>
      <c r="F81" s="147"/>
      <c r="N81" s="891"/>
      <c r="O81" s="278">
        <v>0.2</v>
      </c>
      <c r="P81" s="278">
        <v>0.4</v>
      </c>
      <c r="Q81" s="278">
        <v>0.3</v>
      </c>
      <c r="R81" s="278">
        <v>0.1</v>
      </c>
      <c r="S81" s="1082"/>
      <c r="T81" s="1082"/>
      <c r="U81" s="891"/>
      <c r="V81" s="146" t="s">
        <v>1367</v>
      </c>
    </row>
    <row r="82" spans="2:22" s="146" customFormat="1">
      <c r="D82" s="896"/>
      <c r="E82" s="896"/>
      <c r="F82" s="147"/>
      <c r="N82" s="891"/>
      <c r="O82" s="189"/>
      <c r="P82" s="189"/>
      <c r="Q82" s="189"/>
      <c r="R82" s="189"/>
      <c r="U82" s="891"/>
    </row>
    <row r="83" spans="2:22" s="146" customFormat="1">
      <c r="B83" s="147" t="s">
        <v>1093</v>
      </c>
      <c r="D83" s="896" t="s">
        <v>880</v>
      </c>
      <c r="E83" s="896" t="s">
        <v>881</v>
      </c>
      <c r="F83" s="147" t="s">
        <v>1068</v>
      </c>
      <c r="N83" s="891"/>
      <c r="U83" s="891"/>
    </row>
    <row r="84" spans="2:22" s="146" customFormat="1">
      <c r="B84" s="146" t="s">
        <v>1065</v>
      </c>
      <c r="D84" s="954">
        <v>210</v>
      </c>
      <c r="E84" s="954">
        <v>210</v>
      </c>
      <c r="F84" s="911">
        <f>AVERAGE(D84,E84)</f>
        <v>210</v>
      </c>
      <c r="O84" s="891">
        <f>$F$84*O81</f>
        <v>42</v>
      </c>
      <c r="P84" s="891">
        <f t="shared" ref="P84:R84" si="25">$F$84*P81</f>
        <v>84</v>
      </c>
      <c r="Q84" s="891">
        <f t="shared" si="25"/>
        <v>63</v>
      </c>
      <c r="R84" s="891">
        <f t="shared" si="25"/>
        <v>21</v>
      </c>
      <c r="S84" s="891"/>
      <c r="T84" s="891"/>
      <c r="U84" s="891"/>
    </row>
    <row r="85" spans="2:22" s="146" customFormat="1">
      <c r="B85" s="146" t="s">
        <v>591</v>
      </c>
      <c r="D85" s="911">
        <f>D84*$C$11/1000</f>
        <v>3402</v>
      </c>
      <c r="E85" s="911">
        <f>E84*$C$11/1000</f>
        <v>3402</v>
      </c>
      <c r="F85" s="911">
        <f>AVERAGE(D85,E85)</f>
        <v>3402</v>
      </c>
      <c r="O85" s="944">
        <f>O84*$C$11/1000</f>
        <v>680.4</v>
      </c>
      <c r="P85" s="944">
        <f t="shared" ref="P85:R85" si="26">P84*$C$11/1000</f>
        <v>1360.8</v>
      </c>
      <c r="Q85" s="944">
        <f t="shared" si="26"/>
        <v>1020.6</v>
      </c>
      <c r="R85" s="944">
        <f t="shared" si="26"/>
        <v>340.2</v>
      </c>
      <c r="S85" s="944"/>
      <c r="T85" s="944"/>
      <c r="U85" s="957"/>
    </row>
    <row r="86" spans="2:22" s="146" customFormat="1">
      <c r="B86" s="146" t="s">
        <v>1362</v>
      </c>
      <c r="O86" s="170">
        <f t="shared" ref="O86:T86" si="27">O85/O77</f>
        <v>1.2</v>
      </c>
      <c r="P86" s="170">
        <f t="shared" si="27"/>
        <v>0.68571428571428572</v>
      </c>
      <c r="Q86" s="170">
        <f t="shared" si="27"/>
        <v>0.27692307692307694</v>
      </c>
      <c r="R86" s="170">
        <f t="shared" si="27"/>
        <v>0.06</v>
      </c>
      <c r="S86" s="170">
        <f t="shared" si="27"/>
        <v>0</v>
      </c>
      <c r="T86" s="170">
        <f t="shared" si="27"/>
        <v>0</v>
      </c>
      <c r="V86" s="146" t="s">
        <v>1364</v>
      </c>
    </row>
    <row r="87" spans="2:22" s="146" customFormat="1">
      <c r="B87" s="147"/>
    </row>
    <row r="88" spans="2:22" s="146" customFormat="1">
      <c r="B88" s="147" t="s">
        <v>1128</v>
      </c>
      <c r="N88" s="896"/>
      <c r="O88" s="896"/>
      <c r="P88" s="896"/>
      <c r="Q88" s="896"/>
      <c r="R88" s="896"/>
      <c r="S88" s="896"/>
      <c r="T88" s="896"/>
    </row>
    <row r="89" spans="2:22" s="146" customFormat="1">
      <c r="B89" s="146" t="s">
        <v>246</v>
      </c>
      <c r="N89" s="950"/>
      <c r="O89" s="950">
        <f t="shared" ref="O89:T89" si="28">1-O90</f>
        <v>0.30000000000000004</v>
      </c>
      <c r="P89" s="950">
        <f t="shared" si="28"/>
        <v>0.30000000000000004</v>
      </c>
      <c r="Q89" s="950">
        <f t="shared" si="28"/>
        <v>0.30000000000000004</v>
      </c>
      <c r="R89" s="950">
        <f t="shared" si="28"/>
        <v>0.30000000000000004</v>
      </c>
      <c r="S89" s="950">
        <f t="shared" si="28"/>
        <v>0.30000000000000004</v>
      </c>
      <c r="T89" s="950">
        <f t="shared" si="28"/>
        <v>0.30000000000000004</v>
      </c>
    </row>
    <row r="90" spans="2:22" s="146" customFormat="1">
      <c r="B90" s="146" t="s">
        <v>248</v>
      </c>
      <c r="N90" s="952"/>
      <c r="O90" s="951">
        <v>0.7</v>
      </c>
      <c r="P90" s="951">
        <v>0.7</v>
      </c>
      <c r="Q90" s="951">
        <v>0.7</v>
      </c>
      <c r="R90" s="951">
        <v>0.7</v>
      </c>
      <c r="S90" s="951">
        <v>0.7</v>
      </c>
      <c r="T90" s="951">
        <v>0.7</v>
      </c>
    </row>
    <row r="91" spans="2:22" s="146" customFormat="1">
      <c r="B91" s="147"/>
    </row>
    <row r="92" spans="2:22" s="146" customFormat="1">
      <c r="B92" s="147" t="s">
        <v>1093</v>
      </c>
    </row>
    <row r="93" spans="2:22" s="146" customFormat="1">
      <c r="B93" s="146" t="s">
        <v>246</v>
      </c>
      <c r="N93" s="891"/>
      <c r="O93" s="891">
        <f t="shared" ref="O93:T93" si="29">O85*O89</f>
        <v>204.12000000000003</v>
      </c>
      <c r="P93" s="891">
        <f>P85*P89</f>
        <v>408.24000000000007</v>
      </c>
      <c r="Q93" s="891">
        <f t="shared" si="29"/>
        <v>306.18000000000006</v>
      </c>
      <c r="R93" s="891">
        <f t="shared" si="29"/>
        <v>102.06000000000002</v>
      </c>
      <c r="S93" s="891">
        <f t="shared" si="29"/>
        <v>0</v>
      </c>
      <c r="T93" s="891">
        <f t="shared" si="29"/>
        <v>0</v>
      </c>
    </row>
    <row r="94" spans="2:22" s="146" customFormat="1">
      <c r="B94" s="146" t="s">
        <v>248</v>
      </c>
      <c r="N94" s="891"/>
      <c r="O94" s="891">
        <f>O85*O90</f>
        <v>476.28</v>
      </c>
      <c r="P94" s="891">
        <f>P85*P90</f>
        <v>952.56</v>
      </c>
      <c r="Q94" s="891">
        <f>Q85*Q90</f>
        <v>714.42</v>
      </c>
      <c r="R94" s="891">
        <f t="shared" ref="R94:T94" si="30">R85*R90</f>
        <v>238.14</v>
      </c>
      <c r="S94" s="891">
        <f t="shared" si="30"/>
        <v>0</v>
      </c>
      <c r="T94" s="891">
        <f t="shared" si="30"/>
        <v>0</v>
      </c>
    </row>
    <row r="95" spans="2:22" s="146" customFormat="1">
      <c r="B95" s="148" t="s">
        <v>1365</v>
      </c>
      <c r="C95" s="149"/>
      <c r="D95" s="149"/>
      <c r="E95" s="149"/>
      <c r="F95" s="149"/>
      <c r="G95" s="149"/>
      <c r="H95" s="149"/>
      <c r="I95" s="149"/>
      <c r="J95" s="149"/>
      <c r="K95" s="149"/>
      <c r="L95" s="149"/>
      <c r="M95" s="149"/>
      <c r="N95" s="922"/>
      <c r="O95" s="947">
        <f>SUM(O93:O94)</f>
        <v>680.4</v>
      </c>
      <c r="P95" s="947">
        <f t="shared" ref="P95:T95" si="31">SUM(P93:P94)</f>
        <v>1360.8</v>
      </c>
      <c r="Q95" s="947">
        <f t="shared" si="31"/>
        <v>1020.6</v>
      </c>
      <c r="R95" s="947">
        <f t="shared" si="31"/>
        <v>340.2</v>
      </c>
      <c r="S95" s="947">
        <f t="shared" si="31"/>
        <v>0</v>
      </c>
      <c r="T95" s="947">
        <f t="shared" si="31"/>
        <v>0</v>
      </c>
    </row>
    <row r="96" spans="2:22" s="146" customFormat="1">
      <c r="B96" s="147" t="s">
        <v>1366</v>
      </c>
      <c r="N96" s="891"/>
      <c r="O96" s="892">
        <f t="shared" ref="O96:T96" si="32">O95/$C$11*1000</f>
        <v>41.999999999999993</v>
      </c>
      <c r="P96" s="892">
        <f t="shared" si="32"/>
        <v>83.999999999999986</v>
      </c>
      <c r="Q96" s="892">
        <f t="shared" si="32"/>
        <v>63</v>
      </c>
      <c r="R96" s="892">
        <f t="shared" si="32"/>
        <v>20.999999999999996</v>
      </c>
      <c r="S96" s="892">
        <f t="shared" si="32"/>
        <v>0</v>
      </c>
      <c r="T96" s="892">
        <f t="shared" si="32"/>
        <v>0</v>
      </c>
    </row>
    <row r="97" spans="1:23" s="146" customFormat="1"/>
    <row r="98" spans="1:23" s="146" customFormat="1">
      <c r="B98" s="249" t="s">
        <v>1097</v>
      </c>
    </row>
    <row r="99" spans="1:23" s="146" customFormat="1">
      <c r="B99" s="147" t="s">
        <v>1097</v>
      </c>
      <c r="V99" s="146" t="s">
        <v>1255</v>
      </c>
    </row>
    <row r="100" spans="1:23" s="146" customFormat="1">
      <c r="B100" s="146" t="s">
        <v>1102</v>
      </c>
      <c r="N100" s="891"/>
      <c r="O100" s="891">
        <f t="shared" ref="O100:T100" si="33">O74-O93</f>
        <v>-90.720000000000027</v>
      </c>
      <c r="P100" s="891">
        <f t="shared" si="33"/>
        <v>-11.340000000000089</v>
      </c>
      <c r="Q100" s="891">
        <f t="shared" si="33"/>
        <v>430.91999999999996</v>
      </c>
      <c r="R100" s="891">
        <f t="shared" si="33"/>
        <v>1031.94</v>
      </c>
      <c r="S100" s="891">
        <f t="shared" si="33"/>
        <v>1134</v>
      </c>
      <c r="T100" s="891">
        <f t="shared" si="33"/>
        <v>1134</v>
      </c>
    </row>
    <row r="101" spans="1:23" s="146" customFormat="1">
      <c r="B101" s="146" t="s">
        <v>1319</v>
      </c>
      <c r="N101" s="891"/>
      <c r="O101" s="891">
        <f t="shared" ref="O101:T101" si="34">O75</f>
        <v>170.10000000000002</v>
      </c>
      <c r="P101" s="891">
        <f t="shared" si="34"/>
        <v>595.35</v>
      </c>
      <c r="Q101" s="891">
        <f t="shared" si="34"/>
        <v>1105.6500000000001</v>
      </c>
      <c r="R101" s="891">
        <f t="shared" si="34"/>
        <v>1701.0000000000002</v>
      </c>
      <c r="S101" s="891">
        <f t="shared" si="34"/>
        <v>1701.0000000000002</v>
      </c>
      <c r="T101" s="891">
        <f t="shared" si="34"/>
        <v>1701.0000000000002</v>
      </c>
    </row>
    <row r="102" spans="1:23" s="146" customFormat="1">
      <c r="B102" s="146" t="s">
        <v>1133</v>
      </c>
      <c r="N102" s="891"/>
      <c r="O102" s="891">
        <f t="shared" ref="O102:T102" si="35">O76-O94</f>
        <v>-192.77999999999997</v>
      </c>
      <c r="P102" s="891">
        <f t="shared" si="35"/>
        <v>39.689999999999941</v>
      </c>
      <c r="Q102" s="891">
        <f t="shared" si="35"/>
        <v>1128.33</v>
      </c>
      <c r="R102" s="891">
        <f t="shared" si="35"/>
        <v>2596.86</v>
      </c>
      <c r="S102" s="891">
        <f t="shared" si="35"/>
        <v>2835</v>
      </c>
      <c r="T102" s="891">
        <f t="shared" si="35"/>
        <v>2835</v>
      </c>
    </row>
    <row r="103" spans="1:23" s="147" customFormat="1">
      <c r="B103" s="148" t="s">
        <v>1360</v>
      </c>
      <c r="C103" s="148"/>
      <c r="D103" s="148"/>
      <c r="E103" s="148"/>
      <c r="F103" s="148"/>
      <c r="G103" s="148"/>
      <c r="H103" s="148"/>
      <c r="I103" s="148"/>
      <c r="J103" s="148"/>
      <c r="K103" s="148"/>
      <c r="L103" s="148"/>
      <c r="M103" s="148"/>
      <c r="N103" s="148"/>
      <c r="O103" s="947">
        <f>SUM(O100:O102)</f>
        <v>-113.39999999999998</v>
      </c>
      <c r="P103" s="947">
        <f t="shared" ref="P103:T103" si="36">SUM(P100:P102)</f>
        <v>623.69999999999993</v>
      </c>
      <c r="Q103" s="947">
        <f t="shared" si="36"/>
        <v>2664.9</v>
      </c>
      <c r="R103" s="947">
        <f t="shared" si="36"/>
        <v>5329.8000000000011</v>
      </c>
      <c r="S103" s="947">
        <f t="shared" si="36"/>
        <v>5670</v>
      </c>
      <c r="T103" s="947">
        <f t="shared" si="36"/>
        <v>5670</v>
      </c>
    </row>
    <row r="104" spans="1:23" s="147" customFormat="1">
      <c r="B104" s="147" t="s">
        <v>1361</v>
      </c>
      <c r="O104" s="892">
        <f t="shared" ref="O104:T104" si="37">O103/$C$11*1000</f>
        <v>-6.9999999999999982</v>
      </c>
      <c r="P104" s="892">
        <f t="shared" si="37"/>
        <v>38.499999999999993</v>
      </c>
      <c r="Q104" s="892">
        <f t="shared" si="37"/>
        <v>164.5</v>
      </c>
      <c r="R104" s="892">
        <f t="shared" si="37"/>
        <v>329.00000000000006</v>
      </c>
      <c r="S104" s="892">
        <f t="shared" si="37"/>
        <v>350</v>
      </c>
      <c r="T104" s="892">
        <f t="shared" si="37"/>
        <v>350</v>
      </c>
    </row>
    <row r="105" spans="1:23" s="146" customFormat="1">
      <c r="B105" s="147"/>
    </row>
    <row r="106" spans="1:23" s="146" customFormat="1">
      <c r="B106" s="146" t="s">
        <v>1130</v>
      </c>
      <c r="N106" s="891"/>
      <c r="O106" s="891">
        <f t="shared" ref="O106:T106" si="38">O77</f>
        <v>567</v>
      </c>
      <c r="P106" s="891">
        <f t="shared" si="38"/>
        <v>1984.5</v>
      </c>
      <c r="Q106" s="891">
        <f t="shared" si="38"/>
        <v>3685.5</v>
      </c>
      <c r="R106" s="891">
        <f t="shared" si="38"/>
        <v>5670</v>
      </c>
      <c r="S106" s="891">
        <f t="shared" si="38"/>
        <v>5670</v>
      </c>
      <c r="T106" s="891">
        <f t="shared" si="38"/>
        <v>5670</v>
      </c>
    </row>
    <row r="107" spans="1:23" s="146" customFormat="1">
      <c r="B107" s="146" t="s">
        <v>1123</v>
      </c>
      <c r="N107" s="891"/>
      <c r="O107" s="891">
        <f t="shared" ref="O107:T107" si="39">-O95</f>
        <v>-680.4</v>
      </c>
      <c r="P107" s="891">
        <f t="shared" si="39"/>
        <v>-1360.8</v>
      </c>
      <c r="Q107" s="891">
        <f t="shared" si="39"/>
        <v>-1020.6</v>
      </c>
      <c r="R107" s="891">
        <f t="shared" si="39"/>
        <v>-340.2</v>
      </c>
      <c r="S107" s="891">
        <f t="shared" si="39"/>
        <v>0</v>
      </c>
      <c r="T107" s="891">
        <f t="shared" si="39"/>
        <v>0</v>
      </c>
    </row>
    <row r="108" spans="1:23" s="147" customFormat="1">
      <c r="B108" s="148" t="s">
        <v>1129</v>
      </c>
      <c r="C108" s="148"/>
      <c r="D108" s="148"/>
      <c r="E108" s="148"/>
      <c r="F108" s="148"/>
      <c r="G108" s="148"/>
      <c r="H108" s="148"/>
      <c r="I108" s="148"/>
      <c r="J108" s="148"/>
      <c r="K108" s="148"/>
      <c r="L108" s="148"/>
      <c r="M108" s="148"/>
      <c r="N108" s="947"/>
      <c r="O108" s="947">
        <f t="shared" ref="O108:T108" si="40">O106+O107</f>
        <v>-113.39999999999998</v>
      </c>
      <c r="P108" s="947">
        <f t="shared" si="40"/>
        <v>623.70000000000005</v>
      </c>
      <c r="Q108" s="947">
        <f t="shared" si="40"/>
        <v>2664.9</v>
      </c>
      <c r="R108" s="947">
        <f t="shared" si="40"/>
        <v>5329.8</v>
      </c>
      <c r="S108" s="947">
        <f t="shared" si="40"/>
        <v>5670</v>
      </c>
      <c r="T108" s="947">
        <f t="shared" si="40"/>
        <v>5670</v>
      </c>
    </row>
    <row r="109" spans="1:23" s="146" customFormat="1">
      <c r="B109" s="146" t="s">
        <v>1132</v>
      </c>
      <c r="N109" s="891"/>
      <c r="O109" s="891">
        <f t="shared" ref="O109:T109" si="41">O108*1000/$C$11</f>
        <v>-6.9999999999999982</v>
      </c>
      <c r="P109" s="891">
        <f t="shared" si="41"/>
        <v>38.5</v>
      </c>
      <c r="Q109" s="891">
        <f t="shared" si="41"/>
        <v>164.5</v>
      </c>
      <c r="R109" s="891">
        <f t="shared" si="41"/>
        <v>329</v>
      </c>
      <c r="S109" s="891">
        <f t="shared" si="41"/>
        <v>350</v>
      </c>
      <c r="T109" s="891">
        <f t="shared" si="41"/>
        <v>350</v>
      </c>
    </row>
    <row r="110" spans="1:23" s="146" customFormat="1">
      <c r="O110" s="891">
        <f>O106*1000/$C$11</f>
        <v>35</v>
      </c>
      <c r="P110" s="891">
        <f t="shared" ref="P110:T110" si="42">P106*1000/$C$11</f>
        <v>122.5</v>
      </c>
      <c r="Q110" s="891">
        <f t="shared" si="42"/>
        <v>227.5</v>
      </c>
      <c r="R110" s="891">
        <f t="shared" si="42"/>
        <v>350</v>
      </c>
      <c r="S110" s="891">
        <f t="shared" si="42"/>
        <v>350</v>
      </c>
      <c r="T110" s="891">
        <f t="shared" si="42"/>
        <v>350</v>
      </c>
    </row>
    <row r="111" spans="1:23" s="146" customFormat="1">
      <c r="A111" s="146" t="s">
        <v>615</v>
      </c>
      <c r="B111" s="894" t="s">
        <v>1103</v>
      </c>
      <c r="C111" s="895"/>
      <c r="D111" s="895"/>
      <c r="E111" s="895"/>
      <c r="F111" s="895"/>
      <c r="G111" s="895"/>
      <c r="H111" s="895"/>
      <c r="I111" s="895"/>
      <c r="J111" s="895"/>
      <c r="K111" s="895"/>
      <c r="L111" s="895"/>
      <c r="M111" s="895"/>
      <c r="N111" s="895"/>
      <c r="O111" s="895"/>
      <c r="P111" s="895"/>
      <c r="Q111" s="895"/>
      <c r="R111" s="895"/>
      <c r="S111" s="895"/>
      <c r="T111" s="895"/>
      <c r="W111" s="895"/>
    </row>
    <row r="112" spans="1:23" s="146" customFormat="1"/>
    <row r="113" spans="1:22" s="146" customFormat="1">
      <c r="A113" s="147"/>
      <c r="B113" s="968" t="s">
        <v>591</v>
      </c>
      <c r="C113" s="968"/>
      <c r="D113" s="968"/>
      <c r="E113" s="968"/>
      <c r="F113" s="968"/>
      <c r="G113" s="968"/>
      <c r="H113" s="968"/>
      <c r="I113" s="968"/>
      <c r="J113" s="968"/>
      <c r="K113" s="968"/>
      <c r="L113" s="968"/>
      <c r="M113" s="968"/>
      <c r="N113" s="901">
        <f>N$4</f>
        <v>2024</v>
      </c>
      <c r="O113" s="969">
        <f t="shared" ref="O113:T113" si="43">O$4</f>
        <v>2025</v>
      </c>
      <c r="P113" s="969">
        <f t="shared" si="43"/>
        <v>2026</v>
      </c>
      <c r="Q113" s="969">
        <f t="shared" si="43"/>
        <v>2027</v>
      </c>
      <c r="R113" s="969">
        <f t="shared" si="43"/>
        <v>2028</v>
      </c>
      <c r="S113" s="969">
        <f t="shared" si="43"/>
        <v>2029</v>
      </c>
      <c r="T113" s="969">
        <f t="shared" si="43"/>
        <v>2030</v>
      </c>
    </row>
    <row r="114" spans="1:22" s="146" customFormat="1">
      <c r="A114" s="147"/>
      <c r="B114" s="147"/>
      <c r="C114" s="147"/>
      <c r="D114" s="147"/>
      <c r="E114" s="147"/>
      <c r="F114" s="147"/>
      <c r="G114" s="147"/>
      <c r="H114" s="147"/>
      <c r="I114" s="147"/>
      <c r="J114" s="147"/>
      <c r="K114" s="147"/>
      <c r="L114" s="147"/>
      <c r="M114" s="147"/>
      <c r="N114" s="960"/>
      <c r="O114" s="960"/>
      <c r="P114" s="960"/>
      <c r="Q114" s="960"/>
      <c r="R114" s="960"/>
      <c r="S114" s="960"/>
      <c r="T114" s="960"/>
    </row>
    <row r="115" spans="1:22" s="146" customFormat="1">
      <c r="B115" s="249" t="s">
        <v>1138</v>
      </c>
    </row>
    <row r="116" spans="1:22" s="146" customFormat="1">
      <c r="B116" s="146" t="s">
        <v>1121</v>
      </c>
      <c r="N116" s="891"/>
      <c r="O116" s="891">
        <f t="shared" ref="O116:T116" si="44">O64</f>
        <v>1134</v>
      </c>
      <c r="P116" s="891">
        <f t="shared" si="44"/>
        <v>1134</v>
      </c>
      <c r="Q116" s="891">
        <f t="shared" si="44"/>
        <v>1134</v>
      </c>
      <c r="R116" s="891">
        <f t="shared" si="44"/>
        <v>1134</v>
      </c>
      <c r="S116" s="891">
        <f t="shared" si="44"/>
        <v>1134</v>
      </c>
      <c r="T116" s="891">
        <f t="shared" si="44"/>
        <v>1134</v>
      </c>
      <c r="V116" s="146" t="s">
        <v>1110</v>
      </c>
    </row>
    <row r="117" spans="1:22" s="146" customFormat="1">
      <c r="B117" s="146" t="s">
        <v>1122</v>
      </c>
      <c r="N117" s="170"/>
      <c r="O117" s="170">
        <f t="shared" ref="O117:T117" si="45">O69</f>
        <v>0.1</v>
      </c>
      <c r="P117" s="170">
        <f t="shared" si="45"/>
        <v>0.35</v>
      </c>
      <c r="Q117" s="170">
        <f t="shared" si="45"/>
        <v>0.65</v>
      </c>
      <c r="R117" s="170">
        <f t="shared" si="45"/>
        <v>1</v>
      </c>
      <c r="S117" s="170">
        <f t="shared" si="45"/>
        <v>1</v>
      </c>
      <c r="T117" s="170">
        <f t="shared" si="45"/>
        <v>1</v>
      </c>
    </row>
    <row r="118" spans="1:22" s="146" customFormat="1">
      <c r="B118" s="149" t="s">
        <v>1106</v>
      </c>
      <c r="C118" s="149"/>
      <c r="D118" s="149"/>
      <c r="E118" s="149"/>
      <c r="F118" s="149"/>
      <c r="G118" s="149"/>
      <c r="H118" s="149"/>
      <c r="I118" s="149"/>
      <c r="J118" s="149"/>
      <c r="K118" s="149"/>
      <c r="L118" s="149"/>
      <c r="M118" s="149"/>
      <c r="N118" s="922"/>
      <c r="O118" s="922">
        <f t="shared" ref="O118:T118" si="46">O116*O117</f>
        <v>113.4</v>
      </c>
      <c r="P118" s="922">
        <f t="shared" si="46"/>
        <v>396.9</v>
      </c>
      <c r="Q118" s="922">
        <f t="shared" si="46"/>
        <v>737.1</v>
      </c>
      <c r="R118" s="922">
        <f t="shared" si="46"/>
        <v>1134</v>
      </c>
      <c r="S118" s="922">
        <f t="shared" si="46"/>
        <v>1134</v>
      </c>
      <c r="T118" s="922">
        <f t="shared" si="46"/>
        <v>1134</v>
      </c>
    </row>
    <row r="119" spans="1:22" s="146" customFormat="1">
      <c r="B119" s="146" t="s">
        <v>1123</v>
      </c>
      <c r="N119" s="891"/>
      <c r="O119" s="891">
        <f t="shared" ref="O119:T119" si="47">-O93</f>
        <v>-204.12000000000003</v>
      </c>
      <c r="P119" s="891">
        <f t="shared" si="47"/>
        <v>-408.24000000000007</v>
      </c>
      <c r="Q119" s="891">
        <f t="shared" si="47"/>
        <v>-306.18000000000006</v>
      </c>
      <c r="R119" s="891">
        <f t="shared" si="47"/>
        <v>-102.06000000000002</v>
      </c>
      <c r="S119" s="891">
        <f t="shared" si="47"/>
        <v>0</v>
      </c>
      <c r="T119" s="891">
        <f t="shared" si="47"/>
        <v>0</v>
      </c>
    </row>
    <row r="120" spans="1:22" s="146" customFormat="1">
      <c r="B120" s="149" t="s">
        <v>1097</v>
      </c>
      <c r="C120" s="149"/>
      <c r="D120" s="149"/>
      <c r="E120" s="149"/>
      <c r="F120" s="149"/>
      <c r="G120" s="149"/>
      <c r="H120" s="149"/>
      <c r="I120" s="149"/>
      <c r="J120" s="149"/>
      <c r="K120" s="149"/>
      <c r="L120" s="149"/>
      <c r="M120" s="149"/>
      <c r="N120" s="922"/>
      <c r="O120" s="922">
        <f t="shared" ref="O120:T120" si="48">O118+O119</f>
        <v>-90.720000000000027</v>
      </c>
      <c r="P120" s="922">
        <f t="shared" si="48"/>
        <v>-11.340000000000089</v>
      </c>
      <c r="Q120" s="922">
        <f t="shared" si="48"/>
        <v>430.91999999999996</v>
      </c>
      <c r="R120" s="922">
        <f t="shared" si="48"/>
        <v>1031.94</v>
      </c>
      <c r="S120" s="922">
        <f t="shared" si="48"/>
        <v>1134</v>
      </c>
      <c r="T120" s="922">
        <f t="shared" si="48"/>
        <v>1134</v>
      </c>
    </row>
    <row r="121" spans="1:22" s="146" customFormat="1">
      <c r="B121" s="146" t="s">
        <v>406</v>
      </c>
      <c r="N121" s="189"/>
      <c r="O121" s="189">
        <f t="shared" ref="O121:T121" si="49">$C$13</f>
        <v>0.22</v>
      </c>
      <c r="P121" s="189">
        <f t="shared" si="49"/>
        <v>0.22</v>
      </c>
      <c r="Q121" s="189">
        <f t="shared" si="49"/>
        <v>0.22</v>
      </c>
      <c r="R121" s="189">
        <f t="shared" si="49"/>
        <v>0.22</v>
      </c>
      <c r="S121" s="189">
        <f t="shared" si="49"/>
        <v>0.22</v>
      </c>
      <c r="T121" s="189">
        <f t="shared" si="49"/>
        <v>0.22</v>
      </c>
    </row>
    <row r="122" spans="1:22" s="147" customFormat="1">
      <c r="B122" s="148" t="s">
        <v>1135</v>
      </c>
      <c r="C122" s="148"/>
      <c r="D122" s="148"/>
      <c r="E122" s="148"/>
      <c r="F122" s="148"/>
      <c r="G122" s="148"/>
      <c r="H122" s="148"/>
      <c r="I122" s="148"/>
      <c r="J122" s="148"/>
      <c r="K122" s="148"/>
      <c r="L122" s="148"/>
      <c r="M122" s="148"/>
      <c r="N122" s="947"/>
      <c r="O122" s="947">
        <f t="shared" ref="O122:T122" si="50">O120*(1-O121)</f>
        <v>-70.76160000000003</v>
      </c>
      <c r="P122" s="947">
        <f t="shared" si="50"/>
        <v>-8.8452000000000695</v>
      </c>
      <c r="Q122" s="947">
        <f t="shared" si="50"/>
        <v>336.11759999999998</v>
      </c>
      <c r="R122" s="947">
        <f t="shared" si="50"/>
        <v>804.91320000000007</v>
      </c>
      <c r="S122" s="947">
        <f t="shared" si="50"/>
        <v>884.52</v>
      </c>
      <c r="T122" s="947">
        <f t="shared" si="50"/>
        <v>884.52</v>
      </c>
    </row>
    <row r="123" spans="1:22" s="147" customFormat="1">
      <c r="N123" s="892"/>
      <c r="O123" s="892"/>
      <c r="P123" s="892"/>
      <c r="Q123" s="892"/>
      <c r="R123" s="892"/>
      <c r="S123" s="892"/>
      <c r="T123" s="892"/>
    </row>
    <row r="124" spans="1:22" s="147" customFormat="1">
      <c r="B124" s="249" t="s">
        <v>1320</v>
      </c>
      <c r="N124" s="892"/>
      <c r="O124" s="892"/>
      <c r="P124" s="892"/>
      <c r="Q124" s="892"/>
      <c r="R124" s="892"/>
      <c r="S124" s="892"/>
      <c r="T124" s="892"/>
    </row>
    <row r="125" spans="1:22" s="147" customFormat="1">
      <c r="B125" s="146" t="s">
        <v>1121</v>
      </c>
      <c r="N125" s="892"/>
      <c r="O125" s="891">
        <f t="shared" ref="O125:T125" si="51">O65</f>
        <v>1701.0000000000002</v>
      </c>
      <c r="P125" s="891">
        <f t="shared" si="51"/>
        <v>1701.0000000000002</v>
      </c>
      <c r="Q125" s="891">
        <f t="shared" si="51"/>
        <v>1701.0000000000002</v>
      </c>
      <c r="R125" s="891">
        <f t="shared" si="51"/>
        <v>1701.0000000000002</v>
      </c>
      <c r="S125" s="891">
        <f t="shared" si="51"/>
        <v>1701.0000000000002</v>
      </c>
      <c r="T125" s="891">
        <f t="shared" si="51"/>
        <v>1701.0000000000002</v>
      </c>
    </row>
    <row r="126" spans="1:22" s="147" customFormat="1">
      <c r="B126" s="146" t="s">
        <v>1122</v>
      </c>
      <c r="N126" s="892"/>
      <c r="O126" s="170">
        <f t="shared" ref="O126:T126" si="52">O70</f>
        <v>0.1</v>
      </c>
      <c r="P126" s="170">
        <f t="shared" si="52"/>
        <v>0.35</v>
      </c>
      <c r="Q126" s="170">
        <f t="shared" si="52"/>
        <v>0.65</v>
      </c>
      <c r="R126" s="170">
        <f t="shared" si="52"/>
        <v>1</v>
      </c>
      <c r="S126" s="170">
        <f t="shared" si="52"/>
        <v>1</v>
      </c>
      <c r="T126" s="170">
        <f t="shared" si="52"/>
        <v>1</v>
      </c>
    </row>
    <row r="127" spans="1:22" s="147" customFormat="1">
      <c r="B127" s="149" t="s">
        <v>1106</v>
      </c>
      <c r="C127" s="148"/>
      <c r="D127" s="148"/>
      <c r="E127" s="148"/>
      <c r="F127" s="148"/>
      <c r="G127" s="148"/>
      <c r="H127" s="148"/>
      <c r="I127" s="148"/>
      <c r="J127" s="148"/>
      <c r="K127" s="148"/>
      <c r="L127" s="148"/>
      <c r="M127" s="148"/>
      <c r="N127" s="947"/>
      <c r="O127" s="922">
        <f t="shared" ref="O127:T127" si="53">O125*O126</f>
        <v>170.10000000000002</v>
      </c>
      <c r="P127" s="922">
        <f t="shared" si="53"/>
        <v>595.35</v>
      </c>
      <c r="Q127" s="922">
        <f t="shared" si="53"/>
        <v>1105.6500000000001</v>
      </c>
      <c r="R127" s="922">
        <f t="shared" si="53"/>
        <v>1701.0000000000002</v>
      </c>
      <c r="S127" s="922">
        <f t="shared" si="53"/>
        <v>1701.0000000000002</v>
      </c>
      <c r="T127" s="922">
        <f t="shared" si="53"/>
        <v>1701.0000000000002</v>
      </c>
    </row>
    <row r="128" spans="1:22" s="147" customFormat="1">
      <c r="B128" s="150" t="s">
        <v>1123</v>
      </c>
      <c r="C128" s="1108"/>
      <c r="D128" s="1108"/>
      <c r="E128" s="1108"/>
      <c r="F128" s="1108"/>
      <c r="G128" s="1108"/>
      <c r="H128" s="1108"/>
      <c r="I128" s="1108"/>
      <c r="J128" s="1108"/>
      <c r="K128" s="1108"/>
      <c r="L128" s="1108"/>
      <c r="M128" s="1108"/>
      <c r="N128" s="1109"/>
      <c r="O128" s="891"/>
      <c r="P128" s="891"/>
      <c r="Q128" s="891"/>
      <c r="R128" s="891"/>
      <c r="S128" s="891"/>
      <c r="T128" s="891"/>
    </row>
    <row r="129" spans="2:22" s="147" customFormat="1">
      <c r="B129" s="149" t="s">
        <v>1097</v>
      </c>
      <c r="C129" s="148"/>
      <c r="D129" s="148"/>
      <c r="E129" s="148"/>
      <c r="F129" s="148"/>
      <c r="G129" s="148"/>
      <c r="H129" s="148"/>
      <c r="I129" s="148"/>
      <c r="J129" s="148"/>
      <c r="K129" s="148"/>
      <c r="L129" s="148"/>
      <c r="M129" s="148"/>
      <c r="N129" s="947"/>
      <c r="O129" s="922">
        <f t="shared" ref="O129:T129" si="54">O127+O128</f>
        <v>170.10000000000002</v>
      </c>
      <c r="P129" s="922">
        <f t="shared" si="54"/>
        <v>595.35</v>
      </c>
      <c r="Q129" s="922">
        <f t="shared" si="54"/>
        <v>1105.6500000000001</v>
      </c>
      <c r="R129" s="922">
        <f t="shared" si="54"/>
        <v>1701.0000000000002</v>
      </c>
      <c r="S129" s="922">
        <f t="shared" si="54"/>
        <v>1701.0000000000002</v>
      </c>
      <c r="T129" s="922">
        <f t="shared" si="54"/>
        <v>1701.0000000000002</v>
      </c>
    </row>
    <row r="130" spans="2:22" s="147" customFormat="1">
      <c r="B130" s="150" t="s">
        <v>406</v>
      </c>
      <c r="C130" s="1108"/>
      <c r="D130" s="1108"/>
      <c r="E130" s="1108"/>
      <c r="F130" s="1108"/>
      <c r="G130" s="1108"/>
      <c r="H130" s="1108"/>
      <c r="I130" s="1108"/>
      <c r="J130" s="1108"/>
      <c r="K130" s="1108"/>
      <c r="L130" s="1108"/>
      <c r="M130" s="1108"/>
      <c r="N130" s="1109"/>
      <c r="O130" s="189">
        <f t="shared" ref="O130:T130" si="55">$C$13</f>
        <v>0.22</v>
      </c>
      <c r="P130" s="189">
        <f t="shared" si="55"/>
        <v>0.22</v>
      </c>
      <c r="Q130" s="189">
        <f t="shared" si="55"/>
        <v>0.22</v>
      </c>
      <c r="R130" s="189">
        <f t="shared" si="55"/>
        <v>0.22</v>
      </c>
      <c r="S130" s="189">
        <f t="shared" si="55"/>
        <v>0.22</v>
      </c>
      <c r="T130" s="189">
        <f t="shared" si="55"/>
        <v>0.22</v>
      </c>
    </row>
    <row r="131" spans="2:22" s="147" customFormat="1">
      <c r="B131" s="147" t="s">
        <v>1321</v>
      </c>
      <c r="N131" s="892"/>
      <c r="O131" s="947">
        <f t="shared" ref="O131:T131" si="56">O129*(1-O130)</f>
        <v>132.67800000000003</v>
      </c>
      <c r="P131" s="947">
        <f t="shared" si="56"/>
        <v>464.37300000000005</v>
      </c>
      <c r="Q131" s="947">
        <f t="shared" si="56"/>
        <v>862.40700000000015</v>
      </c>
      <c r="R131" s="947">
        <f t="shared" si="56"/>
        <v>1326.7800000000002</v>
      </c>
      <c r="S131" s="947">
        <f t="shared" si="56"/>
        <v>1326.7800000000002</v>
      </c>
      <c r="T131" s="947">
        <f t="shared" si="56"/>
        <v>1326.7800000000002</v>
      </c>
    </row>
    <row r="132" spans="2:22" s="147" customFormat="1">
      <c r="N132" s="892"/>
      <c r="O132" s="892"/>
      <c r="P132" s="892"/>
      <c r="Q132" s="892"/>
      <c r="R132" s="892"/>
      <c r="S132" s="892"/>
      <c r="T132" s="892"/>
    </row>
    <row r="133" spans="2:22" s="147" customFormat="1">
      <c r="B133" s="249" t="s">
        <v>1139</v>
      </c>
      <c r="N133" s="892"/>
      <c r="O133" s="892"/>
      <c r="P133" s="892"/>
      <c r="Q133" s="892"/>
      <c r="R133" s="892"/>
      <c r="S133" s="892"/>
      <c r="T133" s="892"/>
    </row>
    <row r="134" spans="2:22" s="147" customFormat="1">
      <c r="B134" s="146" t="s">
        <v>1137</v>
      </c>
      <c r="N134" s="892"/>
      <c r="O134" s="891">
        <f t="shared" ref="O134:T134" si="57">O66</f>
        <v>2835</v>
      </c>
      <c r="P134" s="891">
        <f t="shared" si="57"/>
        <v>2835</v>
      </c>
      <c r="Q134" s="891">
        <f t="shared" si="57"/>
        <v>2835</v>
      </c>
      <c r="R134" s="891">
        <f t="shared" si="57"/>
        <v>2835</v>
      </c>
      <c r="S134" s="891">
        <f t="shared" si="57"/>
        <v>2835</v>
      </c>
      <c r="T134" s="891">
        <f t="shared" si="57"/>
        <v>2835</v>
      </c>
    </row>
    <row r="135" spans="2:22" s="147" customFormat="1">
      <c r="B135" s="146" t="s">
        <v>1122</v>
      </c>
      <c r="N135" s="892"/>
      <c r="O135" s="170">
        <f t="shared" ref="O135:T135" si="58">O71</f>
        <v>0.1</v>
      </c>
      <c r="P135" s="170">
        <f t="shared" si="58"/>
        <v>0.35</v>
      </c>
      <c r="Q135" s="170">
        <f t="shared" si="58"/>
        <v>0.65</v>
      </c>
      <c r="R135" s="170">
        <f t="shared" si="58"/>
        <v>1</v>
      </c>
      <c r="S135" s="170">
        <f t="shared" si="58"/>
        <v>1</v>
      </c>
      <c r="T135" s="170">
        <f t="shared" si="58"/>
        <v>1</v>
      </c>
    </row>
    <row r="136" spans="2:22" s="147" customFormat="1">
      <c r="B136" s="149" t="s">
        <v>1140</v>
      </c>
      <c r="C136" s="148"/>
      <c r="D136" s="148"/>
      <c r="E136" s="148"/>
      <c r="F136" s="148"/>
      <c r="G136" s="148"/>
      <c r="H136" s="148"/>
      <c r="I136" s="148"/>
      <c r="J136" s="148"/>
      <c r="K136" s="148"/>
      <c r="L136" s="148"/>
      <c r="M136" s="148"/>
      <c r="N136" s="947"/>
      <c r="O136" s="922">
        <f>O134*O135</f>
        <v>283.5</v>
      </c>
      <c r="P136" s="922">
        <f t="shared" ref="P136:T136" si="59">P134*P135</f>
        <v>992.24999999999989</v>
      </c>
      <c r="Q136" s="922">
        <f t="shared" si="59"/>
        <v>1842.75</v>
      </c>
      <c r="R136" s="922">
        <f t="shared" si="59"/>
        <v>2835</v>
      </c>
      <c r="S136" s="922">
        <f t="shared" si="59"/>
        <v>2835</v>
      </c>
      <c r="T136" s="922">
        <f t="shared" si="59"/>
        <v>2835</v>
      </c>
    </row>
    <row r="137" spans="2:22" s="147" customFormat="1">
      <c r="B137" s="146" t="s">
        <v>1123</v>
      </c>
      <c r="N137" s="892"/>
      <c r="O137" s="891">
        <f t="shared" ref="O137:T137" si="60">-O94</f>
        <v>-476.28</v>
      </c>
      <c r="P137" s="891">
        <f t="shared" si="60"/>
        <v>-952.56</v>
      </c>
      <c r="Q137" s="891">
        <f t="shared" si="60"/>
        <v>-714.42</v>
      </c>
      <c r="R137" s="891">
        <f t="shared" si="60"/>
        <v>-238.14</v>
      </c>
      <c r="S137" s="891">
        <f t="shared" si="60"/>
        <v>0</v>
      </c>
      <c r="T137" s="891">
        <f t="shared" si="60"/>
        <v>0</v>
      </c>
    </row>
    <row r="138" spans="2:22" s="146" customFormat="1">
      <c r="B138" s="148" t="s">
        <v>1136</v>
      </c>
      <c r="C138" s="148"/>
      <c r="D138" s="148"/>
      <c r="E138" s="148"/>
      <c r="F138" s="148"/>
      <c r="G138" s="148"/>
      <c r="H138" s="148"/>
      <c r="I138" s="148"/>
      <c r="J138" s="148"/>
      <c r="K138" s="148"/>
      <c r="L138" s="148"/>
      <c r="M138" s="148"/>
      <c r="N138" s="148"/>
      <c r="O138" s="947">
        <f>O136+O137</f>
        <v>-192.77999999999997</v>
      </c>
      <c r="P138" s="947">
        <f t="shared" ref="P138:T138" si="61">P136+P137</f>
        <v>39.689999999999941</v>
      </c>
      <c r="Q138" s="947">
        <f t="shared" si="61"/>
        <v>1128.33</v>
      </c>
      <c r="R138" s="947">
        <f t="shared" si="61"/>
        <v>2596.86</v>
      </c>
      <c r="S138" s="947">
        <f t="shared" si="61"/>
        <v>2835</v>
      </c>
      <c r="T138" s="947">
        <f t="shared" si="61"/>
        <v>2835</v>
      </c>
    </row>
    <row r="139" spans="2:22" s="146" customFormat="1">
      <c r="B139" s="147"/>
    </row>
    <row r="140" spans="2:22" s="146" customFormat="1">
      <c r="B140" s="147" t="s">
        <v>1141</v>
      </c>
      <c r="O140" s="892">
        <f>O122+O131+O138</f>
        <v>-130.86359999999996</v>
      </c>
      <c r="P140" s="892">
        <f t="shared" ref="P140:T140" si="62">P122+P131+P138</f>
        <v>495.2177999999999</v>
      </c>
      <c r="Q140" s="892">
        <f t="shared" si="62"/>
        <v>2326.8546000000001</v>
      </c>
      <c r="R140" s="892">
        <f t="shared" si="62"/>
        <v>4728.5532000000003</v>
      </c>
      <c r="S140" s="892">
        <f t="shared" si="62"/>
        <v>5046.3</v>
      </c>
      <c r="T140" s="892">
        <f t="shared" si="62"/>
        <v>5046.3</v>
      </c>
    </row>
    <row r="141" spans="2:22" s="146" customFormat="1">
      <c r="B141" s="147" t="s">
        <v>1132</v>
      </c>
      <c r="O141" s="892">
        <f>O140*1000/$C$11</f>
        <v>-8.0779999999999976</v>
      </c>
      <c r="P141" s="892">
        <f t="shared" ref="P141:T141" si="63">P140*1000/$C$11</f>
        <v>30.568999999999992</v>
      </c>
      <c r="Q141" s="892">
        <f t="shared" si="63"/>
        <v>143.63300000000001</v>
      </c>
      <c r="R141" s="892">
        <f t="shared" si="63"/>
        <v>291.88600000000002</v>
      </c>
      <c r="S141" s="892">
        <f t="shared" si="63"/>
        <v>311.5</v>
      </c>
      <c r="T141" s="892">
        <f t="shared" si="63"/>
        <v>311.5</v>
      </c>
      <c r="V141" s="146" t="s">
        <v>1499</v>
      </c>
    </row>
    <row r="142" spans="2:22" s="146" customFormat="1">
      <c r="B142" s="147"/>
    </row>
    <row r="143" spans="2:22" s="146" customFormat="1">
      <c r="B143" s="146" t="s">
        <v>395</v>
      </c>
      <c r="N143" s="916"/>
      <c r="O143" s="966">
        <v>0</v>
      </c>
      <c r="P143" s="918">
        <v>1</v>
      </c>
      <c r="Q143" s="918">
        <f t="shared" ref="Q143:T143" si="64">P143+1</f>
        <v>2</v>
      </c>
      <c r="R143" s="918">
        <f t="shared" si="64"/>
        <v>3</v>
      </c>
      <c r="S143" s="918">
        <f t="shared" si="64"/>
        <v>4</v>
      </c>
      <c r="T143" s="918">
        <f t="shared" si="64"/>
        <v>5</v>
      </c>
    </row>
    <row r="144" spans="2:22" s="146" customFormat="1">
      <c r="B144" s="146" t="s">
        <v>1111</v>
      </c>
      <c r="N144" s="948"/>
      <c r="O144" s="956">
        <v>1</v>
      </c>
      <c r="P144" s="948">
        <f>IF(P143&gt;=1,1/(1+$C$147)^P143,0)</f>
        <v>0.90397686542406008</v>
      </c>
      <c r="Q144" s="948">
        <f>IF(Q143&gt;=1,1/(1+$C$147)^Q143,0)</f>
        <v>0.81717417322190933</v>
      </c>
      <c r="R144" s="948">
        <f>IF(R143&gt;=1,1/(1+$C$147)^R143,0)</f>
        <v>0.7387065476146395</v>
      </c>
      <c r="S144" s="948">
        <f>IF(S143&gt;=1,1/(1+$C$147)^S143,0)</f>
        <v>0.667773629380911</v>
      </c>
      <c r="T144" s="948">
        <f>IF(T143&gt;=1,1/(1+$C$147)^T143,0)</f>
        <v>0.603651912300604</v>
      </c>
    </row>
    <row r="145" spans="2:20" s="147" customFormat="1" ht="13.5" thickBot="1">
      <c r="B145" s="945" t="s">
        <v>1112</v>
      </c>
      <c r="C145" s="945"/>
      <c r="D145" s="945"/>
      <c r="E145" s="945"/>
      <c r="F145" s="945"/>
      <c r="G145" s="945"/>
      <c r="H145" s="945"/>
      <c r="I145" s="945"/>
      <c r="J145" s="945"/>
      <c r="K145" s="945"/>
      <c r="L145" s="945"/>
      <c r="M145" s="945"/>
      <c r="N145" s="946"/>
      <c r="O145" s="946">
        <f>O140*O144</f>
        <v>-130.86359999999996</v>
      </c>
      <c r="P145" s="946">
        <f t="shared" ref="P145:T145" si="65">P140*P144</f>
        <v>447.66543454619898</v>
      </c>
      <c r="Q145" s="946">
        <f t="shared" si="65"/>
        <v>1901.4454839625967</v>
      </c>
      <c r="R145" s="946">
        <f t="shared" si="65"/>
        <v>3493.0132095841564</v>
      </c>
      <c r="S145" s="946">
        <f t="shared" si="65"/>
        <v>3369.7860659448911</v>
      </c>
      <c r="T145" s="946">
        <f t="shared" si="65"/>
        <v>3046.2086450425381</v>
      </c>
    </row>
    <row r="146" spans="2:20" s="146" customFormat="1" ht="13.5" thickTop="1"/>
    <row r="147" spans="2:20" s="146" customFormat="1">
      <c r="B147" s="146" t="s">
        <v>251</v>
      </c>
      <c r="C147" s="225">
        <f>C16</f>
        <v>0.106223</v>
      </c>
    </row>
    <row r="148" spans="2:20" s="146" customFormat="1">
      <c r="B148" s="146" t="s">
        <v>1107</v>
      </c>
      <c r="C148" s="225">
        <f>C17</f>
        <v>0.02</v>
      </c>
    </row>
    <row r="149" spans="2:20" s="146" customFormat="1"/>
    <row r="150" spans="2:20" s="146" customFormat="1">
      <c r="B150" s="147" t="s">
        <v>743</v>
      </c>
    </row>
    <row r="151" spans="2:20" s="146" customFormat="1">
      <c r="B151" s="222" t="s">
        <v>246</v>
      </c>
      <c r="C151" s="953">
        <f>O122+NPV($C$147,P122:T122)+((T122*(1+$C$148)*$T$144/($C$147-$C$148)))</f>
        <v>8231.529214714059</v>
      </c>
      <c r="D151" s="949">
        <f>C151/C$154</f>
        <v>0.17090887250143119</v>
      </c>
    </row>
    <row r="152" spans="2:20" s="146" customFormat="1">
      <c r="B152" s="222" t="s">
        <v>1339</v>
      </c>
      <c r="C152" s="953">
        <f>O131+NPV($C$147,P131:T131)+((T131*(1+$C$148)*$T$144/($C$147-$C$148)))</f>
        <v>13398.836346223492</v>
      </c>
      <c r="D152" s="949">
        <f t="shared" ref="D152:D153" si="66">C152/C$154</f>
        <v>0.27819618360472537</v>
      </c>
    </row>
    <row r="153" spans="2:20" s="146" customFormat="1">
      <c r="B153" s="222" t="s">
        <v>248</v>
      </c>
      <c r="C153" s="953">
        <f>O138+NPV($C$147,P138:T138)+((T138*(1+$C$148)*$T$144/($C$147-$C$148)))</f>
        <v>26532.898839774749</v>
      </c>
      <c r="D153" s="949">
        <f t="shared" si="66"/>
        <v>0.55089494389384341</v>
      </c>
    </row>
    <row r="154" spans="2:20" s="146" customFormat="1">
      <c r="B154" s="1132" t="s">
        <v>6</v>
      </c>
      <c r="C154" s="1080">
        <f>SUM(C151:C153)</f>
        <v>48163.264400712302</v>
      </c>
      <c r="D154" s="1079"/>
    </row>
    <row r="155" spans="2:20" s="146" customFormat="1"/>
    <row r="156" spans="2:20" s="146" customFormat="1">
      <c r="B156" s="1027" t="s">
        <v>1103</v>
      </c>
      <c r="C156" s="971" t="s">
        <v>591</v>
      </c>
      <c r="D156" s="971" t="s">
        <v>925</v>
      </c>
      <c r="E156" s="147"/>
      <c r="F156" s="147" t="s">
        <v>1368</v>
      </c>
    </row>
    <row r="157" spans="2:20" s="146" customFormat="1">
      <c r="B157" s="146" t="s">
        <v>1142</v>
      </c>
      <c r="C157" s="891">
        <f>O145+SUM($P$145:$T$145)</f>
        <v>12127.255239080379</v>
      </c>
      <c r="D157" s="891">
        <f>C157*1000/$C$11</f>
        <v>748.5960024123691</v>
      </c>
    </row>
    <row r="158" spans="2:20" s="146" customFormat="1">
      <c r="B158" s="146" t="s">
        <v>1108</v>
      </c>
      <c r="C158" s="891">
        <f>(T140*(1+$C$148))/($C$147-$C$148)*T144</f>
        <v>36036.009161631919</v>
      </c>
      <c r="D158" s="891">
        <f t="shared" ref="D158:D159" si="67">C158*1000/$C$11</f>
        <v>2224.4450099772789</v>
      </c>
    </row>
    <row r="159" spans="2:20" s="146" customFormat="1" ht="13.5" thickBot="1">
      <c r="B159" s="945" t="s">
        <v>1109</v>
      </c>
      <c r="C159" s="970">
        <f>C157+C158</f>
        <v>48163.264400712302</v>
      </c>
      <c r="D159" s="970">
        <f t="shared" si="67"/>
        <v>2973.0410123896486</v>
      </c>
      <c r="E159" s="957"/>
      <c r="F159" s="965">
        <f>D159/350</f>
        <v>8.4944028925418529</v>
      </c>
      <c r="H159" s="146">
        <v>350</v>
      </c>
      <c r="I159" s="146">
        <f>H159*16000/1000</f>
        <v>5600</v>
      </c>
    </row>
    <row r="160" spans="2:20" s="146" customFormat="1" ht="13.5" thickTop="1"/>
    <row r="161" spans="1:26" s="146" customFormat="1">
      <c r="B161" s="938"/>
      <c r="C161" s="1140" t="s">
        <v>591</v>
      </c>
      <c r="D161" s="1140" t="s">
        <v>925</v>
      </c>
    </row>
    <row r="162" spans="1:26" s="146" customFormat="1">
      <c r="B162" s="148" t="s">
        <v>1114</v>
      </c>
      <c r="C162" s="1141">
        <f>DCF!$B$53</f>
        <v>66710.370530700005</v>
      </c>
      <c r="D162" s="922">
        <f>C162*1000/$C$11</f>
        <v>4117.924106833334</v>
      </c>
    </row>
    <row r="163" spans="1:26" s="146" customFormat="1">
      <c r="A163" s="147"/>
      <c r="B163" s="919" t="s">
        <v>1369</v>
      </c>
      <c r="C163" s="891">
        <f>N519</f>
        <v>62652.661</v>
      </c>
      <c r="D163" s="891">
        <f t="shared" ref="D163:D164" si="68">C163*1000/$C$11</f>
        <v>3867.4482098765434</v>
      </c>
    </row>
    <row r="164" spans="1:26" s="146" customFormat="1" ht="13.5" thickBot="1">
      <c r="B164" s="945" t="s">
        <v>1119</v>
      </c>
      <c r="C164" s="946">
        <f>C162+C163</f>
        <v>129363.03153070001</v>
      </c>
      <c r="D164" s="946">
        <f t="shared" si="68"/>
        <v>7985.3723167098769</v>
      </c>
    </row>
    <row r="165" spans="1:26" s="146" customFormat="1" ht="13.5" thickTop="1"/>
    <row r="166" spans="1:26" s="146" customFormat="1">
      <c r="B166" s="147" t="s">
        <v>1370</v>
      </c>
    </row>
    <row r="167" spans="1:26" s="146" customFormat="1">
      <c r="B167" s="146" t="s">
        <v>1114</v>
      </c>
      <c r="C167" s="170">
        <f>$C$159/C162</f>
        <v>0.72197566911350974</v>
      </c>
    </row>
    <row r="168" spans="1:26" s="146" customFormat="1">
      <c r="B168" s="146" t="s">
        <v>1371</v>
      </c>
      <c r="C168" s="157">
        <f>$C$159/C164</f>
        <v>0.37231088225759734</v>
      </c>
    </row>
    <row r="169" spans="1:26" s="146" customFormat="1">
      <c r="Y169" s="146" t="s">
        <v>1407</v>
      </c>
      <c r="Z169" s="891">
        <f>DCF!$B$51</f>
        <v>3900</v>
      </c>
    </row>
    <row r="170" spans="1:26" s="146" customFormat="1">
      <c r="B170" s="147" t="s">
        <v>1372</v>
      </c>
      <c r="Y170" s="146" t="s">
        <v>1408</v>
      </c>
      <c r="Z170" s="891">
        <f>C172*1000/$C$178</f>
        <v>2815.741853300924</v>
      </c>
    </row>
    <row r="171" spans="1:26" s="146" customFormat="1">
      <c r="B171" s="146" t="s">
        <v>1373</v>
      </c>
      <c r="C171" s="891">
        <f>C164</f>
        <v>129363.03153070001</v>
      </c>
      <c r="Y171" s="146" t="s">
        <v>1409</v>
      </c>
      <c r="Z171" s="891">
        <f>Z169+Z170</f>
        <v>6715.741853300924</v>
      </c>
    </row>
    <row r="172" spans="1:26" s="146" customFormat="1">
      <c r="B172" s="146" t="s">
        <v>1103</v>
      </c>
      <c r="C172" s="1250">
        <f>C159</f>
        <v>48163.264400712302</v>
      </c>
      <c r="D172" s="146" t="s">
        <v>1438</v>
      </c>
    </row>
    <row r="173" spans="1:26" s="146" customFormat="1">
      <c r="B173" s="148" t="s">
        <v>1374</v>
      </c>
      <c r="C173" s="947">
        <f>C171+C172</f>
        <v>177526.29593141231</v>
      </c>
      <c r="D173" s="892">
        <f ca="1">D177-SUM(D174:D176)</f>
        <v>156958.61172539921</v>
      </c>
    </row>
    <row r="174" spans="1:26" s="146" customFormat="1">
      <c r="B174" s="146" t="s">
        <v>1375</v>
      </c>
      <c r="C174" s="891">
        <f ca="1">-O510</f>
        <v>-58268.811725399224</v>
      </c>
      <c r="D174" s="891">
        <f ca="1">C174</f>
        <v>-58268.811725399224</v>
      </c>
    </row>
    <row r="175" spans="1:26" s="146" customFormat="1">
      <c r="B175" s="146" t="s">
        <v>1450</v>
      </c>
      <c r="C175" s="1277">
        <v>-5000</v>
      </c>
      <c r="D175" s="891">
        <f>C175</f>
        <v>-5000</v>
      </c>
    </row>
    <row r="176" spans="1:26" s="146" customFormat="1">
      <c r="B176" s="146" t="s">
        <v>1451</v>
      </c>
      <c r="C176" s="1277">
        <f>-P474</f>
        <v>-8164.7999999999993</v>
      </c>
      <c r="D176" s="891">
        <f>C176</f>
        <v>-8164.7999999999993</v>
      </c>
    </row>
    <row r="177" spans="2:22" s="146" customFormat="1">
      <c r="B177" s="148" t="s">
        <v>1376</v>
      </c>
      <c r="C177" s="947">
        <f ca="1">SUM(C173:C176)</f>
        <v>106092.68420601309</v>
      </c>
      <c r="D177" s="947">
        <f>D179*D178/1000</f>
        <v>85525</v>
      </c>
    </row>
    <row r="178" spans="2:22" s="146" customFormat="1" ht="13.5" thickBot="1">
      <c r="B178" s="919" t="s">
        <v>1378</v>
      </c>
      <c r="C178" s="916">
        <f>DCF!$B$36</f>
        <v>17105</v>
      </c>
      <c r="D178" s="891">
        <f>C178</f>
        <v>17105</v>
      </c>
    </row>
    <row r="179" spans="2:22" s="146" customFormat="1" ht="13.5" thickBot="1">
      <c r="B179" s="1142" t="s">
        <v>1377</v>
      </c>
      <c r="C179" s="1143">
        <f ca="1">C177/C178*1000</f>
        <v>6202.4369603047699</v>
      </c>
      <c r="D179" s="1281">
        <v>5000</v>
      </c>
    </row>
    <row r="180" spans="2:22" s="146" customFormat="1">
      <c r="C180" s="170"/>
    </row>
    <row r="181" spans="2:22" s="146" customFormat="1">
      <c r="B181" s="147" t="s">
        <v>1379</v>
      </c>
      <c r="C181" s="170"/>
    </row>
    <row r="182" spans="2:22" s="146" customFormat="1">
      <c r="B182" s="146" t="s">
        <v>2</v>
      </c>
      <c r="C182" s="170"/>
      <c r="N182" s="891">
        <f>N295</f>
        <v>22451.777000000002</v>
      </c>
      <c r="O182" s="891">
        <f t="shared" ref="O182:T182" si="69">O295</f>
        <v>23046.987716971151</v>
      </c>
      <c r="P182" s="891">
        <f t="shared" si="69"/>
        <v>23816.19512184387</v>
      </c>
      <c r="Q182" s="891">
        <f t="shared" si="69"/>
        <v>25025.885460748661</v>
      </c>
      <c r="R182" s="891">
        <f t="shared" si="69"/>
        <v>26592.193763350788</v>
      </c>
      <c r="S182" s="891">
        <f t="shared" si="69"/>
        <v>27480.438044350718</v>
      </c>
      <c r="T182" s="891">
        <f t="shared" si="69"/>
        <v>28294.364864768864</v>
      </c>
    </row>
    <row r="183" spans="2:22" s="146" customFormat="1">
      <c r="B183" s="146" t="s">
        <v>1380</v>
      </c>
      <c r="C183" s="170"/>
      <c r="N183" s="918">
        <f>IFERROR($C$164/N$182,"")</f>
        <v>5.7618170504143169</v>
      </c>
      <c r="O183" s="918">
        <f t="shared" ref="O183:T183" si="70">IFERROR($C$164/O$182,"")</f>
        <v>5.6130125602245506</v>
      </c>
      <c r="P183" s="918">
        <f t="shared" si="70"/>
        <v>5.4317253813582553</v>
      </c>
      <c r="Q183" s="918">
        <f t="shared" si="70"/>
        <v>5.1691690083692272</v>
      </c>
      <c r="R183" s="918">
        <f t="shared" si="70"/>
        <v>4.864699493465162</v>
      </c>
      <c r="S183" s="918">
        <f t="shared" si="70"/>
        <v>4.7074588593500888</v>
      </c>
      <c r="T183" s="918">
        <f t="shared" si="70"/>
        <v>4.5720422475988585</v>
      </c>
    </row>
    <row r="184" spans="2:22" s="146" customFormat="1">
      <c r="B184" s="146" t="s">
        <v>1381</v>
      </c>
      <c r="C184" s="170"/>
      <c r="N184" s="918">
        <f>IFERROR($C$173/N$182,"")</f>
        <v>7.9070042398609388</v>
      </c>
      <c r="O184" s="918">
        <f t="shared" ref="O184:T184" si="71">IFERROR($C$173/O$182,"")</f>
        <v>7.7027982186447286</v>
      </c>
      <c r="P184" s="918">
        <f t="shared" si="71"/>
        <v>7.4540158502727314</v>
      </c>
      <c r="Q184" s="918">
        <f t="shared" si="71"/>
        <v>7.0937068824138034</v>
      </c>
      <c r="R184" s="918">
        <f t="shared" si="71"/>
        <v>6.6758800537952627</v>
      </c>
      <c r="S184" s="918">
        <f t="shared" si="71"/>
        <v>6.4600970204660628</v>
      </c>
      <c r="T184" s="918">
        <f t="shared" si="71"/>
        <v>6.2742633305213982</v>
      </c>
    </row>
    <row r="185" spans="2:22" s="146" customFormat="1">
      <c r="B185" s="146" t="s">
        <v>1382</v>
      </c>
      <c r="C185" s="170"/>
      <c r="V185" s="146" t="s">
        <v>1383</v>
      </c>
    </row>
    <row r="186" spans="2:22" s="146" customFormat="1">
      <c r="B186" s="147"/>
      <c r="C186" s="170"/>
    </row>
    <row r="187" spans="2:22" s="146" customFormat="1">
      <c r="B187" s="249" t="s">
        <v>393</v>
      </c>
      <c r="C187" s="170"/>
    </row>
    <row r="188" spans="2:22" s="146" customFormat="1">
      <c r="B188" s="147"/>
      <c r="C188" s="170"/>
    </row>
    <row r="189" spans="2:22" s="146" customFormat="1">
      <c r="B189" s="147" t="s">
        <v>1443</v>
      </c>
      <c r="C189" s="170"/>
    </row>
    <row r="190" spans="2:22" s="146" customFormat="1">
      <c r="B190" s="146" t="s">
        <v>77</v>
      </c>
      <c r="C190" s="170"/>
      <c r="I190" s="891">
        <f>I352</f>
        <v>5145.9989999999998</v>
      </c>
      <c r="N190" s="891">
        <f>N352</f>
        <v>5495.3160000000007</v>
      </c>
      <c r="O190" s="891">
        <f>O352</f>
        <v>6039.5703201176266</v>
      </c>
      <c r="P190" s="891">
        <f t="shared" ref="P190:S190" si="72">P352</f>
        <v>6702.7004459239333</v>
      </c>
      <c r="Q190" s="891">
        <f t="shared" si="72"/>
        <v>7885.9223792046605</v>
      </c>
      <c r="R190" s="891">
        <f t="shared" si="72"/>
        <v>9569.5711140252042</v>
      </c>
      <c r="S190" s="891">
        <f t="shared" si="72"/>
        <v>9964.6287651161092</v>
      </c>
      <c r="T190" s="891">
        <f>T352</f>
        <v>10269.224346189874</v>
      </c>
    </row>
    <row r="191" spans="2:22" s="146" customFormat="1">
      <c r="B191" s="146" t="s">
        <v>1040</v>
      </c>
      <c r="C191" s="170"/>
      <c r="I191" s="891">
        <f>-0.22*I190</f>
        <v>-1132.11978</v>
      </c>
      <c r="N191" s="891">
        <f>-0.22*N190</f>
        <v>-1208.9695200000001</v>
      </c>
      <c r="O191" s="891">
        <f>-0.22*O190</f>
        <v>-1328.7054704258778</v>
      </c>
      <c r="P191" s="891">
        <f t="shared" ref="P191:S191" si="73">-0.22*P190</f>
        <v>-1474.5940981032654</v>
      </c>
      <c r="Q191" s="891">
        <f t="shared" si="73"/>
        <v>-1734.9029234250254</v>
      </c>
      <c r="R191" s="891">
        <f t="shared" si="73"/>
        <v>-2105.3056450855452</v>
      </c>
      <c r="S191" s="891">
        <f t="shared" si="73"/>
        <v>-2192.218328325544</v>
      </c>
      <c r="T191" s="891">
        <f>-0.22*T190</f>
        <v>-2259.2293561617726</v>
      </c>
    </row>
    <row r="192" spans="2:22" s="146" customFormat="1">
      <c r="B192" s="148" t="s">
        <v>871</v>
      </c>
      <c r="C192" s="161"/>
      <c r="D192" s="149"/>
      <c r="E192" s="149"/>
      <c r="F192" s="149"/>
      <c r="G192" s="149"/>
      <c r="H192" s="149"/>
      <c r="I192" s="947">
        <f>SUM(I190:I191)</f>
        <v>4013.8792199999998</v>
      </c>
      <c r="J192" s="149"/>
      <c r="K192" s="149"/>
      <c r="L192" s="149"/>
      <c r="M192" s="149"/>
      <c r="N192" s="947">
        <f>SUM(N190:N191)</f>
        <v>4286.3464800000002</v>
      </c>
      <c r="O192" s="947">
        <f>SUM(O190:O191)</f>
        <v>4710.8648496917485</v>
      </c>
      <c r="P192" s="947">
        <f t="shared" ref="P192:S192" si="74">SUM(P190:P191)</f>
        <v>5228.1063478206679</v>
      </c>
      <c r="Q192" s="947">
        <f t="shared" si="74"/>
        <v>6151.0194557796349</v>
      </c>
      <c r="R192" s="947">
        <f t="shared" si="74"/>
        <v>7464.2654689396586</v>
      </c>
      <c r="S192" s="947">
        <f t="shared" si="74"/>
        <v>7772.4104367905657</v>
      </c>
      <c r="T192" s="947">
        <f>SUM(T190:T191)</f>
        <v>8009.9949900281017</v>
      </c>
    </row>
    <row r="193" spans="2:20" s="146" customFormat="1">
      <c r="B193" s="919" t="s">
        <v>1444</v>
      </c>
      <c r="C193" s="170"/>
      <c r="I193" s="891">
        <f>I350+I351</f>
        <v>15950.01</v>
      </c>
      <c r="N193" s="891">
        <f>N350+N351</f>
        <v>16956.460999999999</v>
      </c>
      <c r="O193" s="891">
        <f>O350+O351</f>
        <v>17007.417396853525</v>
      </c>
      <c r="P193" s="891">
        <f t="shared" ref="P193:S193" si="75">P350+P351</f>
        <v>17113.494675919937</v>
      </c>
      <c r="Q193" s="891">
        <f t="shared" si="75"/>
        <v>17139.963081544</v>
      </c>
      <c r="R193" s="891">
        <f t="shared" si="75"/>
        <v>17022.622649325585</v>
      </c>
      <c r="S193" s="891">
        <f t="shared" si="75"/>
        <v>17515.809279234611</v>
      </c>
      <c r="T193" s="891">
        <f>T350+T351</f>
        <v>18025.140518578992</v>
      </c>
    </row>
    <row r="194" spans="2:20" s="146" customFormat="1">
      <c r="B194" s="146" t="s">
        <v>1029</v>
      </c>
      <c r="C194" s="170"/>
      <c r="I194" s="891">
        <f>-I313</f>
        <v>-9338.9</v>
      </c>
      <c r="N194" s="891">
        <f>-N313</f>
        <v>-8564.9</v>
      </c>
      <c r="O194" s="891">
        <f>-O313</f>
        <v>-10216.213720988784</v>
      </c>
      <c r="P194" s="891">
        <f t="shared" ref="P194:T194" si="76">-P313</f>
        <v>-10292.561657662129</v>
      </c>
      <c r="Q194" s="891">
        <f t="shared" si="76"/>
        <v>-9516.3265233291695</v>
      </c>
      <c r="R194" s="891">
        <f t="shared" si="76"/>
        <v>-8325.6603948013108</v>
      </c>
      <c r="S194" s="891">
        <f t="shared" si="76"/>
        <v>-8374.7122289211238</v>
      </c>
      <c r="T194" s="891">
        <f t="shared" si="76"/>
        <v>-8671.4778017999288</v>
      </c>
    </row>
    <row r="195" spans="2:20" s="147" customFormat="1">
      <c r="B195" s="148" t="s">
        <v>1443</v>
      </c>
      <c r="C195" s="1279"/>
      <c r="D195" s="148"/>
      <c r="E195" s="148"/>
      <c r="F195" s="148"/>
      <c r="G195" s="148"/>
      <c r="H195" s="148"/>
      <c r="I195" s="947">
        <f>SUM(I192:I194)</f>
        <v>10624.989220000001</v>
      </c>
      <c r="J195" s="148"/>
      <c r="K195" s="148"/>
      <c r="L195" s="148"/>
      <c r="M195" s="148"/>
      <c r="N195" s="947">
        <f>SUM(N192:N194)</f>
        <v>12677.90748</v>
      </c>
      <c r="O195" s="947">
        <f>SUM(O192:O194)</f>
        <v>11502.068525556489</v>
      </c>
      <c r="P195" s="947">
        <f t="shared" ref="P195:S195" si="77">SUM(P192:P194)</f>
        <v>12049.039366078476</v>
      </c>
      <c r="Q195" s="947">
        <f t="shared" si="77"/>
        <v>13774.656013994465</v>
      </c>
      <c r="R195" s="947">
        <f t="shared" si="77"/>
        <v>16161.227723463933</v>
      </c>
      <c r="S195" s="947">
        <f t="shared" si="77"/>
        <v>16913.507487104049</v>
      </c>
      <c r="T195" s="947">
        <f>SUM(T192:T194)</f>
        <v>17363.657706807164</v>
      </c>
    </row>
    <row r="196" spans="2:20" s="146" customFormat="1">
      <c r="C196" s="170"/>
    </row>
    <row r="197" spans="2:20" s="146" customFormat="1">
      <c r="B197" s="147" t="s">
        <v>395</v>
      </c>
      <c r="C197" s="170"/>
      <c r="P197" s="938">
        <v>1</v>
      </c>
      <c r="Q197" s="146">
        <f>P197+1</f>
        <v>2</v>
      </c>
      <c r="R197" s="146">
        <f t="shared" ref="R197:T197" si="78">Q197+1</f>
        <v>3</v>
      </c>
      <c r="S197" s="146">
        <f t="shared" si="78"/>
        <v>4</v>
      </c>
      <c r="T197" s="146">
        <f t="shared" si="78"/>
        <v>5</v>
      </c>
    </row>
    <row r="198" spans="2:20" s="146" customFormat="1">
      <c r="B198" s="147" t="s">
        <v>396</v>
      </c>
      <c r="C198" s="170"/>
      <c r="P198" s="965">
        <f>1/(1+$C$201)^P$197</f>
        <v>0.90397686542406008</v>
      </c>
      <c r="Q198" s="965">
        <f t="shared" ref="Q198:T198" si="79">1/(1+$C$201)^Q$197</f>
        <v>0.81717417322190933</v>
      </c>
      <c r="R198" s="965">
        <f t="shared" si="79"/>
        <v>0.7387065476146395</v>
      </c>
      <c r="S198" s="965">
        <f t="shared" si="79"/>
        <v>0.667773629380911</v>
      </c>
      <c r="T198" s="965">
        <f t="shared" si="79"/>
        <v>0.603651912300604</v>
      </c>
    </row>
    <row r="199" spans="2:20" s="146" customFormat="1">
      <c r="B199" s="147" t="s">
        <v>1449</v>
      </c>
      <c r="C199" s="170"/>
      <c r="P199" s="891">
        <f>P195*P198</f>
        <v>10892.052837518724</v>
      </c>
      <c r="Q199" s="891">
        <f t="shared" ref="Q199:T199" si="80">Q195*Q198</f>
        <v>11256.293139652127</v>
      </c>
      <c r="R199" s="891">
        <f t="shared" si="80"/>
        <v>11938.404736814042</v>
      </c>
      <c r="S199" s="891">
        <f t="shared" si="80"/>
        <v>11294.394280224682</v>
      </c>
      <c r="T199" s="891">
        <f t="shared" si="80"/>
        <v>10481.605179247264</v>
      </c>
    </row>
    <row r="200" spans="2:20" s="146" customFormat="1">
      <c r="C200" s="170"/>
    </row>
    <row r="201" spans="2:20" s="146" customFormat="1">
      <c r="B201" s="146" t="s">
        <v>251</v>
      </c>
      <c r="C201" s="224">
        <f>C147</f>
        <v>0.106223</v>
      </c>
    </row>
    <row r="202" spans="2:20" s="146" customFormat="1">
      <c r="B202" s="146" t="s">
        <v>1107</v>
      </c>
      <c r="C202" s="224">
        <v>0.02</v>
      </c>
    </row>
    <row r="203" spans="2:20" s="146" customFormat="1">
      <c r="C203" s="170"/>
    </row>
    <row r="204" spans="2:20" s="146" customFormat="1">
      <c r="B204" s="147" t="s">
        <v>1445</v>
      </c>
      <c r="C204" s="892">
        <f>NPV($C$201,P195:T195)</f>
        <v>55862.750173456843</v>
      </c>
      <c r="D204" s="892">
        <f>SUM(P199:T199)</f>
        <v>55862.750173456836</v>
      </c>
    </row>
    <row r="205" spans="2:20" s="146" customFormat="1">
      <c r="B205" s="146" t="s">
        <v>1446</v>
      </c>
      <c r="C205" s="891">
        <f>(T195*(1+$C$202))/($C$201-$C$202)</f>
        <v>205408.42769264939</v>
      </c>
      <c r="D205" s="918">
        <f>C205/(T190+T193)</f>
        <v>7.2596938886730982</v>
      </c>
    </row>
    <row r="206" spans="2:20" s="146" customFormat="1">
      <c r="B206" s="147" t="s">
        <v>781</v>
      </c>
      <c r="C206" s="892">
        <f>C205/(1+$C$201)^$T$197</f>
        <v>123995.19017932814</v>
      </c>
      <c r="D206" s="892">
        <f>C205*T198</f>
        <v>123995.19017932814</v>
      </c>
    </row>
    <row r="207" spans="2:20" s="146" customFormat="1">
      <c r="B207" s="148" t="s">
        <v>1119</v>
      </c>
      <c r="C207" s="1276">
        <f>C204+C206</f>
        <v>179857.94035278499</v>
      </c>
    </row>
    <row r="208" spans="2:20" s="146" customFormat="1">
      <c r="B208" s="146" t="s">
        <v>1447</v>
      </c>
      <c r="C208" s="1274">
        <f ca="1">-O510</f>
        <v>-58268.811725399224</v>
      </c>
    </row>
    <row r="209" spans="2:14" s="146" customFormat="1">
      <c r="B209" s="146" t="s">
        <v>1450</v>
      </c>
      <c r="C209" s="1277">
        <v>-5000</v>
      </c>
    </row>
    <row r="210" spans="2:14" s="146" customFormat="1">
      <c r="B210" s="146" t="s">
        <v>1451</v>
      </c>
      <c r="C210" s="1277">
        <f>-P474</f>
        <v>-8164.7999999999993</v>
      </c>
    </row>
    <row r="211" spans="2:14" s="146" customFormat="1" ht="13.5" thickBot="1">
      <c r="B211" s="945" t="s">
        <v>1376</v>
      </c>
      <c r="C211" s="1275">
        <f ca="1">C207+C208+C209+C210</f>
        <v>108424.32862738577</v>
      </c>
    </row>
    <row r="212" spans="2:14" s="146" customFormat="1" ht="14" thickTop="1" thickBot="1">
      <c r="B212" s="919" t="s">
        <v>1378</v>
      </c>
      <c r="C212" s="916">
        <f>DCF!$B$36</f>
        <v>17105</v>
      </c>
    </row>
    <row r="213" spans="2:14" s="146" customFormat="1" ht="13.5" thickBot="1">
      <c r="B213" s="147" t="s">
        <v>1448</v>
      </c>
      <c r="C213" s="1278">
        <f ca="1">C211*1000/C212</f>
        <v>6338.7505774560514</v>
      </c>
      <c r="N213" s="891"/>
    </row>
    <row r="214" spans="2:14" s="146" customFormat="1">
      <c r="C214" s="170"/>
    </row>
    <row r="215" spans="2:14" s="146" customFormat="1">
      <c r="C215" s="170"/>
    </row>
    <row r="216" spans="2:14" s="146" customFormat="1"/>
    <row r="217" spans="2:14" s="146" customFormat="1" hidden="1" outlineLevel="1">
      <c r="B217" s="251" t="s">
        <v>925</v>
      </c>
      <c r="C217" s="958" t="s">
        <v>904</v>
      </c>
      <c r="D217" s="958" t="s">
        <v>1094</v>
      </c>
    </row>
    <row r="218" spans="2:14" s="146" customFormat="1" hidden="1" outlineLevel="1">
      <c r="B218" s="146" t="s">
        <v>1143</v>
      </c>
      <c r="C218" s="891">
        <f>D159</f>
        <v>2973.0410123896486</v>
      </c>
      <c r="D218" s="891">
        <f>250*1000/34</f>
        <v>7352.9411764705883</v>
      </c>
    </row>
    <row r="219" spans="2:14" s="146" customFormat="1" hidden="1" outlineLevel="1">
      <c r="B219" s="146" t="s">
        <v>1144</v>
      </c>
      <c r="C219" s="891">
        <f>$F$55</f>
        <v>350</v>
      </c>
      <c r="D219" s="891">
        <f>22*1000/34</f>
        <v>647.05882352941171</v>
      </c>
    </row>
    <row r="220" spans="2:14" s="146" customFormat="1" hidden="1" outlineLevel="1">
      <c r="B220" s="149" t="s">
        <v>1145</v>
      </c>
      <c r="C220" s="959">
        <f>C218/C219</f>
        <v>8.4944028925418529</v>
      </c>
      <c r="D220" s="959">
        <f>D218/D219</f>
        <v>11.363636363636365</v>
      </c>
    </row>
    <row r="221" spans="2:14" s="146" customFormat="1" hidden="1" outlineLevel="1"/>
    <row r="222" spans="2:14" s="146" customFormat="1" hidden="1" outlineLevel="1">
      <c r="B222" s="147" t="s">
        <v>1113</v>
      </c>
      <c r="C222" s="146" t="s">
        <v>524</v>
      </c>
      <c r="D222" s="146" t="s">
        <v>856</v>
      </c>
      <c r="E222" s="146" t="s">
        <v>6</v>
      </c>
    </row>
    <row r="223" spans="2:14" s="146" customFormat="1" hidden="1" outlineLevel="1">
      <c r="B223" s="146" t="s">
        <v>1168</v>
      </c>
      <c r="C223" s="963">
        <f>DCF!$B$33</f>
        <v>2680</v>
      </c>
      <c r="D223" s="938">
        <v>23</v>
      </c>
    </row>
    <row r="224" spans="2:14" s="146" customFormat="1" hidden="1" outlineLevel="1">
      <c r="B224" s="146" t="s">
        <v>1115</v>
      </c>
      <c r="C224" s="891">
        <f>DCF!$B$36</f>
        <v>17105</v>
      </c>
      <c r="D224" s="916">
        <v>414307.52714800002</v>
      </c>
    </row>
    <row r="225" spans="1:23" s="146" customFormat="1" hidden="1" outlineLevel="1">
      <c r="B225" s="147" t="s">
        <v>1116</v>
      </c>
      <c r="C225" s="892">
        <f>C223*C224/1000</f>
        <v>45841.4</v>
      </c>
      <c r="D225" s="892">
        <f>D223*D224/1000</f>
        <v>9529.0731244039998</v>
      </c>
      <c r="E225" s="892">
        <f>C225+D225</f>
        <v>55370.473124404001</v>
      </c>
      <c r="F225" s="892">
        <f>E225*1000/$C$11</f>
        <v>3417.9304397780247</v>
      </c>
      <c r="G225" s="892"/>
      <c r="H225" s="892"/>
    </row>
    <row r="226" spans="1:23" s="146" customFormat="1" hidden="1" outlineLevel="1">
      <c r="B226" s="919" t="s">
        <v>1117</v>
      </c>
      <c r="C226" s="916">
        <v>44809</v>
      </c>
      <c r="D226" s="916">
        <v>15314</v>
      </c>
      <c r="E226" s="891">
        <f>C226+D226</f>
        <v>60123</v>
      </c>
      <c r="F226" s="891">
        <f t="shared" ref="F226:F227" si="81">E226*1000/$C$11</f>
        <v>3711.2962962962961</v>
      </c>
      <c r="G226" s="891"/>
      <c r="H226" s="891"/>
      <c r="K226" s="146" t="s">
        <v>1118</v>
      </c>
    </row>
    <row r="227" spans="1:23" s="146" customFormat="1" hidden="1" outlineLevel="1">
      <c r="B227" s="148" t="s">
        <v>1120</v>
      </c>
      <c r="C227" s="947">
        <f>C225+C226</f>
        <v>90650.4</v>
      </c>
      <c r="D227" s="947">
        <f>D225+D226</f>
        <v>24843.073124404</v>
      </c>
      <c r="E227" s="947">
        <f>C227+D227</f>
        <v>115493.473124404</v>
      </c>
      <c r="F227" s="947">
        <f t="shared" si="81"/>
        <v>7129.2267360743208</v>
      </c>
      <c r="G227" s="947"/>
      <c r="H227" s="947"/>
    </row>
    <row r="228" spans="1:23" s="146" customFormat="1" hidden="1" outlineLevel="1">
      <c r="C228" s="967" cm="1">
        <f t="array" ref="C228">_xll.FDS("EXCL-ID","FF_ENTRPR_VAL_DAILY(0,,,,,""DIL"")")/1000</f>
        <v>98836.180334796998</v>
      </c>
    </row>
    <row r="229" spans="1:23" s="146" customFormat="1" hidden="1" outlineLevel="1">
      <c r="B229" s="249" t="s">
        <v>1169</v>
      </c>
      <c r="C229" s="222"/>
    </row>
    <row r="230" spans="1:23" s="146" customFormat="1" hidden="1" outlineLevel="1">
      <c r="B230" s="222" t="s">
        <v>1114</v>
      </c>
      <c r="C230" s="949">
        <f>$C$159/E225</f>
        <v>0.86983660573932875</v>
      </c>
    </row>
    <row r="231" spans="1:23" s="146" customFormat="1" hidden="1" outlineLevel="1">
      <c r="B231" s="222" t="s">
        <v>1119</v>
      </c>
      <c r="C231" s="949">
        <f>$C$159/E227</f>
        <v>0.41702152595959391</v>
      </c>
    </row>
    <row r="232" spans="1:23" s="146" customFormat="1" collapsed="1"/>
    <row r="233" spans="1:23" s="146" customFormat="1">
      <c r="A233" s="146" t="s">
        <v>615</v>
      </c>
      <c r="B233" s="894" t="s">
        <v>579</v>
      </c>
      <c r="C233" s="895"/>
      <c r="D233" s="895"/>
      <c r="E233" s="895"/>
      <c r="F233" s="895"/>
      <c r="G233" s="895"/>
      <c r="H233" s="895"/>
      <c r="I233" s="895"/>
      <c r="J233" s="895"/>
      <c r="K233" s="895"/>
      <c r="L233" s="895"/>
      <c r="M233" s="895"/>
      <c r="N233" s="895"/>
      <c r="O233" s="895"/>
      <c r="P233" s="895"/>
      <c r="Q233" s="895"/>
      <c r="R233" s="895"/>
      <c r="S233" s="895"/>
      <c r="T233" s="895"/>
      <c r="W233" s="895"/>
    </row>
    <row r="234" spans="1:23" s="146" customFormat="1"/>
    <row r="235" spans="1:23" s="146" customFormat="1" hidden="1" outlineLevel="1">
      <c r="A235" s="146" t="s">
        <v>615</v>
      </c>
      <c r="B235" s="147" t="s">
        <v>1177</v>
      </c>
      <c r="J235" s="147" t="s">
        <v>524</v>
      </c>
      <c r="K235" s="147" t="s">
        <v>856</v>
      </c>
      <c r="L235" s="147" t="s">
        <v>1083</v>
      </c>
    </row>
    <row r="236" spans="1:23" s="146" customFormat="1" hidden="1" outlineLevel="1"/>
    <row r="237" spans="1:23" s="146" customFormat="1" hidden="1" outlineLevel="1">
      <c r="B237" s="146" t="s">
        <v>687</v>
      </c>
      <c r="J237" s="891">
        <f>L672+K672+J672+H672</f>
        <v>33816.258000000002</v>
      </c>
      <c r="K237" s="891">
        <f>H711+J711+K711+L711</f>
        <v>11569.258000000002</v>
      </c>
      <c r="L237" s="891">
        <f>J237+K237</f>
        <v>45385.516000000003</v>
      </c>
    </row>
    <row r="238" spans="1:23" s="146" customFormat="1" hidden="1" outlineLevel="1">
      <c r="B238" s="146" t="s">
        <v>2</v>
      </c>
      <c r="J238" s="891">
        <f>L681+K681+J681+H681</f>
        <v>17426</v>
      </c>
      <c r="K238" s="891">
        <f>H720+J720+K720+L720</f>
        <v>5056.442</v>
      </c>
      <c r="L238" s="891">
        <f>J238+K238</f>
        <v>22482.441999999999</v>
      </c>
    </row>
    <row r="239" spans="1:23" s="146" customFormat="1" hidden="1" outlineLevel="1">
      <c r="B239" s="972" t="s">
        <v>4</v>
      </c>
      <c r="J239" s="170">
        <f>J238/J$237</f>
        <v>0.51531426096879196</v>
      </c>
      <c r="K239" s="170">
        <f>K238/K$237</f>
        <v>0.43705845266826959</v>
      </c>
      <c r="L239" s="170">
        <f>L238/L$237</f>
        <v>0.49536601060126756</v>
      </c>
    </row>
    <row r="240" spans="1:23" s="146" customFormat="1" hidden="1" outlineLevel="1">
      <c r="B240" s="146" t="s">
        <v>581</v>
      </c>
      <c r="J240" s="891">
        <f>L682+K682+J682+H682</f>
        <v>11896.742999999999</v>
      </c>
      <c r="K240" s="891">
        <f>H722+J722+K722+L722+H721+J721+K721+L721</f>
        <v>4923.9660000000003</v>
      </c>
      <c r="L240" s="891">
        <f>J240+K240</f>
        <v>16820.708999999999</v>
      </c>
    </row>
    <row r="241" spans="2:12" s="146" customFormat="1" hidden="1" outlineLevel="1">
      <c r="B241" s="146" t="s">
        <v>77</v>
      </c>
      <c r="J241" s="891">
        <f>J238-J240</f>
        <v>5529.2570000000014</v>
      </c>
      <c r="K241" s="891">
        <f>K238-K240</f>
        <v>132.47599999999966</v>
      </c>
      <c r="L241" s="891">
        <f>J241+K241</f>
        <v>5661.7330000000011</v>
      </c>
    </row>
    <row r="242" spans="2:12" s="146" customFormat="1" hidden="1" outlineLevel="1">
      <c r="B242" s="972" t="s">
        <v>583</v>
      </c>
      <c r="J242" s="170">
        <f>J241/J$237</f>
        <v>0.16350883648924139</v>
      </c>
      <c r="K242" s="170">
        <f>K241/K$237</f>
        <v>1.1450691133346637E-2</v>
      </c>
      <c r="L242" s="170">
        <f>L241/L$237</f>
        <v>0.12474757365323336</v>
      </c>
    </row>
    <row r="243" spans="2:12" s="146" customFormat="1" hidden="1" outlineLevel="1">
      <c r="B243" s="146" t="s">
        <v>173</v>
      </c>
      <c r="J243" s="891">
        <f>L686+K686+J686+H686</f>
        <v>-3072.3409999999999</v>
      </c>
      <c r="K243" s="891">
        <f>H725+J725+K725+L725</f>
        <v>-1326.2819999999999</v>
      </c>
      <c r="L243" s="891">
        <f t="shared" ref="L243:L248" si="82">J243+K243</f>
        <v>-4398.6229999999996</v>
      </c>
    </row>
    <row r="244" spans="2:12" s="146" customFormat="1" hidden="1" outlineLevel="1">
      <c r="B244" s="146" t="s">
        <v>355</v>
      </c>
      <c r="J244" s="891">
        <f>L687+K687+J687+H687</f>
        <v>87.397999999999996</v>
      </c>
      <c r="K244" s="891">
        <f>H726+J726+K726+L726</f>
        <v>28.624000000000002</v>
      </c>
      <c r="L244" s="891">
        <f t="shared" si="82"/>
        <v>116.02199999999999</v>
      </c>
    </row>
    <row r="245" spans="2:12" s="146" customFormat="1" hidden="1" outlineLevel="1">
      <c r="B245" s="146" t="s">
        <v>501</v>
      </c>
      <c r="J245" s="891">
        <f>L689+K689+J689+H689</f>
        <v>-336.42000000000189</v>
      </c>
      <c r="K245" s="891">
        <f>H728+J728+K728+L728</f>
        <v>953.846</v>
      </c>
      <c r="L245" s="891">
        <f t="shared" si="82"/>
        <v>617.42599999999811</v>
      </c>
    </row>
    <row r="246" spans="2:12" s="146" customFormat="1" hidden="1" outlineLevel="1">
      <c r="B246" s="146" t="s">
        <v>999</v>
      </c>
      <c r="J246" s="891">
        <f>L690+K690+J690+H690</f>
        <v>2207.8939999999998</v>
      </c>
      <c r="K246" s="891">
        <f t="shared" ref="K246" si="83">H729+J729+K729+L729</f>
        <v>-211.33600000000001</v>
      </c>
      <c r="L246" s="891">
        <f t="shared" si="82"/>
        <v>1996.5579999999998</v>
      </c>
    </row>
    <row r="247" spans="2:12" s="146" customFormat="1" hidden="1" outlineLevel="1">
      <c r="B247" s="146" t="s">
        <v>809</v>
      </c>
      <c r="J247" s="891">
        <f t="shared" ref="J247:J248" si="84">L691+K691+J691+H691</f>
        <v>-607.09699999999975</v>
      </c>
      <c r="K247" s="891">
        <f>H730+J730+K730+L730</f>
        <v>-305.69900000000007</v>
      </c>
      <c r="L247" s="891">
        <f t="shared" si="82"/>
        <v>-912.79599999999982</v>
      </c>
    </row>
    <row r="248" spans="2:12" s="146" customFormat="1" hidden="1" outlineLevel="1">
      <c r="B248" s="146" t="s">
        <v>416</v>
      </c>
      <c r="J248" s="891">
        <f t="shared" si="84"/>
        <v>1600.797</v>
      </c>
      <c r="K248" s="891">
        <f>H731+J731+K731+L731</f>
        <v>-517.00099999999998</v>
      </c>
      <c r="L248" s="891">
        <f t="shared" si="82"/>
        <v>1083.796</v>
      </c>
    </row>
    <row r="249" spans="2:12" s="146" customFormat="1" hidden="1" outlineLevel="1">
      <c r="B249" s="972" t="s">
        <v>768</v>
      </c>
      <c r="J249" s="170">
        <f>J248/J$237</f>
        <v>4.7338088087688468E-2</v>
      </c>
      <c r="K249" s="170">
        <f>K248/K$237</f>
        <v>-4.4687481254199697E-2</v>
      </c>
      <c r="L249" s="170">
        <f>L248/L$237</f>
        <v>2.3879776975544355E-2</v>
      </c>
    </row>
    <row r="250" spans="2:12" s="146" customFormat="1" hidden="1" outlineLevel="1"/>
    <row r="251" spans="2:12" s="146" customFormat="1" hidden="1" outlineLevel="1">
      <c r="B251" s="146" t="s">
        <v>1070</v>
      </c>
      <c r="J251" s="891">
        <f>L699</f>
        <v>12698</v>
      </c>
      <c r="K251" s="891">
        <f>L736</f>
        <v>6031.6299999999992</v>
      </c>
      <c r="L251" s="891">
        <f>J251+K251</f>
        <v>18729.629999999997</v>
      </c>
    </row>
    <row r="252" spans="2:12" s="146" customFormat="1" hidden="1" outlineLevel="1">
      <c r="B252" s="146" t="s">
        <v>1069</v>
      </c>
      <c r="J252" s="891">
        <f>L701</f>
        <v>1835</v>
      </c>
      <c r="K252" s="891">
        <f>L738</f>
        <v>2103</v>
      </c>
      <c r="L252" s="891">
        <f>J252+K252</f>
        <v>3938</v>
      </c>
    </row>
    <row r="253" spans="2:12" s="146" customFormat="1" hidden="1" outlineLevel="1">
      <c r="B253" s="146" t="s">
        <v>1019</v>
      </c>
      <c r="J253" s="891">
        <f>J251-J252</f>
        <v>10863</v>
      </c>
      <c r="K253" s="891">
        <f>K251-K252</f>
        <v>3928.6299999999992</v>
      </c>
      <c r="L253" s="891">
        <f>L251-L252</f>
        <v>14791.629999999997</v>
      </c>
    </row>
    <row r="254" spans="2:12" s="146" customFormat="1" hidden="1" outlineLevel="1">
      <c r="B254" s="146" t="s">
        <v>978</v>
      </c>
      <c r="J254" s="891">
        <f>L700</f>
        <v>33946</v>
      </c>
      <c r="K254" s="891">
        <f>L737</f>
        <v>11385.37</v>
      </c>
      <c r="L254" s="891">
        <f>J254+K254</f>
        <v>45331.37</v>
      </c>
    </row>
    <row r="255" spans="2:12" s="146" customFormat="1" hidden="1" outlineLevel="1">
      <c r="B255" s="146" t="s">
        <v>150</v>
      </c>
      <c r="J255" s="891">
        <f>J253+J254</f>
        <v>44809</v>
      </c>
      <c r="K255" s="891">
        <f>K253+K254</f>
        <v>15314</v>
      </c>
      <c r="L255" s="891">
        <f>L253+L254</f>
        <v>60123</v>
      </c>
    </row>
    <row r="256" spans="2:12" s="146" customFormat="1" hidden="1" outlineLevel="1">
      <c r="B256" s="146" t="s">
        <v>1071</v>
      </c>
      <c r="J256" s="948">
        <f>J255/J238</f>
        <v>2.5713875817743603</v>
      </c>
      <c r="K256" s="948">
        <f>K255/K238</f>
        <v>3.0286118183497406</v>
      </c>
      <c r="L256" s="948">
        <f>L255/L238</f>
        <v>2.6742201759043791</v>
      </c>
    </row>
    <row r="257" spans="1:20" s="146" customFormat="1" hidden="1" outlineLevel="1"/>
    <row r="258" spans="1:20" s="146" customFormat="1" hidden="1" outlineLevel="1"/>
    <row r="259" spans="1:20" s="146" customFormat="1" collapsed="1">
      <c r="A259" s="146" t="s">
        <v>615</v>
      </c>
      <c r="B259" s="249" t="s">
        <v>1083</v>
      </c>
      <c r="C259" s="222"/>
      <c r="D259" s="222"/>
      <c r="E259" s="222"/>
      <c r="F259" s="222"/>
      <c r="G259" s="222"/>
      <c r="H259" s="222"/>
      <c r="I259" s="249">
        <v>2023</v>
      </c>
      <c r="J259" s="222"/>
      <c r="K259" s="222"/>
      <c r="L259" s="249" t="s">
        <v>1134</v>
      </c>
      <c r="M259" s="249"/>
      <c r="N259" s="249">
        <v>2024</v>
      </c>
      <c r="O259" s="1023">
        <f>N259+1</f>
        <v>2025</v>
      </c>
      <c r="P259" s="1023">
        <f t="shared" ref="P259:T259" si="85">O259+1</f>
        <v>2026</v>
      </c>
      <c r="Q259" s="1023">
        <f t="shared" si="85"/>
        <v>2027</v>
      </c>
      <c r="R259" s="1023">
        <f t="shared" si="85"/>
        <v>2028</v>
      </c>
      <c r="S259" s="1023">
        <f t="shared" si="85"/>
        <v>2029</v>
      </c>
      <c r="T259" s="1023">
        <f t="shared" si="85"/>
        <v>2030</v>
      </c>
    </row>
    <row r="260" spans="1:20" s="146" customFormat="1">
      <c r="N260" s="147"/>
      <c r="O260" s="147"/>
    </row>
    <row r="261" spans="1:20" s="146" customFormat="1">
      <c r="B261" s="249" t="s">
        <v>613</v>
      </c>
      <c r="N261" s="147"/>
      <c r="O261" s="147"/>
    </row>
    <row r="262" spans="1:20" s="146" customFormat="1">
      <c r="N262" s="147"/>
      <c r="O262" s="147"/>
    </row>
    <row r="263" spans="1:20" s="146" customFormat="1">
      <c r="B263" s="146" t="s">
        <v>1459</v>
      </c>
      <c r="I263" s="170">
        <f>I350/I$310</f>
        <v>1.6941391384424291</v>
      </c>
      <c r="J263" s="170"/>
      <c r="K263" s="170"/>
      <c r="L263" s="170"/>
      <c r="M263" s="170"/>
      <c r="N263" s="170">
        <f>N350/N$310</f>
        <v>1.9647213627713109</v>
      </c>
      <c r="O263" s="225">
        <v>1.7</v>
      </c>
      <c r="P263" s="225">
        <f t="shared" ref="P263:T263" si="86">O263</f>
        <v>1.7</v>
      </c>
      <c r="Q263" s="225">
        <f t="shared" si="86"/>
        <v>1.7</v>
      </c>
      <c r="R263" s="225">
        <f t="shared" si="86"/>
        <v>1.7</v>
      </c>
      <c r="S263" s="225">
        <f t="shared" si="86"/>
        <v>1.7</v>
      </c>
      <c r="T263" s="225">
        <f t="shared" si="86"/>
        <v>1.7</v>
      </c>
    </row>
    <row r="264" spans="1:20" s="146" customFormat="1">
      <c r="B264" s="146" t="s">
        <v>1233</v>
      </c>
      <c r="I264" s="170">
        <f>I351/$I343</f>
        <v>2.9244838353336467E-3</v>
      </c>
      <c r="J264" s="170"/>
      <c r="K264" s="170"/>
      <c r="L264" s="170"/>
      <c r="M264" s="170"/>
      <c r="N264" s="170">
        <f>N351/$I343</f>
        <v>2.929145218901869E-3</v>
      </c>
      <c r="O264" s="225">
        <f t="shared" ref="O264:T266" si="87">N264</f>
        <v>2.929145218901869E-3</v>
      </c>
      <c r="P264" s="225">
        <f t="shared" si="87"/>
        <v>2.929145218901869E-3</v>
      </c>
      <c r="Q264" s="225">
        <f t="shared" si="87"/>
        <v>2.929145218901869E-3</v>
      </c>
      <c r="R264" s="225">
        <f t="shared" si="87"/>
        <v>2.929145218901869E-3</v>
      </c>
      <c r="S264" s="225">
        <f t="shared" si="87"/>
        <v>2.929145218901869E-3</v>
      </c>
      <c r="T264" s="225">
        <f t="shared" si="87"/>
        <v>2.929145218901869E-3</v>
      </c>
    </row>
    <row r="265" spans="1:20" s="146" customFormat="1">
      <c r="B265" s="146" t="s">
        <v>1012</v>
      </c>
      <c r="I265" s="170">
        <f>-I357/(I516+I517)</f>
        <v>6.1195808446650242E-2</v>
      </c>
      <c r="J265" s="170"/>
      <c r="K265" s="170"/>
      <c r="L265" s="170"/>
      <c r="M265" s="170"/>
      <c r="N265" s="170">
        <f>-N357/(N516+N517)</f>
        <v>6.9020375215619739E-2</v>
      </c>
      <c r="O265" s="225">
        <f t="shared" si="87"/>
        <v>6.9020375215619739E-2</v>
      </c>
      <c r="P265" s="225">
        <f t="shared" si="87"/>
        <v>6.9020375215619739E-2</v>
      </c>
      <c r="Q265" s="225">
        <f t="shared" si="87"/>
        <v>6.9020375215619739E-2</v>
      </c>
      <c r="R265" s="225">
        <f t="shared" si="87"/>
        <v>6.9020375215619739E-2</v>
      </c>
      <c r="S265" s="225">
        <f t="shared" si="87"/>
        <v>6.9020375215619739E-2</v>
      </c>
      <c r="T265" s="225">
        <f t="shared" si="87"/>
        <v>6.9020375215619739E-2</v>
      </c>
    </row>
    <row r="266" spans="1:20" s="146" customFormat="1">
      <c r="B266" s="146" t="s">
        <v>1242</v>
      </c>
      <c r="I266" s="170">
        <f>I358/I505</f>
        <v>8.782681657996308E-2</v>
      </c>
      <c r="J266" s="170"/>
      <c r="K266" s="170"/>
      <c r="L266" s="170"/>
      <c r="M266" s="170"/>
      <c r="N266" s="170">
        <f>N358/N505</f>
        <v>7.3719736333520983E-2</v>
      </c>
      <c r="O266" s="225">
        <f t="shared" si="87"/>
        <v>7.3719736333520983E-2</v>
      </c>
      <c r="P266" s="225">
        <f t="shared" si="87"/>
        <v>7.3719736333520983E-2</v>
      </c>
      <c r="Q266" s="225">
        <f t="shared" si="87"/>
        <v>7.3719736333520983E-2</v>
      </c>
      <c r="R266" s="225">
        <f t="shared" si="87"/>
        <v>7.3719736333520983E-2</v>
      </c>
      <c r="S266" s="225">
        <f t="shared" si="87"/>
        <v>7.3719736333520983E-2</v>
      </c>
      <c r="T266" s="225">
        <f t="shared" si="87"/>
        <v>7.3719736333520983E-2</v>
      </c>
    </row>
    <row r="267" spans="1:20" s="146" customFormat="1">
      <c r="B267" s="146" t="s">
        <v>1013</v>
      </c>
      <c r="I267" s="170">
        <f>I360/I$343</f>
        <v>1.7216581455438106E-2</v>
      </c>
      <c r="N267" s="170">
        <f>N360/N$343</f>
        <v>-8.1617378341538086E-4</v>
      </c>
      <c r="O267" s="278">
        <v>0</v>
      </c>
      <c r="P267" s="278">
        <v>0</v>
      </c>
      <c r="Q267" s="278">
        <v>0</v>
      </c>
      <c r="R267" s="278">
        <v>0</v>
      </c>
      <c r="S267" s="278">
        <v>0</v>
      </c>
      <c r="T267" s="278">
        <v>0</v>
      </c>
    </row>
    <row r="268" spans="1:20" s="146" customFormat="1">
      <c r="B268" s="146" t="s">
        <v>406</v>
      </c>
      <c r="I268" s="170">
        <f>-I362/I361</f>
        <v>0.34317209564296158</v>
      </c>
      <c r="J268" s="170"/>
      <c r="K268" s="170"/>
      <c r="L268" s="170"/>
      <c r="M268" s="170"/>
      <c r="N268" s="170">
        <f>-N362/N361</f>
        <v>0.51558120088143877</v>
      </c>
      <c r="O268" s="278">
        <v>0.22</v>
      </c>
      <c r="P268" s="278">
        <v>0.22</v>
      </c>
      <c r="Q268" s="278">
        <v>0.22</v>
      </c>
      <c r="R268" s="278">
        <v>0.22</v>
      </c>
      <c r="S268" s="278">
        <v>0.22</v>
      </c>
      <c r="T268" s="278">
        <v>0.22</v>
      </c>
    </row>
    <row r="269" spans="1:20" s="146" customFormat="1">
      <c r="N269" s="147"/>
      <c r="O269" s="147"/>
    </row>
    <row r="270" spans="1:20" s="146" customFormat="1">
      <c r="B270" s="249" t="s">
        <v>1246</v>
      </c>
      <c r="N270" s="147"/>
      <c r="O270" s="147"/>
    </row>
    <row r="271" spans="1:20" s="146" customFormat="1">
      <c r="B271" s="147"/>
      <c r="N271" s="147"/>
      <c r="O271" s="147"/>
    </row>
    <row r="272" spans="1:20" s="146" customFormat="1">
      <c r="B272" s="147" t="s">
        <v>1384</v>
      </c>
      <c r="C272" s="891"/>
      <c r="D272" s="891"/>
      <c r="E272" s="891"/>
      <c r="F272" s="891"/>
      <c r="G272" s="891"/>
      <c r="H272" s="891"/>
      <c r="I272" s="891"/>
      <c r="J272" s="891"/>
      <c r="K272" s="891"/>
      <c r="L272" s="891"/>
      <c r="M272" s="891"/>
      <c r="N272" s="892"/>
      <c r="O272" s="892"/>
      <c r="P272" s="891"/>
      <c r="Q272" s="891"/>
      <c r="R272" s="891"/>
      <c r="S272" s="891"/>
      <c r="T272" s="891"/>
    </row>
    <row r="273" spans="2:31" s="146" customFormat="1">
      <c r="B273" s="146" t="s">
        <v>766</v>
      </c>
      <c r="C273" s="891"/>
      <c r="D273" s="891"/>
      <c r="E273" s="891"/>
      <c r="F273" s="891"/>
      <c r="G273" s="891"/>
      <c r="H273" s="891"/>
      <c r="I273" s="891"/>
      <c r="J273" s="891"/>
      <c r="K273" s="891"/>
      <c r="L273" s="891"/>
      <c r="M273" s="891"/>
      <c r="N273" s="891">
        <f>N390*N396*12/1000</f>
        <v>40269.599999999999</v>
      </c>
      <c r="O273" s="891">
        <f>O390*O396*12/1000</f>
        <v>38852.110079999999</v>
      </c>
      <c r="P273" s="891">
        <f t="shared" ref="P273:T273" si="88">P390*P396*12/1000</f>
        <v>40217.761749311991</v>
      </c>
      <c r="Q273" s="891">
        <f t="shared" si="88"/>
        <v>41429.32182201001</v>
      </c>
      <c r="R273" s="891">
        <f t="shared" si="88"/>
        <v>42677.380141898051</v>
      </c>
      <c r="S273" s="891">
        <f t="shared" si="88"/>
        <v>43748.582383459689</v>
      </c>
      <c r="T273" s="891">
        <f t="shared" si="88"/>
        <v>44758.737150693763</v>
      </c>
      <c r="V273" s="170">
        <f>(T273/N273)^(1/6)-1</f>
        <v>1.7771029813698602E-2</v>
      </c>
    </row>
    <row r="274" spans="2:31" s="146" customFormat="1">
      <c r="B274" s="146" t="s">
        <v>776</v>
      </c>
      <c r="C274" s="891"/>
      <c r="D274" s="891"/>
      <c r="E274" s="891"/>
      <c r="F274" s="891"/>
      <c r="G274" s="891"/>
      <c r="H274" s="891"/>
      <c r="I274" s="891"/>
      <c r="J274" s="891"/>
      <c r="K274" s="891"/>
      <c r="L274" s="891"/>
      <c r="M274" s="891"/>
      <c r="N274" s="891">
        <f>N276-N275-N273</f>
        <v>960.58980000000156</v>
      </c>
      <c r="O274" s="891">
        <f>O407</f>
        <v>3341.1990192661965</v>
      </c>
      <c r="P274" s="891">
        <f t="shared" ref="P274:T274" si="89">P407</f>
        <v>3898.3948781808012</v>
      </c>
      <c r="Q274" s="891">
        <f t="shared" si="89"/>
        <v>4373.4779007423194</v>
      </c>
      <c r="R274" s="891">
        <f t="shared" si="89"/>
        <v>4786.0710379206985</v>
      </c>
      <c r="S274" s="891">
        <f t="shared" si="89"/>
        <v>5129.9505837783809</v>
      </c>
      <c r="T274" s="891">
        <f t="shared" si="89"/>
        <v>5476.320231494331</v>
      </c>
      <c r="V274" s="170">
        <f t="shared" ref="V274:V275" si="90">(T274/N274)^(1/6)-1</f>
        <v>0.33657031364354872</v>
      </c>
    </row>
    <row r="275" spans="2:31" s="146" customFormat="1">
      <c r="B275" s="146" t="s">
        <v>843</v>
      </c>
      <c r="C275" s="891"/>
      <c r="D275" s="891"/>
      <c r="E275" s="891"/>
      <c r="F275" s="891"/>
      <c r="G275" s="891"/>
      <c r="H275" s="891"/>
      <c r="I275" s="891"/>
      <c r="J275" s="891"/>
      <c r="K275" s="891"/>
      <c r="L275" s="891"/>
      <c r="M275" s="891"/>
      <c r="N275" s="944">
        <f>10%*N276</f>
        <v>4581.1322</v>
      </c>
      <c r="O275" s="891">
        <f t="shared" ref="O275:T275" si="91">N275*(1+O281)</f>
        <v>4810.1888100000006</v>
      </c>
      <c r="P275" s="891">
        <f t="shared" si="91"/>
        <v>5050.6982505000005</v>
      </c>
      <c r="Q275" s="891">
        <f t="shared" si="91"/>
        <v>5303.233163025001</v>
      </c>
      <c r="R275" s="891">
        <f t="shared" si="91"/>
        <v>5568.3948211762508</v>
      </c>
      <c r="S275" s="891">
        <f t="shared" si="91"/>
        <v>5846.8145622350639</v>
      </c>
      <c r="T275" s="891">
        <f t="shared" si="91"/>
        <v>6139.1552903468173</v>
      </c>
      <c r="V275" s="170">
        <f t="shared" si="90"/>
        <v>5.0000000000000044E-2</v>
      </c>
    </row>
    <row r="276" spans="2:31" s="146" customFormat="1">
      <c r="B276" s="1223" t="s">
        <v>6</v>
      </c>
      <c r="C276" s="1224"/>
      <c r="D276" s="1224"/>
      <c r="E276" s="1224"/>
      <c r="F276" s="1224"/>
      <c r="G276" s="1224"/>
      <c r="H276" s="1224"/>
      <c r="I276" s="1225">
        <v>43978.359000000004</v>
      </c>
      <c r="J276" s="1224"/>
      <c r="K276" s="1224"/>
      <c r="L276" s="1224"/>
      <c r="M276" s="1224"/>
      <c r="N276" s="1225">
        <v>45811.322</v>
      </c>
      <c r="O276" s="1226">
        <f>SUM(O273:O275)</f>
        <v>47003.497909266196</v>
      </c>
      <c r="P276" s="1226">
        <f t="shared" ref="P276:T276" si="92">SUM(P273:P275)</f>
        <v>49166.854877992788</v>
      </c>
      <c r="Q276" s="1226">
        <f t="shared" si="92"/>
        <v>51106.032885777327</v>
      </c>
      <c r="R276" s="1226">
        <f t="shared" si="92"/>
        <v>53031.846000995007</v>
      </c>
      <c r="S276" s="1226">
        <f t="shared" si="92"/>
        <v>54725.347529473132</v>
      </c>
      <c r="T276" s="1226">
        <f t="shared" si="92"/>
        <v>56374.212672534915</v>
      </c>
      <c r="V276" s="170">
        <f>(T276/N276)^(1/6)-1</f>
        <v>3.5184937506311353E-2</v>
      </c>
    </row>
    <row r="277" spans="2:31" s="146" customFormat="1">
      <c r="B277" s="147"/>
      <c r="C277" s="891"/>
      <c r="D277" s="891"/>
      <c r="E277" s="891"/>
      <c r="F277" s="891"/>
      <c r="G277" s="891"/>
      <c r="H277" s="891"/>
      <c r="I277" s="891"/>
      <c r="J277" s="891"/>
      <c r="K277" s="891"/>
      <c r="L277" s="891"/>
      <c r="M277" s="891"/>
      <c r="N277" s="915"/>
      <c r="O277" s="892"/>
      <c r="P277" s="892"/>
      <c r="Q277" s="892"/>
      <c r="R277" s="892"/>
      <c r="S277" s="892"/>
      <c r="T277" s="892"/>
      <c r="V277" s="170"/>
    </row>
    <row r="278" spans="2:31" s="253" customFormat="1">
      <c r="B278" s="1146" t="s">
        <v>1308</v>
      </c>
      <c r="N278" s="1097"/>
      <c r="O278" s="1097"/>
    </row>
    <row r="279" spans="2:31" s="253" customFormat="1">
      <c r="B279" s="1147" t="s">
        <v>766</v>
      </c>
      <c r="N279" s="1097"/>
      <c r="O279" s="1096">
        <f t="shared" ref="O279:T280" si="93">IFERROR(O273/N273-1,"")</f>
        <v>-3.5200000000000009E-2</v>
      </c>
      <c r="P279" s="1096">
        <f t="shared" si="93"/>
        <v>3.5149999999999793E-2</v>
      </c>
      <c r="Q279" s="1096">
        <f t="shared" si="93"/>
        <v>3.0124999999999957E-2</v>
      </c>
      <c r="R279" s="1096">
        <f t="shared" si="93"/>
        <v>3.0124999999999735E-2</v>
      </c>
      <c r="S279" s="1096">
        <f t="shared" si="93"/>
        <v>2.50999999999999E-2</v>
      </c>
      <c r="T279" s="1096">
        <f t="shared" si="93"/>
        <v>2.3089999999999833E-2</v>
      </c>
    </row>
    <row r="280" spans="2:31" s="253" customFormat="1">
      <c r="B280" s="1147" t="s">
        <v>776</v>
      </c>
      <c r="N280" s="1097"/>
      <c r="O280" s="1096">
        <f t="shared" si="93"/>
        <v>2.4782786776063945</v>
      </c>
      <c r="P280" s="1096">
        <f t="shared" si="93"/>
        <v>0.16676524077185251</v>
      </c>
      <c r="Q280" s="1096">
        <f t="shared" si="93"/>
        <v>0.12186631611398413</v>
      </c>
      <c r="R280" s="1096">
        <f t="shared" si="93"/>
        <v>9.4339824401158845E-2</v>
      </c>
      <c r="S280" s="1096">
        <f t="shared" si="93"/>
        <v>7.1850071412036698E-2</v>
      </c>
      <c r="T280" s="1096">
        <f t="shared" si="93"/>
        <v>6.7519100244594732E-2</v>
      </c>
    </row>
    <row r="281" spans="2:31" s="253" customFormat="1">
      <c r="B281" s="1147" t="s">
        <v>843</v>
      </c>
      <c r="N281" s="1097"/>
      <c r="O281" s="1231">
        <v>0.05</v>
      </c>
      <c r="P281" s="1231">
        <v>0.05</v>
      </c>
      <c r="Q281" s="1231">
        <v>0.05</v>
      </c>
      <c r="R281" s="1231">
        <v>0.05</v>
      </c>
      <c r="S281" s="1231">
        <v>0.05</v>
      </c>
      <c r="T281" s="1231">
        <v>0.05</v>
      </c>
    </row>
    <row r="282" spans="2:31" s="253" customFormat="1">
      <c r="B282" s="1148" t="s">
        <v>389</v>
      </c>
      <c r="C282" s="1149"/>
      <c r="D282" s="1149"/>
      <c r="E282" s="1149"/>
      <c r="F282" s="1149"/>
      <c r="G282" s="1149"/>
      <c r="H282" s="1149"/>
      <c r="I282" s="1149"/>
      <c r="J282" s="1149"/>
      <c r="K282" s="1149"/>
      <c r="L282" s="1149"/>
      <c r="M282" s="1149"/>
      <c r="N282" s="1150"/>
      <c r="O282" s="1159">
        <f t="shared" ref="O282:T282" si="94">IFERROR(O276/N276-1,"")</f>
        <v>2.6023608514641694E-2</v>
      </c>
      <c r="P282" s="1159">
        <f t="shared" si="94"/>
        <v>4.6025446295564043E-2</v>
      </c>
      <c r="Q282" s="1159">
        <f t="shared" si="94"/>
        <v>3.9440757652621894E-2</v>
      </c>
      <c r="R282" s="1159">
        <f t="shared" si="94"/>
        <v>3.768269627818488E-2</v>
      </c>
      <c r="S282" s="1159">
        <f t="shared" si="94"/>
        <v>3.1933671108608008E-2</v>
      </c>
      <c r="T282" s="1159">
        <f t="shared" si="94"/>
        <v>3.0129824980531517E-2</v>
      </c>
    </row>
    <row r="283" spans="2:31" s="253" customFormat="1">
      <c r="B283" s="1097"/>
      <c r="N283" s="1097"/>
      <c r="O283" s="1097"/>
    </row>
    <row r="284" spans="2:31" s="253" customFormat="1">
      <c r="B284" s="1097" t="s">
        <v>1385</v>
      </c>
      <c r="N284" s="1097"/>
      <c r="O284" s="1097"/>
    </row>
    <row r="285" spans="2:31" s="253" customFormat="1">
      <c r="B285" s="253" t="s">
        <v>766</v>
      </c>
      <c r="N285" s="1096">
        <f t="shared" ref="N285:T287" si="95">IFERROR(N273/N$276,"")</f>
        <v>0.87903160707739447</v>
      </c>
      <c r="O285" s="1096">
        <f t="shared" si="95"/>
        <v>0.82657912300481695</v>
      </c>
      <c r="P285" s="1096">
        <f t="shared" si="95"/>
        <v>0.81798524329270383</v>
      </c>
      <c r="Q285" s="1096">
        <f t="shared" si="95"/>
        <v>0.81065423165607675</v>
      </c>
      <c r="R285" s="1096">
        <f t="shared" si="95"/>
        <v>0.80475003908212661</v>
      </c>
      <c r="S285" s="1096">
        <f t="shared" si="95"/>
        <v>0.79942082341091125</v>
      </c>
      <c r="T285" s="1096">
        <f t="shared" si="95"/>
        <v>0.7939576453277879</v>
      </c>
    </row>
    <row r="286" spans="2:31" s="253" customFormat="1">
      <c r="B286" s="253" t="s">
        <v>776</v>
      </c>
      <c r="N286" s="1096">
        <f t="shared" si="95"/>
        <v>2.0968392922605498E-2</v>
      </c>
      <c r="O286" s="1096">
        <f t="shared" si="95"/>
        <v>7.1084050504409746E-2</v>
      </c>
      <c r="P286" s="1096">
        <f t="shared" si="95"/>
        <v>7.9289083832078361E-2</v>
      </c>
      <c r="Q286" s="1096">
        <f t="shared" si="95"/>
        <v>8.557654847749778E-2</v>
      </c>
      <c r="R286" s="1096">
        <f t="shared" si="95"/>
        <v>9.0248999399924715E-2</v>
      </c>
      <c r="S286" s="1096">
        <f t="shared" si="95"/>
        <v>9.3739936160580267E-2</v>
      </c>
      <c r="T286" s="1096">
        <f t="shared" si="95"/>
        <v>9.7142292049470211E-2</v>
      </c>
    </row>
    <row r="287" spans="2:31" s="253" customFormat="1">
      <c r="B287" s="253" t="s">
        <v>843</v>
      </c>
      <c r="N287" s="1096">
        <f t="shared" si="95"/>
        <v>0.1</v>
      </c>
      <c r="O287" s="1096">
        <f t="shared" si="95"/>
        <v>0.1023368264907733</v>
      </c>
      <c r="P287" s="1096">
        <f t="shared" si="95"/>
        <v>0.10272567287521794</v>
      </c>
      <c r="Q287" s="1096">
        <f t="shared" si="95"/>
        <v>0.10376921986642552</v>
      </c>
      <c r="R287" s="1096">
        <f t="shared" si="95"/>
        <v>0.10500096151794856</v>
      </c>
      <c r="S287" s="1096">
        <f t="shared" si="95"/>
        <v>0.10683924042850851</v>
      </c>
      <c r="T287" s="1096">
        <f t="shared" si="95"/>
        <v>0.10890006262274181</v>
      </c>
    </row>
    <row r="288" spans="2:31" s="146" customFormat="1">
      <c r="B288" s="148"/>
      <c r="C288" s="149"/>
      <c r="D288" s="149"/>
      <c r="E288" s="149"/>
      <c r="F288" s="149"/>
      <c r="G288" s="149"/>
      <c r="H288" s="149"/>
      <c r="I288" s="149"/>
      <c r="J288" s="149"/>
      <c r="K288" s="149"/>
      <c r="L288" s="149"/>
      <c r="M288" s="149"/>
      <c r="N288" s="1232">
        <f>SUM(N285:N287)</f>
        <v>1</v>
      </c>
      <c r="O288" s="1232">
        <f t="shared" ref="O288:T288" si="96">SUM(O285:O287)</f>
        <v>1</v>
      </c>
      <c r="P288" s="1232">
        <f t="shared" si="96"/>
        <v>1</v>
      </c>
      <c r="Q288" s="1232">
        <f t="shared" si="96"/>
        <v>1</v>
      </c>
      <c r="R288" s="1232">
        <f t="shared" si="96"/>
        <v>0.99999999999999989</v>
      </c>
      <c r="S288" s="1232">
        <f t="shared" si="96"/>
        <v>1</v>
      </c>
      <c r="T288" s="1232">
        <f t="shared" si="96"/>
        <v>0.99999999999999989</v>
      </c>
      <c r="X288" s="253"/>
      <c r="Y288" s="253"/>
      <c r="Z288" s="253"/>
      <c r="AA288" s="253"/>
      <c r="AB288" s="253"/>
      <c r="AC288" s="253"/>
      <c r="AD288" s="253"/>
      <c r="AE288" s="253"/>
    </row>
    <row r="289" spans="1:31" s="146" customFormat="1">
      <c r="B289" s="147"/>
      <c r="N289" s="147"/>
      <c r="O289" s="147"/>
      <c r="X289" s="253"/>
      <c r="Y289" s="253"/>
      <c r="Z289" s="253"/>
      <c r="AA289" s="253"/>
      <c r="AB289" s="253"/>
      <c r="AC289" s="253"/>
      <c r="AD289" s="253"/>
      <c r="AE289" s="253"/>
    </row>
    <row r="290" spans="1:31">
      <c r="B290" s="147" t="s">
        <v>2</v>
      </c>
      <c r="Q290" s="170"/>
      <c r="R290" s="170"/>
      <c r="S290" s="170"/>
      <c r="T290" s="170"/>
      <c r="U290" s="170"/>
      <c r="X290" s="253"/>
      <c r="Y290" s="253"/>
      <c r="Z290" s="253"/>
      <c r="AA290" s="253"/>
      <c r="AB290" s="253"/>
      <c r="AC290" s="253"/>
      <c r="AD290" s="253"/>
      <c r="AE290" s="253"/>
    </row>
    <row r="291" spans="1:31">
      <c r="B291" s="146" t="s">
        <v>524</v>
      </c>
      <c r="I291" s="891">
        <f t="shared" ref="I291" si="97">I681</f>
        <v>15885</v>
      </c>
      <c r="N291" s="891">
        <f t="shared" ref="N291:T291" si="98">N681</f>
        <v>17879</v>
      </c>
      <c r="O291" s="891">
        <f t="shared" si="98"/>
        <v>18399.161545411829</v>
      </c>
      <c r="P291" s="891">
        <f t="shared" si="98"/>
        <v>18945.54702009344</v>
      </c>
      <c r="Q291" s="891">
        <f t="shared" si="98"/>
        <v>19513.810610957211</v>
      </c>
      <c r="R291" s="891">
        <f t="shared" si="98"/>
        <v>20229.790081093579</v>
      </c>
      <c r="S291" s="891">
        <f t="shared" si="98"/>
        <v>20756.632903913796</v>
      </c>
      <c r="T291" s="891">
        <f t="shared" si="98"/>
        <v>21300.802403095364</v>
      </c>
      <c r="V291" s="170">
        <f t="shared" ref="V291:V292" si="99">(T291/N291)^(1/6)-1</f>
        <v>2.9616411945242671E-2</v>
      </c>
    </row>
    <row r="292" spans="1:31">
      <c r="B292" s="146" t="s">
        <v>856</v>
      </c>
      <c r="I292" s="891">
        <f>I720</f>
        <v>5211.009</v>
      </c>
      <c r="N292" s="891">
        <f>N720</f>
        <v>4572.777</v>
      </c>
      <c r="O292" s="891">
        <f t="shared" ref="O292:T292" si="100">O720</f>
        <v>4738.546171559321</v>
      </c>
      <c r="P292" s="891">
        <f t="shared" si="100"/>
        <v>4881.9881017504295</v>
      </c>
      <c r="Q292" s="891">
        <f t="shared" si="100"/>
        <v>5081.1548497914519</v>
      </c>
      <c r="R292" s="891">
        <f t="shared" si="100"/>
        <v>5330.463682257212</v>
      </c>
      <c r="S292" s="891">
        <f t="shared" si="100"/>
        <v>5589.8051404369226</v>
      </c>
      <c r="T292" s="891">
        <f t="shared" si="100"/>
        <v>5859.5624616735004</v>
      </c>
      <c r="V292" s="170">
        <f t="shared" si="99"/>
        <v>4.2191501866428949E-2</v>
      </c>
    </row>
    <row r="293" spans="1:31">
      <c r="B293" s="919" t="s">
        <v>1247</v>
      </c>
      <c r="N293" s="944"/>
      <c r="O293" s="944">
        <f t="shared" ref="O293:T293" si="101">O74</f>
        <v>113.4</v>
      </c>
      <c r="P293" s="944">
        <f t="shared" si="101"/>
        <v>396.9</v>
      </c>
      <c r="Q293" s="944">
        <f t="shared" si="101"/>
        <v>737.1</v>
      </c>
      <c r="R293" s="944">
        <f t="shared" si="101"/>
        <v>1134</v>
      </c>
      <c r="S293" s="944">
        <f t="shared" si="101"/>
        <v>1134</v>
      </c>
      <c r="T293" s="944">
        <f t="shared" si="101"/>
        <v>1134</v>
      </c>
      <c r="X293" s="891" t="s">
        <v>1096</v>
      </c>
      <c r="Y293" s="918">
        <f>O293*1000/16340</f>
        <v>6.9400244798041619</v>
      </c>
      <c r="Z293" s="918">
        <f t="shared" ref="Z293:AA293" si="102">P293*1000/16340</f>
        <v>24.290085679314565</v>
      </c>
      <c r="AA293" s="918">
        <f t="shared" si="102"/>
        <v>45.110159118727047</v>
      </c>
    </row>
    <row r="294" spans="1:31">
      <c r="B294" s="919" t="s">
        <v>1248</v>
      </c>
      <c r="N294" s="944"/>
      <c r="O294" s="944">
        <f t="shared" ref="O294:T294" si="103">-O93</f>
        <v>-204.12000000000003</v>
      </c>
      <c r="P294" s="944">
        <f t="shared" si="103"/>
        <v>-408.24000000000007</v>
      </c>
      <c r="Q294" s="944">
        <f t="shared" si="103"/>
        <v>-306.18000000000006</v>
      </c>
      <c r="R294" s="944">
        <f t="shared" si="103"/>
        <v>-102.06000000000002</v>
      </c>
      <c r="S294" s="944">
        <f t="shared" si="103"/>
        <v>0</v>
      </c>
      <c r="T294" s="944">
        <f t="shared" si="103"/>
        <v>0</v>
      </c>
    </row>
    <row r="295" spans="1:31" s="892" customFormat="1">
      <c r="A295" s="147"/>
      <c r="B295" s="1223" t="s">
        <v>6</v>
      </c>
      <c r="C295" s="1226"/>
      <c r="D295" s="1226"/>
      <c r="E295" s="1226"/>
      <c r="F295" s="1226"/>
      <c r="G295" s="1226"/>
      <c r="H295" s="1226"/>
      <c r="I295" s="1226">
        <f>SUM(I291:I294)</f>
        <v>21096.008999999998</v>
      </c>
      <c r="J295" s="1226"/>
      <c r="K295" s="1226"/>
      <c r="L295" s="1226"/>
      <c r="M295" s="1226"/>
      <c r="N295" s="1226">
        <f>SUM(N291:N294)</f>
        <v>22451.777000000002</v>
      </c>
      <c r="O295" s="1226">
        <f t="shared" ref="O295:T295" si="104">SUM(O291:O294)</f>
        <v>23046.987716971151</v>
      </c>
      <c r="P295" s="1226">
        <f t="shared" si="104"/>
        <v>23816.19512184387</v>
      </c>
      <c r="Q295" s="1226">
        <f t="shared" si="104"/>
        <v>25025.885460748661</v>
      </c>
      <c r="R295" s="1226">
        <f t="shared" si="104"/>
        <v>26592.193763350788</v>
      </c>
      <c r="S295" s="1226">
        <f t="shared" si="104"/>
        <v>27480.438044350718</v>
      </c>
      <c r="T295" s="1226">
        <f t="shared" si="104"/>
        <v>28294.364864768864</v>
      </c>
      <c r="V295" s="170">
        <f t="shared" ref="V295" si="105">(T295/N295)^(1/6)-1</f>
        <v>3.9301462128384479E-2</v>
      </c>
    </row>
    <row r="296" spans="1:31" s="1151" customFormat="1">
      <c r="A296" s="1097"/>
      <c r="B296" s="1147" t="s">
        <v>64</v>
      </c>
      <c r="O296" s="239">
        <f>O295/N295-1</f>
        <v>2.6510628400199687E-2</v>
      </c>
      <c r="P296" s="239">
        <f>P295/O295-1</f>
        <v>3.3375615690821814E-2</v>
      </c>
      <c r="Q296" s="239">
        <f t="shared" ref="Q296:T296" si="106">Q295/P295-1</f>
        <v>5.0792762349989307E-2</v>
      </c>
      <c r="R296" s="239">
        <f t="shared" si="106"/>
        <v>6.2587527824291112E-2</v>
      </c>
      <c r="S296" s="239">
        <f t="shared" si="106"/>
        <v>3.3402444676230658E-2</v>
      </c>
      <c r="T296" s="239">
        <f t="shared" si="106"/>
        <v>2.9618407796285773E-2</v>
      </c>
      <c r="V296" s="1096"/>
    </row>
    <row r="297" spans="1:31" s="253" customFormat="1">
      <c r="B297" s="1147" t="s">
        <v>4</v>
      </c>
      <c r="I297" s="1096">
        <f>I295/I276</f>
        <v>0.47969068150087174</v>
      </c>
      <c r="N297" s="1096">
        <f t="shared" ref="N297:T297" si="107">N295/N276</f>
        <v>0.49009231822648563</v>
      </c>
      <c r="O297" s="1096">
        <f t="shared" si="107"/>
        <v>0.4903249490380524</v>
      </c>
      <c r="P297" s="1096">
        <f t="shared" si="107"/>
        <v>0.48439533464045226</v>
      </c>
      <c r="Q297" s="1096">
        <f t="shared" si="107"/>
        <v>0.48968554293153321</v>
      </c>
      <c r="R297" s="1096">
        <f t="shared" si="107"/>
        <v>0.50143820682485485</v>
      </c>
      <c r="S297" s="1096">
        <f t="shared" si="107"/>
        <v>0.50215191469639786</v>
      </c>
      <c r="T297" s="1096">
        <f t="shared" si="107"/>
        <v>0.50190261687776372</v>
      </c>
    </row>
    <row r="298" spans="1:31" s="253" customFormat="1">
      <c r="B298" s="1147"/>
      <c r="I298" s="1096"/>
      <c r="N298" s="1096"/>
      <c r="O298" s="1096"/>
      <c r="P298" s="1096"/>
      <c r="Q298" s="1096"/>
      <c r="R298" s="1096"/>
      <c r="S298" s="1096"/>
      <c r="T298" s="1096"/>
    </row>
    <row r="299" spans="1:31" s="146" customFormat="1">
      <c r="B299" s="147" t="s">
        <v>91</v>
      </c>
      <c r="N299" s="147"/>
      <c r="O299" s="147"/>
    </row>
    <row r="300" spans="1:31" s="146" customFormat="1">
      <c r="B300" s="146" t="s">
        <v>524</v>
      </c>
      <c r="D300" s="891"/>
      <c r="I300" s="891">
        <f>I682</f>
        <v>11347.758</v>
      </c>
      <c r="N300" s="891">
        <f>N682</f>
        <v>12074.334999999999</v>
      </c>
      <c r="O300" s="147"/>
    </row>
    <row r="301" spans="1:31" s="146" customFormat="1">
      <c r="B301" s="146" t="s">
        <v>856</v>
      </c>
      <c r="D301" s="891"/>
      <c r="I301" s="891">
        <f>I721</f>
        <v>4473.6379999999999</v>
      </c>
      <c r="N301" s="891">
        <f>N721</f>
        <v>4753.3069999999998</v>
      </c>
      <c r="O301" s="147"/>
    </row>
    <row r="302" spans="1:31" s="146" customFormat="1">
      <c r="B302" s="149" t="s">
        <v>1322</v>
      </c>
      <c r="C302" s="149"/>
      <c r="D302" s="922"/>
      <c r="E302" s="149"/>
      <c r="F302" s="149"/>
      <c r="G302" s="149"/>
      <c r="H302" s="149"/>
      <c r="I302" s="922">
        <f>I300+I301</f>
        <v>15821.396000000001</v>
      </c>
      <c r="J302" s="149"/>
      <c r="K302" s="149"/>
      <c r="L302" s="149"/>
      <c r="M302" s="149"/>
      <c r="N302" s="922">
        <f>N300+N301</f>
        <v>16827.642</v>
      </c>
      <c r="O302" s="922">
        <f>(O263*O$310)</f>
        <v>17039.837325680932</v>
      </c>
      <c r="P302" s="922">
        <f t="shared" ref="P302:T302" si="108">(P263*P$310)</f>
        <v>17564.82781802562</v>
      </c>
      <c r="Q302" s="922">
        <f t="shared" si="108"/>
        <v>18095.916089659586</v>
      </c>
      <c r="R302" s="922">
        <f t="shared" si="108"/>
        <v>18568.28467116223</v>
      </c>
      <c r="S302" s="922">
        <f t="shared" si="108"/>
        <v>19056.51078916591</v>
      </c>
      <c r="T302" s="922">
        <f t="shared" si="108"/>
        <v>19561.012263059878</v>
      </c>
      <c r="V302" s="146" t="s">
        <v>1453</v>
      </c>
    </row>
    <row r="303" spans="1:31" s="146" customFormat="1">
      <c r="B303" s="146" t="s">
        <v>879</v>
      </c>
      <c r="N303" s="147"/>
      <c r="O303" s="891">
        <f t="shared" ref="O303:T303" si="109">-O129</f>
        <v>-170.10000000000002</v>
      </c>
      <c r="P303" s="891">
        <f t="shared" si="109"/>
        <v>-595.35</v>
      </c>
      <c r="Q303" s="891">
        <f t="shared" si="109"/>
        <v>-1105.6500000000001</v>
      </c>
      <c r="R303" s="891">
        <f t="shared" si="109"/>
        <v>-1701.0000000000002</v>
      </c>
      <c r="S303" s="891">
        <f t="shared" si="109"/>
        <v>-1701.0000000000002</v>
      </c>
      <c r="T303" s="891">
        <f t="shared" si="109"/>
        <v>-1701.0000000000002</v>
      </c>
    </row>
    <row r="304" spans="1:31" s="146" customFormat="1">
      <c r="B304" s="1223" t="s">
        <v>6</v>
      </c>
      <c r="C304" s="1227"/>
      <c r="D304" s="1227"/>
      <c r="E304" s="1227"/>
      <c r="F304" s="1227"/>
      <c r="G304" s="1227"/>
      <c r="H304" s="1227"/>
      <c r="I304" s="1226">
        <f>I302+I303</f>
        <v>15821.396000000001</v>
      </c>
      <c r="J304" s="1227"/>
      <c r="K304" s="1227"/>
      <c r="L304" s="1227"/>
      <c r="M304" s="1227"/>
      <c r="N304" s="1226">
        <f>N302+N303</f>
        <v>16827.642</v>
      </c>
      <c r="O304" s="1226">
        <f>O302+O303</f>
        <v>16869.737325680933</v>
      </c>
      <c r="P304" s="1226">
        <f t="shared" ref="P304:T304" si="110">P302+P303</f>
        <v>16969.477818025622</v>
      </c>
      <c r="Q304" s="1226">
        <f t="shared" si="110"/>
        <v>16990.266089659584</v>
      </c>
      <c r="R304" s="1226">
        <f t="shared" si="110"/>
        <v>16867.28467116223</v>
      </c>
      <c r="S304" s="1226">
        <f t="shared" si="110"/>
        <v>17355.51078916591</v>
      </c>
      <c r="T304" s="1226">
        <f t="shared" si="110"/>
        <v>17860.012263059878</v>
      </c>
    </row>
    <row r="305" spans="2:23" s="146" customFormat="1">
      <c r="B305" s="147" t="s">
        <v>1452</v>
      </c>
      <c r="I305" s="170">
        <f>I304/I313</f>
        <v>1.6941391384424291</v>
      </c>
      <c r="J305" s="170" t="e">
        <f t="shared" ref="J305:T305" si="111">J304/J313</f>
        <v>#DIV/0!</v>
      </c>
      <c r="K305" s="170" t="e">
        <f t="shared" si="111"/>
        <v>#DIV/0!</v>
      </c>
      <c r="L305" s="170" t="e">
        <f t="shared" si="111"/>
        <v>#DIV/0!</v>
      </c>
      <c r="M305" s="170" t="e">
        <f t="shared" si="111"/>
        <v>#DIV/0!</v>
      </c>
      <c r="N305" s="170">
        <f t="shared" si="111"/>
        <v>1.9647213627713109</v>
      </c>
      <c r="O305" s="170">
        <f t="shared" si="111"/>
        <v>1.6512709880983365</v>
      </c>
      <c r="P305" s="170">
        <f t="shared" si="111"/>
        <v>1.6487127677678737</v>
      </c>
      <c r="Q305" s="170">
        <f>Q304/Q313</f>
        <v>1.785380739932382</v>
      </c>
      <c r="R305" s="170">
        <f t="shared" si="111"/>
        <v>2.0259395496955963</v>
      </c>
      <c r="S305" s="170">
        <f t="shared" si="111"/>
        <v>2.0723710038931977</v>
      </c>
      <c r="T305" s="170">
        <f t="shared" si="111"/>
        <v>2.059627282832079</v>
      </c>
    </row>
    <row r="306" spans="2:23" s="146" customFormat="1">
      <c r="B306" s="147"/>
      <c r="N306" s="147"/>
      <c r="O306" s="147"/>
    </row>
    <row r="307" spans="2:23" s="146" customFormat="1">
      <c r="B307" s="147" t="s">
        <v>248</v>
      </c>
      <c r="N307" s="147"/>
      <c r="O307" s="147"/>
      <c r="V307" s="146">
        <v>20</v>
      </c>
      <c r="W307" s="146">
        <v>25</v>
      </c>
    </row>
    <row r="308" spans="2:23" s="146" customFormat="1">
      <c r="B308" s="146" t="s">
        <v>524</v>
      </c>
      <c r="D308" s="891"/>
      <c r="I308" s="891">
        <f t="shared" ref="I308" si="112">I694</f>
        <v>7158</v>
      </c>
      <c r="N308" s="891">
        <f t="shared" ref="N308:T308" si="113">N694</f>
        <v>7382</v>
      </c>
      <c r="O308" s="891">
        <f t="shared" si="113"/>
        <v>7829.2493014534921</v>
      </c>
      <c r="P308" s="891">
        <f t="shared" si="113"/>
        <v>8046.1855180603307</v>
      </c>
      <c r="Q308" s="891">
        <f t="shared" si="113"/>
        <v>8271.5595230998497</v>
      </c>
      <c r="R308" s="891">
        <f t="shared" si="113"/>
        <v>8469.3155075423165</v>
      </c>
      <c r="S308" s="891">
        <f t="shared" si="113"/>
        <v>8673.3759591881844</v>
      </c>
      <c r="T308" s="891">
        <f t="shared" si="113"/>
        <v>8883.8891167246911</v>
      </c>
      <c r="V308" s="146">
        <f>V307*1000/16340</f>
        <v>1.2239902080783354</v>
      </c>
      <c r="W308" s="146">
        <f>W307*1000/16340</f>
        <v>1.5299877600979193</v>
      </c>
    </row>
    <row r="309" spans="2:23" s="146" customFormat="1">
      <c r="B309" s="146" t="s">
        <v>856</v>
      </c>
      <c r="D309" s="891"/>
      <c r="I309" s="891">
        <f>I733</f>
        <v>2180.9</v>
      </c>
      <c r="N309" s="891">
        <f>N733</f>
        <v>1182.9000000000001</v>
      </c>
      <c r="O309" s="891">
        <f t="shared" ref="O309:T309" si="114">O733</f>
        <v>2194.184419535291</v>
      </c>
      <c r="P309" s="891">
        <f t="shared" si="114"/>
        <v>2286.0661396017986</v>
      </c>
      <c r="Q309" s="891">
        <f t="shared" si="114"/>
        <v>2373.0970002293188</v>
      </c>
      <c r="R309" s="891">
        <f t="shared" si="114"/>
        <v>2453.2048872589944</v>
      </c>
      <c r="S309" s="891">
        <f t="shared" si="114"/>
        <v>2536.3362697329389</v>
      </c>
      <c r="T309" s="891">
        <f t="shared" si="114"/>
        <v>2622.5886850752381</v>
      </c>
    </row>
    <row r="310" spans="2:23" s="147" customFormat="1">
      <c r="B310" s="148" t="s">
        <v>1454</v>
      </c>
      <c r="C310" s="148"/>
      <c r="D310" s="947"/>
      <c r="E310" s="148"/>
      <c r="F310" s="148"/>
      <c r="G310" s="148"/>
      <c r="H310" s="148"/>
      <c r="I310" s="947">
        <f>SUM(I308:I309)</f>
        <v>9338.9</v>
      </c>
      <c r="J310" s="947">
        <f t="shared" ref="J310:S310" si="115">SUM(J308:J309)</f>
        <v>0</v>
      </c>
      <c r="K310" s="947">
        <f t="shared" si="115"/>
        <v>0</v>
      </c>
      <c r="L310" s="947">
        <f t="shared" si="115"/>
        <v>0</v>
      </c>
      <c r="M310" s="947">
        <f t="shared" si="115"/>
        <v>0</v>
      </c>
      <c r="N310" s="947">
        <f t="shared" si="115"/>
        <v>8564.9</v>
      </c>
      <c r="O310" s="947">
        <f t="shared" si="115"/>
        <v>10023.433720988784</v>
      </c>
      <c r="P310" s="947">
        <f t="shared" si="115"/>
        <v>10332.251657662129</v>
      </c>
      <c r="Q310" s="947">
        <f t="shared" si="115"/>
        <v>10644.656523329169</v>
      </c>
      <c r="R310" s="947">
        <f t="shared" si="115"/>
        <v>10922.520394801311</v>
      </c>
      <c r="S310" s="947">
        <f t="shared" si="115"/>
        <v>11209.712228921124</v>
      </c>
      <c r="T310" s="947">
        <f>SUM(T308:T309)</f>
        <v>11506.477801799929</v>
      </c>
    </row>
    <row r="311" spans="2:23" s="146" customFormat="1">
      <c r="B311" s="919" t="s">
        <v>1247</v>
      </c>
      <c r="N311" s="944"/>
      <c r="O311" s="944">
        <f t="shared" ref="O311:T311" si="116">-O76</f>
        <v>-283.5</v>
      </c>
      <c r="P311" s="944">
        <f t="shared" si="116"/>
        <v>-992.24999999999989</v>
      </c>
      <c r="Q311" s="944">
        <f t="shared" si="116"/>
        <v>-1842.75</v>
      </c>
      <c r="R311" s="944">
        <f t="shared" si="116"/>
        <v>-2835</v>
      </c>
      <c r="S311" s="944">
        <f t="shared" si="116"/>
        <v>-2835</v>
      </c>
      <c r="T311" s="944">
        <f t="shared" si="116"/>
        <v>-2835</v>
      </c>
    </row>
    <row r="312" spans="2:23" s="146" customFormat="1">
      <c r="B312" s="919" t="s">
        <v>1248</v>
      </c>
      <c r="N312" s="944"/>
      <c r="O312" s="944">
        <f t="shared" ref="O312:T312" si="117">O94</f>
        <v>476.28</v>
      </c>
      <c r="P312" s="944">
        <f t="shared" si="117"/>
        <v>952.56</v>
      </c>
      <c r="Q312" s="944">
        <f t="shared" si="117"/>
        <v>714.42</v>
      </c>
      <c r="R312" s="944">
        <f t="shared" si="117"/>
        <v>238.14</v>
      </c>
      <c r="S312" s="944">
        <f t="shared" si="117"/>
        <v>0</v>
      </c>
      <c r="T312" s="944">
        <f t="shared" si="117"/>
        <v>0</v>
      </c>
    </row>
    <row r="313" spans="2:23" s="146" customFormat="1">
      <c r="B313" s="1223" t="s">
        <v>6</v>
      </c>
      <c r="C313" s="1227"/>
      <c r="D313" s="1226"/>
      <c r="E313" s="1227"/>
      <c r="F313" s="1227"/>
      <c r="G313" s="1227"/>
      <c r="H313" s="1227"/>
      <c r="I313" s="1226">
        <f>SUM(I310:I312)</f>
        <v>9338.9</v>
      </c>
      <c r="J313" s="1226">
        <f t="shared" ref="J313:T313" si="118">SUM(J310:J312)</f>
        <v>0</v>
      </c>
      <c r="K313" s="1226">
        <f t="shared" si="118"/>
        <v>0</v>
      </c>
      <c r="L313" s="1226">
        <f t="shared" si="118"/>
        <v>0</v>
      </c>
      <c r="M313" s="1226">
        <f t="shared" si="118"/>
        <v>0</v>
      </c>
      <c r="N313" s="1226">
        <f t="shared" si="118"/>
        <v>8564.9</v>
      </c>
      <c r="O313" s="1226">
        <f t="shared" si="118"/>
        <v>10216.213720988784</v>
      </c>
      <c r="P313" s="1226">
        <f t="shared" si="118"/>
        <v>10292.561657662129</v>
      </c>
      <c r="Q313" s="1226">
        <f t="shared" si="118"/>
        <v>9516.3265233291695</v>
      </c>
      <c r="R313" s="1226">
        <f t="shared" si="118"/>
        <v>8325.6603948013108</v>
      </c>
      <c r="S313" s="1226">
        <f t="shared" si="118"/>
        <v>8374.7122289211238</v>
      </c>
      <c r="T313" s="1226">
        <f t="shared" si="118"/>
        <v>8671.4778017999288</v>
      </c>
      <c r="V313" s="170">
        <f t="shared" ref="V313" si="119">(T313/N313)^(1/6)-1</f>
        <v>2.0632539213589762E-3</v>
      </c>
      <c r="W313" s="146">
        <f>T313/I313-1</f>
        <v>-7.1466896336835228E-2</v>
      </c>
    </row>
    <row r="314" spans="2:23" s="146" customFormat="1">
      <c r="B314" s="146" t="s">
        <v>181</v>
      </c>
      <c r="I314" s="170">
        <f>IFERROR(I313/I$276,"")</f>
        <v>0.21235217075744001</v>
      </c>
      <c r="N314" s="170">
        <f t="shared" ref="N314:T314" si="120">IFERROR(N313/N$276,"")</f>
        <v>0.18696033264440612</v>
      </c>
      <c r="O314" s="170">
        <f t="shared" si="120"/>
        <v>0.21735007340751072</v>
      </c>
      <c r="P314" s="170">
        <f>IFERROR(P313/P$276,"")</f>
        <v>0.20933943574798611</v>
      </c>
      <c r="Q314" s="170">
        <f t="shared" si="120"/>
        <v>0.18620749813624329</v>
      </c>
      <c r="R314" s="170">
        <f t="shared" si="120"/>
        <v>0.15699359955610637</v>
      </c>
      <c r="S314" s="170">
        <f t="shared" si="120"/>
        <v>0.15303168653996763</v>
      </c>
      <c r="T314" s="170">
        <f t="shared" si="120"/>
        <v>0.15381993629198135</v>
      </c>
      <c r="V314" s="146" t="s">
        <v>1455</v>
      </c>
    </row>
    <row r="315" spans="2:23" s="146" customFormat="1">
      <c r="B315" s="147"/>
      <c r="N315" s="147"/>
      <c r="O315" s="147"/>
    </row>
    <row r="316" spans="2:23" s="146" customFormat="1">
      <c r="B316" s="249" t="s">
        <v>1256</v>
      </c>
      <c r="C316" s="1138">
        <v>1</v>
      </c>
      <c r="D316" s="146" t="s">
        <v>1252</v>
      </c>
      <c r="N316" s="147"/>
      <c r="O316" s="147"/>
    </row>
    <row r="317" spans="2:23" s="146" customFormat="1">
      <c r="B317" s="147"/>
      <c r="D317" s="146" t="s">
        <v>1253</v>
      </c>
      <c r="N317" s="147"/>
      <c r="O317" s="147"/>
    </row>
    <row r="318" spans="2:23" s="146" customFormat="1">
      <c r="B318" s="147"/>
      <c r="N318" s="147"/>
      <c r="O318" s="147"/>
    </row>
    <row r="319" spans="2:23" s="146" customFormat="1">
      <c r="B319" s="1083" t="s">
        <v>1249</v>
      </c>
      <c r="C319" s="149"/>
      <c r="D319" s="149"/>
      <c r="E319" s="149"/>
      <c r="F319" s="149"/>
      <c r="G319" s="149"/>
      <c r="H319" s="149"/>
      <c r="I319" s="149"/>
      <c r="J319" s="149"/>
      <c r="K319" s="149"/>
      <c r="L319" s="149"/>
      <c r="M319" s="149"/>
      <c r="N319" s="148"/>
      <c r="O319" s="148"/>
      <c r="P319" s="149"/>
      <c r="Q319" s="149"/>
      <c r="R319" s="149"/>
      <c r="S319" s="149"/>
      <c r="T319" s="174"/>
    </row>
    <row r="320" spans="2:23" s="146" customFormat="1">
      <c r="B320" s="204" t="s">
        <v>687</v>
      </c>
      <c r="N320" s="1084">
        <f>CHOOSE($C$316,N326,N327)</f>
        <v>45811.322</v>
      </c>
      <c r="O320" s="1084">
        <f t="shared" ref="O320:T320" si="121">CHOOSE($C$316,O326,O327)</f>
        <v>47003.497909266196</v>
      </c>
      <c r="P320" s="1084">
        <f t="shared" si="121"/>
        <v>49166.854877992788</v>
      </c>
      <c r="Q320" s="1084">
        <f t="shared" si="121"/>
        <v>51106.032885777327</v>
      </c>
      <c r="R320" s="1084">
        <f t="shared" si="121"/>
        <v>53031.846000995007</v>
      </c>
      <c r="S320" s="1084">
        <f t="shared" si="121"/>
        <v>54725.347529473132</v>
      </c>
      <c r="T320" s="1085">
        <f t="shared" si="121"/>
        <v>56374.212672534915</v>
      </c>
    </row>
    <row r="321" spans="2:22" s="146" customFormat="1">
      <c r="B321" s="204" t="s">
        <v>2</v>
      </c>
      <c r="N321" s="1084">
        <f t="shared" ref="N321:T321" si="122">CHOOSE($C$316,N330,N331)</f>
        <v>22451.777000000002</v>
      </c>
      <c r="O321" s="1084">
        <f t="shared" si="122"/>
        <v>23046.987716971151</v>
      </c>
      <c r="P321" s="1084">
        <f t="shared" si="122"/>
        <v>23816.19512184387</v>
      </c>
      <c r="Q321" s="1084">
        <f t="shared" si="122"/>
        <v>25025.885460748661</v>
      </c>
      <c r="R321" s="1084">
        <f t="shared" si="122"/>
        <v>26592.193763350788</v>
      </c>
      <c r="S321" s="1084">
        <f t="shared" si="122"/>
        <v>27480.438044350718</v>
      </c>
      <c r="T321" s="1085">
        <f t="shared" si="122"/>
        <v>28294.364864768864</v>
      </c>
    </row>
    <row r="322" spans="2:22" s="146" customFormat="1">
      <c r="B322" s="204" t="s">
        <v>91</v>
      </c>
      <c r="N322" s="1084">
        <f>CHOOSE($C$316,N334,N335)</f>
        <v>16827.642</v>
      </c>
      <c r="O322" s="1084">
        <f t="shared" ref="O322:T322" si="123">CHOOSE($C$316,O334,O335)</f>
        <v>16869.737325680933</v>
      </c>
      <c r="P322" s="1084">
        <f t="shared" si="123"/>
        <v>16969.477818025622</v>
      </c>
      <c r="Q322" s="1084">
        <f t="shared" si="123"/>
        <v>16990.266089659584</v>
      </c>
      <c r="R322" s="1084">
        <f t="shared" si="123"/>
        <v>16867.28467116223</v>
      </c>
      <c r="S322" s="1084">
        <f t="shared" si="123"/>
        <v>17355.51078916591</v>
      </c>
      <c r="T322" s="1085">
        <f t="shared" si="123"/>
        <v>17860.012263059878</v>
      </c>
    </row>
    <row r="323" spans="2:22" s="146" customFormat="1">
      <c r="B323" s="205" t="s">
        <v>248</v>
      </c>
      <c r="C323" s="150"/>
      <c r="D323" s="150"/>
      <c r="E323" s="150"/>
      <c r="F323" s="150"/>
      <c r="G323" s="150"/>
      <c r="H323" s="150"/>
      <c r="I323" s="150"/>
      <c r="J323" s="150"/>
      <c r="K323" s="150"/>
      <c r="L323" s="150"/>
      <c r="M323" s="150"/>
      <c r="N323" s="1086">
        <f>CHOOSE($C$316,N338,N339)</f>
        <v>8564.9</v>
      </c>
      <c r="O323" s="1086">
        <f t="shared" ref="O323:T323" si="124">CHOOSE($C$316,O338,O339)</f>
        <v>10216.213720988784</v>
      </c>
      <c r="P323" s="1086">
        <f t="shared" si="124"/>
        <v>10292.561657662129</v>
      </c>
      <c r="Q323" s="1086">
        <f t="shared" si="124"/>
        <v>9516.3265233291695</v>
      </c>
      <c r="R323" s="1086">
        <f t="shared" si="124"/>
        <v>8325.6603948013108</v>
      </c>
      <c r="S323" s="1086">
        <f t="shared" si="124"/>
        <v>8374.7122289211238</v>
      </c>
      <c r="T323" s="1087">
        <f t="shared" si="124"/>
        <v>8671.4778017999288</v>
      </c>
    </row>
    <row r="324" spans="2:22" s="146" customFormat="1">
      <c r="B324" s="147"/>
      <c r="N324" s="147"/>
      <c r="O324" s="147"/>
    </row>
    <row r="325" spans="2:22" s="146" customFormat="1">
      <c r="B325" s="147" t="s">
        <v>687</v>
      </c>
      <c r="N325" s="147"/>
      <c r="O325" s="147"/>
    </row>
    <row r="326" spans="2:22" s="146" customFormat="1">
      <c r="B326" s="972" t="s">
        <v>1250</v>
      </c>
      <c r="N326" s="891">
        <f t="shared" ref="N326:T326" si="125">N276</f>
        <v>45811.322</v>
      </c>
      <c r="O326" s="891">
        <f t="shared" si="125"/>
        <v>47003.497909266196</v>
      </c>
      <c r="P326" s="891">
        <f t="shared" si="125"/>
        <v>49166.854877992788</v>
      </c>
      <c r="Q326" s="891">
        <f t="shared" si="125"/>
        <v>51106.032885777327</v>
      </c>
      <c r="R326" s="891">
        <f t="shared" si="125"/>
        <v>53031.846000995007</v>
      </c>
      <c r="S326" s="891">
        <f t="shared" si="125"/>
        <v>54725.347529473132</v>
      </c>
      <c r="T326" s="891">
        <f t="shared" si="125"/>
        <v>56374.212672534915</v>
      </c>
      <c r="V326" s="146" t="s">
        <v>1393</v>
      </c>
    </row>
    <row r="327" spans="2:22" s="146" customFormat="1">
      <c r="B327" s="972" t="s">
        <v>1251</v>
      </c>
      <c r="N327" s="891">
        <f t="shared" ref="N327:T327" si="126">N276</f>
        <v>45811.322</v>
      </c>
      <c r="O327" s="891">
        <f t="shared" si="126"/>
        <v>47003.497909266196</v>
      </c>
      <c r="P327" s="891">
        <f t="shared" si="126"/>
        <v>49166.854877992788</v>
      </c>
      <c r="Q327" s="891">
        <f t="shared" si="126"/>
        <v>51106.032885777327</v>
      </c>
      <c r="R327" s="891">
        <f t="shared" si="126"/>
        <v>53031.846000995007</v>
      </c>
      <c r="S327" s="891">
        <f t="shared" si="126"/>
        <v>54725.347529473132</v>
      </c>
      <c r="T327" s="891">
        <f t="shared" si="126"/>
        <v>56374.212672534915</v>
      </c>
      <c r="V327" s="146" t="s">
        <v>1393</v>
      </c>
    </row>
    <row r="328" spans="2:22" s="146" customFormat="1">
      <c r="B328" s="147"/>
    </row>
    <row r="329" spans="2:22" s="146" customFormat="1">
      <c r="B329" s="147" t="s">
        <v>2</v>
      </c>
    </row>
    <row r="330" spans="2:22" s="146" customFormat="1">
      <c r="B330" s="972" t="s">
        <v>1250</v>
      </c>
      <c r="N330" s="891">
        <f t="shared" ref="N330:T330" si="127">N295</f>
        <v>22451.777000000002</v>
      </c>
      <c r="O330" s="891">
        <f t="shared" si="127"/>
        <v>23046.987716971151</v>
      </c>
      <c r="P330" s="891">
        <f t="shared" si="127"/>
        <v>23816.19512184387</v>
      </c>
      <c r="Q330" s="891">
        <f t="shared" si="127"/>
        <v>25025.885460748661</v>
      </c>
      <c r="R330" s="891">
        <f t="shared" si="127"/>
        <v>26592.193763350788</v>
      </c>
      <c r="S330" s="891">
        <f>S295</f>
        <v>27480.438044350718</v>
      </c>
      <c r="T330" s="891">
        <f t="shared" si="127"/>
        <v>28294.364864768864</v>
      </c>
    </row>
    <row r="331" spans="2:22" s="146" customFormat="1">
      <c r="B331" s="972" t="s">
        <v>1251</v>
      </c>
      <c r="N331" s="891">
        <f t="shared" ref="N331:T331" si="128">N291+N292</f>
        <v>22451.777000000002</v>
      </c>
      <c r="O331" s="891">
        <f t="shared" si="128"/>
        <v>23137.707716971148</v>
      </c>
      <c r="P331" s="891">
        <f t="shared" si="128"/>
        <v>23827.53512184387</v>
      </c>
      <c r="Q331" s="891">
        <f t="shared" si="128"/>
        <v>24594.965460748663</v>
      </c>
      <c r="R331" s="891">
        <f t="shared" si="128"/>
        <v>25560.253763350789</v>
      </c>
      <c r="S331" s="891">
        <f t="shared" si="128"/>
        <v>26346.438044350718</v>
      </c>
      <c r="T331" s="891">
        <f t="shared" si="128"/>
        <v>27160.364864768864</v>
      </c>
    </row>
    <row r="332" spans="2:22" s="146" customFormat="1">
      <c r="B332" s="147"/>
      <c r="N332" s="147"/>
      <c r="O332" s="147"/>
      <c r="P332" s="147"/>
      <c r="Q332" s="147"/>
      <c r="R332" s="147"/>
      <c r="S332" s="147"/>
      <c r="T332" s="147"/>
    </row>
    <row r="333" spans="2:22" s="146" customFormat="1">
      <c r="B333" s="147" t="s">
        <v>91</v>
      </c>
      <c r="N333" s="147"/>
      <c r="O333" s="147"/>
      <c r="P333" s="147"/>
      <c r="Q333" s="147"/>
      <c r="R333" s="147"/>
      <c r="S333" s="147"/>
      <c r="T333" s="147"/>
    </row>
    <row r="334" spans="2:22" s="146" customFormat="1">
      <c r="B334" s="972" t="s">
        <v>1250</v>
      </c>
      <c r="N334" s="891">
        <f>N304</f>
        <v>16827.642</v>
      </c>
      <c r="O334" s="891">
        <f t="shared" ref="O334:T334" si="129">O304</f>
        <v>16869.737325680933</v>
      </c>
      <c r="P334" s="891">
        <f t="shared" si="129"/>
        <v>16969.477818025622</v>
      </c>
      <c r="Q334" s="891">
        <f t="shared" si="129"/>
        <v>16990.266089659584</v>
      </c>
      <c r="R334" s="891">
        <f t="shared" si="129"/>
        <v>16867.28467116223</v>
      </c>
      <c r="S334" s="891">
        <f t="shared" si="129"/>
        <v>17355.51078916591</v>
      </c>
      <c r="T334" s="891">
        <f t="shared" si="129"/>
        <v>17860.012263059878</v>
      </c>
    </row>
    <row r="335" spans="2:22" s="146" customFormat="1">
      <c r="B335" s="972" t="s">
        <v>1251</v>
      </c>
      <c r="N335" s="891">
        <f>N302</f>
        <v>16827.642</v>
      </c>
      <c r="O335" s="891">
        <f t="shared" ref="O335:T335" si="130">O302</f>
        <v>17039.837325680932</v>
      </c>
      <c r="P335" s="891">
        <f t="shared" si="130"/>
        <v>17564.82781802562</v>
      </c>
      <c r="Q335" s="891">
        <f t="shared" si="130"/>
        <v>18095.916089659586</v>
      </c>
      <c r="R335" s="891">
        <f t="shared" si="130"/>
        <v>18568.28467116223</v>
      </c>
      <c r="S335" s="891">
        <f t="shared" si="130"/>
        <v>19056.51078916591</v>
      </c>
      <c r="T335" s="891">
        <f t="shared" si="130"/>
        <v>19561.012263059878</v>
      </c>
    </row>
    <row r="336" spans="2:22" s="146" customFormat="1">
      <c r="B336" s="972"/>
      <c r="N336" s="147"/>
      <c r="O336" s="147"/>
      <c r="P336" s="147"/>
      <c r="Q336" s="147"/>
      <c r="R336" s="147"/>
      <c r="S336" s="147"/>
      <c r="T336" s="147"/>
    </row>
    <row r="337" spans="1:24" s="146" customFormat="1">
      <c r="B337" s="147" t="s">
        <v>248</v>
      </c>
      <c r="N337" s="147"/>
      <c r="O337" s="147"/>
      <c r="P337" s="147"/>
      <c r="Q337" s="147"/>
      <c r="R337" s="147"/>
      <c r="S337" s="147"/>
      <c r="T337" s="147"/>
    </row>
    <row r="338" spans="1:24" s="146" customFormat="1">
      <c r="B338" s="972" t="s">
        <v>1250</v>
      </c>
      <c r="N338" s="891">
        <f>N313</f>
        <v>8564.9</v>
      </c>
      <c r="O338" s="891">
        <f t="shared" ref="O338:T338" si="131">O313</f>
        <v>10216.213720988784</v>
      </c>
      <c r="P338" s="891">
        <f t="shared" si="131"/>
        <v>10292.561657662129</v>
      </c>
      <c r="Q338" s="891">
        <f t="shared" si="131"/>
        <v>9516.3265233291695</v>
      </c>
      <c r="R338" s="891">
        <f t="shared" si="131"/>
        <v>8325.6603948013108</v>
      </c>
      <c r="S338" s="891">
        <f t="shared" si="131"/>
        <v>8374.7122289211238</v>
      </c>
      <c r="T338" s="891">
        <f t="shared" si="131"/>
        <v>8671.4778017999288</v>
      </c>
    </row>
    <row r="339" spans="1:24" s="146" customFormat="1">
      <c r="B339" s="972" t="s">
        <v>1251</v>
      </c>
      <c r="N339" s="891">
        <f t="shared" ref="N339:T339" si="132">N308+N309</f>
        <v>8564.9</v>
      </c>
      <c r="O339" s="891">
        <f t="shared" si="132"/>
        <v>10023.433720988784</v>
      </c>
      <c r="P339" s="891">
        <f t="shared" si="132"/>
        <v>10332.251657662129</v>
      </c>
      <c r="Q339" s="891">
        <f t="shared" si="132"/>
        <v>10644.656523329169</v>
      </c>
      <c r="R339" s="891">
        <f t="shared" si="132"/>
        <v>10922.520394801311</v>
      </c>
      <c r="S339" s="891">
        <f t="shared" si="132"/>
        <v>11209.712228921124</v>
      </c>
      <c r="T339" s="891">
        <f t="shared" si="132"/>
        <v>11506.477801799929</v>
      </c>
    </row>
    <row r="340" spans="1:24" s="146" customFormat="1">
      <c r="B340" s="147"/>
      <c r="N340" s="147"/>
      <c r="O340" s="147"/>
    </row>
    <row r="341" spans="1:24" s="146" customFormat="1">
      <c r="A341" s="146" t="s">
        <v>615</v>
      </c>
      <c r="B341" s="968" t="s">
        <v>1437</v>
      </c>
      <c r="C341" s="1065"/>
      <c r="D341" s="1065"/>
      <c r="E341" s="1065"/>
      <c r="F341" s="1065"/>
      <c r="G341" s="1065"/>
      <c r="H341" s="1065"/>
      <c r="I341" s="1092">
        <f>I$4</f>
        <v>2023</v>
      </c>
      <c r="J341" s="1093"/>
      <c r="K341" s="1093"/>
      <c r="L341" s="1093"/>
      <c r="M341" s="1093"/>
      <c r="N341" s="1092">
        <f>N$4</f>
        <v>2024</v>
      </c>
      <c r="O341" s="969">
        <f t="shared" ref="O341:T341" si="133">O$4</f>
        <v>2025</v>
      </c>
      <c r="P341" s="969">
        <f t="shared" si="133"/>
        <v>2026</v>
      </c>
      <c r="Q341" s="969">
        <f t="shared" si="133"/>
        <v>2027</v>
      </c>
      <c r="R341" s="969">
        <f t="shared" si="133"/>
        <v>2028</v>
      </c>
      <c r="S341" s="969">
        <f t="shared" si="133"/>
        <v>2029</v>
      </c>
      <c r="T341" s="969">
        <f t="shared" si="133"/>
        <v>2030</v>
      </c>
    </row>
    <row r="342" spans="1:24" s="146" customFormat="1">
      <c r="N342" s="147"/>
      <c r="O342" s="147"/>
    </row>
    <row r="343" spans="1:24" s="146" customFormat="1">
      <c r="B343" s="147" t="s">
        <v>687</v>
      </c>
      <c r="C343" s="147"/>
      <c r="D343" s="892"/>
      <c r="E343" s="147"/>
      <c r="F343" s="147"/>
      <c r="G343" s="147"/>
      <c r="H343" s="147"/>
      <c r="I343" s="892">
        <f>I672+I711</f>
        <v>43978.359000000004</v>
      </c>
      <c r="J343" s="147"/>
      <c r="K343" s="147"/>
      <c r="L343" s="892">
        <v>45385.516000000003</v>
      </c>
      <c r="M343" s="147"/>
      <c r="N343" s="892">
        <f>N672+N711</f>
        <v>45811.322</v>
      </c>
      <c r="O343" s="1094">
        <f>O320</f>
        <v>47003.497909266196</v>
      </c>
      <c r="P343" s="1094">
        <f t="shared" ref="P343:T343" si="134">P320</f>
        <v>49166.854877992788</v>
      </c>
      <c r="Q343" s="1094">
        <f t="shared" si="134"/>
        <v>51106.032885777327</v>
      </c>
      <c r="R343" s="1094">
        <f t="shared" si="134"/>
        <v>53031.846000995007</v>
      </c>
      <c r="S343" s="1094">
        <f t="shared" si="134"/>
        <v>54725.347529473132</v>
      </c>
      <c r="T343" s="1094">
        <f t="shared" si="134"/>
        <v>56374.212672534915</v>
      </c>
      <c r="X343" s="170">
        <f>(T343/N343)^(1/6)-1</f>
        <v>3.5184937506311353E-2</v>
      </c>
    </row>
    <row r="344" spans="1:24" s="253" customFormat="1">
      <c r="B344" s="253" t="s">
        <v>1308</v>
      </c>
      <c r="D344" s="1095"/>
      <c r="I344" s="1095"/>
      <c r="L344" s="1095"/>
      <c r="N344" s="1096">
        <f>IFERROR(N343/I343-1,"")</f>
        <v>4.1678749313952324E-2</v>
      </c>
      <c r="O344" s="1096">
        <f>IFERROR(O343/N343-1,"")</f>
        <v>2.6023608514641694E-2</v>
      </c>
      <c r="P344" s="1096">
        <f t="shared" ref="P344:T344" si="135">IFERROR(P343/O343-1,"")</f>
        <v>4.6025446295564043E-2</v>
      </c>
      <c r="Q344" s="1096">
        <f t="shared" si="135"/>
        <v>3.9440757652621894E-2</v>
      </c>
      <c r="R344" s="1096">
        <f t="shared" si="135"/>
        <v>3.768269627818488E-2</v>
      </c>
      <c r="S344" s="1096">
        <f t="shared" si="135"/>
        <v>3.1933671108608008E-2</v>
      </c>
      <c r="T344" s="1096">
        <f t="shared" si="135"/>
        <v>3.0129824980531517E-2</v>
      </c>
    </row>
    <row r="345" spans="1:24" s="146" customFormat="1">
      <c r="B345" s="253"/>
      <c r="D345" s="891"/>
      <c r="I345" s="891"/>
      <c r="L345" s="891"/>
      <c r="N345" s="891"/>
      <c r="O345" s="891"/>
      <c r="P345" s="891"/>
      <c r="Q345" s="891"/>
      <c r="R345" s="891"/>
      <c r="S345" s="891"/>
      <c r="T345" s="891"/>
    </row>
    <row r="346" spans="1:24" s="146" customFormat="1">
      <c r="B346" s="147" t="s">
        <v>2</v>
      </c>
      <c r="C346" s="147"/>
      <c r="D346" s="892"/>
      <c r="E346" s="147"/>
      <c r="F346" s="147"/>
      <c r="G346" s="147"/>
      <c r="H346" s="147"/>
      <c r="I346" s="892">
        <f>I681+I720</f>
        <v>21096.008999999998</v>
      </c>
      <c r="J346" s="147"/>
      <c r="K346" s="147"/>
      <c r="L346" s="892">
        <v>22482.441999999999</v>
      </c>
      <c r="M346" s="147"/>
      <c r="N346" s="892">
        <f>N681+N720</f>
        <v>22451.777000000002</v>
      </c>
      <c r="O346" s="1094">
        <f>O321</f>
        <v>23046.987716971151</v>
      </c>
      <c r="P346" s="1094">
        <f t="shared" ref="P346:T346" si="136">P321</f>
        <v>23816.19512184387</v>
      </c>
      <c r="Q346" s="1094">
        <f t="shared" si="136"/>
        <v>25025.885460748661</v>
      </c>
      <c r="R346" s="1094">
        <f t="shared" si="136"/>
        <v>26592.193763350788</v>
      </c>
      <c r="S346" s="1094">
        <f t="shared" si="136"/>
        <v>27480.438044350718</v>
      </c>
      <c r="T346" s="1094">
        <f t="shared" si="136"/>
        <v>28294.364864768864</v>
      </c>
      <c r="X346" s="170">
        <f>(T346/N346)^(1/6)-1</f>
        <v>3.9301462128384479E-2</v>
      </c>
    </row>
    <row r="347" spans="1:24" s="253" customFormat="1">
      <c r="B347" s="253" t="s">
        <v>1308</v>
      </c>
      <c r="D347" s="1095"/>
      <c r="I347" s="1095"/>
      <c r="L347" s="1095"/>
      <c r="N347" s="1096">
        <f>IFERROR(N346/I346-1,"")</f>
        <v>6.4266563405429133E-2</v>
      </c>
      <c r="O347" s="1096">
        <f>IFERROR(O346/N346-1,"")</f>
        <v>2.6510628400199687E-2</v>
      </c>
      <c r="P347" s="1096">
        <f t="shared" ref="P347" si="137">IFERROR(P346/O346-1,"")</f>
        <v>3.3375615690821814E-2</v>
      </c>
      <c r="Q347" s="1096">
        <f t="shared" ref="Q347" si="138">IFERROR(Q346/P346-1,"")</f>
        <v>5.0792762349989307E-2</v>
      </c>
      <c r="R347" s="1096">
        <f t="shared" ref="R347" si="139">IFERROR(R346/Q346-1,"")</f>
        <v>6.2587527824291112E-2</v>
      </c>
      <c r="S347" s="1096">
        <f t="shared" ref="S347" si="140">IFERROR(S346/R346-1,"")</f>
        <v>3.3402444676230658E-2</v>
      </c>
      <c r="T347" s="1096">
        <f t="shared" ref="T347" si="141">IFERROR(T346/S346-1,"")</f>
        <v>2.9618407796285773E-2</v>
      </c>
    </row>
    <row r="348" spans="1:24" s="253" customFormat="1">
      <c r="B348" s="253" t="s">
        <v>4</v>
      </c>
      <c r="D348" s="1095"/>
      <c r="I348" s="1096">
        <f>IFERROR(I346/I$343,"")</f>
        <v>0.47969068150087174</v>
      </c>
      <c r="L348" s="1095"/>
      <c r="N348" s="1096">
        <f>IFERROR(N346/N$343,"")</f>
        <v>0.49009231822648563</v>
      </c>
      <c r="O348" s="1096">
        <f t="shared" ref="O348:T348" si="142">IFERROR(O346/O$343,"")</f>
        <v>0.4903249490380524</v>
      </c>
      <c r="P348" s="1096">
        <f t="shared" si="142"/>
        <v>0.48439533464045226</v>
      </c>
      <c r="Q348" s="1096">
        <f t="shared" si="142"/>
        <v>0.48968554293153321</v>
      </c>
      <c r="R348" s="1096">
        <f t="shared" si="142"/>
        <v>0.50143820682485485</v>
      </c>
      <c r="S348" s="1096">
        <f t="shared" si="142"/>
        <v>0.50215191469639786</v>
      </c>
      <c r="T348" s="1096">
        <f t="shared" si="142"/>
        <v>0.50190261687776372</v>
      </c>
    </row>
    <row r="349" spans="1:24" s="146" customFormat="1">
      <c r="D349" s="891"/>
      <c r="I349" s="891"/>
      <c r="L349" s="891"/>
      <c r="N349" s="891"/>
      <c r="O349" s="170"/>
      <c r="P349" s="170"/>
      <c r="Q349" s="170"/>
      <c r="R349" s="170"/>
      <c r="S349" s="170"/>
      <c r="T349" s="170"/>
    </row>
    <row r="350" spans="1:24" s="146" customFormat="1">
      <c r="B350" s="146" t="s">
        <v>91</v>
      </c>
      <c r="D350" s="891"/>
      <c r="I350" s="891">
        <f>I682+I721</f>
        <v>15821.396000000001</v>
      </c>
      <c r="L350" s="891">
        <f>H682+J682+K682+L682+SUM(H721:H722)+SUM(J721:L722)</f>
        <v>16820.708999999999</v>
      </c>
      <c r="N350" s="891">
        <f>N682+N721</f>
        <v>16827.642</v>
      </c>
      <c r="O350" s="944">
        <f>O322</f>
        <v>16869.737325680933</v>
      </c>
      <c r="P350" s="944">
        <f t="shared" ref="P350:T350" si="143">P322</f>
        <v>16969.477818025622</v>
      </c>
      <c r="Q350" s="944">
        <f t="shared" si="143"/>
        <v>16990.266089659584</v>
      </c>
      <c r="R350" s="944">
        <f t="shared" si="143"/>
        <v>16867.28467116223</v>
      </c>
      <c r="S350" s="944">
        <f t="shared" si="143"/>
        <v>17355.51078916591</v>
      </c>
      <c r="T350" s="944">
        <f t="shared" si="143"/>
        <v>17860.012263059878</v>
      </c>
      <c r="X350" s="170">
        <f>(T350/N350)^(1/6)-1</f>
        <v>9.972963590340278E-3</v>
      </c>
    </row>
    <row r="351" spans="1:24" s="146" customFormat="1">
      <c r="B351" s="146" t="s">
        <v>93</v>
      </c>
      <c r="D351" s="891"/>
      <c r="I351" s="891">
        <f>I683+I722</f>
        <v>128.614</v>
      </c>
      <c r="L351" s="891"/>
      <c r="N351" s="891">
        <f>N683+N722</f>
        <v>128.81899999999999</v>
      </c>
      <c r="O351" s="944">
        <f>O264*O$343</f>
        <v>137.68007117259108</v>
      </c>
      <c r="P351" s="944">
        <f t="shared" ref="P351:T351" si="144">P264*P$343</f>
        <v>144.01685789431463</v>
      </c>
      <c r="Q351" s="944">
        <f t="shared" si="144"/>
        <v>149.69699188441635</v>
      </c>
      <c r="R351" s="944">
        <f t="shared" si="144"/>
        <v>155.33797816335473</v>
      </c>
      <c r="S351" s="944">
        <f t="shared" si="144"/>
        <v>160.29849006869944</v>
      </c>
      <c r="T351" s="944">
        <f t="shared" si="144"/>
        <v>165.1282555191128</v>
      </c>
      <c r="X351" s="170">
        <f>(T351/N351)^(1/6)-1</f>
        <v>4.2254018426864715E-2</v>
      </c>
    </row>
    <row r="352" spans="1:24" s="146" customFormat="1">
      <c r="B352" s="148" t="s">
        <v>77</v>
      </c>
      <c r="C352" s="148"/>
      <c r="D352" s="947"/>
      <c r="E352" s="148"/>
      <c r="F352" s="148"/>
      <c r="G352" s="148"/>
      <c r="H352" s="148"/>
      <c r="I352" s="947">
        <f>I684+I723</f>
        <v>5145.9989999999998</v>
      </c>
      <c r="J352" s="148"/>
      <c r="K352" s="148"/>
      <c r="L352" s="947">
        <f>L346-L350</f>
        <v>5661.7330000000002</v>
      </c>
      <c r="M352" s="148"/>
      <c r="N352" s="947">
        <f>N684+N723</f>
        <v>5495.3160000000007</v>
      </c>
      <c r="O352" s="947">
        <f>O346-O350-O351</f>
        <v>6039.5703201176266</v>
      </c>
      <c r="P352" s="947">
        <f t="shared" ref="P352:T352" si="145">P346-P350-P351</f>
        <v>6702.7004459239333</v>
      </c>
      <c r="Q352" s="947">
        <f t="shared" si="145"/>
        <v>7885.9223792046605</v>
      </c>
      <c r="R352" s="947">
        <f t="shared" si="145"/>
        <v>9569.5711140252042</v>
      </c>
      <c r="S352" s="947">
        <f t="shared" si="145"/>
        <v>9964.6287651161092</v>
      </c>
      <c r="T352" s="947">
        <f t="shared" si="145"/>
        <v>10269.224346189874</v>
      </c>
      <c r="V352" s="146" t="s">
        <v>1316</v>
      </c>
    </row>
    <row r="353" spans="2:24" s="253" customFormat="1">
      <c r="B353" s="253" t="s">
        <v>1308</v>
      </c>
      <c r="D353" s="1095"/>
      <c r="I353" s="1095"/>
      <c r="L353" s="1095"/>
      <c r="N353" s="1096">
        <f>IFERROR(N352/I352-1,"")</f>
        <v>6.7881280194574733E-2</v>
      </c>
      <c r="O353" s="1096">
        <f>IFERROR(O352/N352-1,"")</f>
        <v>9.9039676720615422E-2</v>
      </c>
      <c r="P353" s="1096">
        <f t="shared" ref="P353" si="146">IFERROR(P352/O352-1,"")</f>
        <v>0.109797566823163</v>
      </c>
      <c r="Q353" s="1096">
        <f t="shared" ref="Q353" si="147">IFERROR(Q352/P352-1,"")</f>
        <v>0.17652913819239413</v>
      </c>
      <c r="R353" s="1096">
        <f t="shared" ref="R353" si="148">IFERROR(R352/Q352-1,"")</f>
        <v>0.21350054614541469</v>
      </c>
      <c r="S353" s="1096">
        <f t="shared" ref="S353" si="149">IFERROR(S352/R352-1,"")</f>
        <v>4.128269139584595E-2</v>
      </c>
      <c r="T353" s="1096">
        <f t="shared" ref="T353" si="150">IFERROR(T352/S352-1,"")</f>
        <v>3.0567679765460376E-2</v>
      </c>
    </row>
    <row r="354" spans="2:24" s="253" customFormat="1">
      <c r="B354" s="253" t="s">
        <v>583</v>
      </c>
      <c r="D354" s="1095"/>
      <c r="I354" s="1096">
        <f>IFERROR(I352/I$343,"")</f>
        <v>0.11701207405214914</v>
      </c>
      <c r="L354" s="1095"/>
      <c r="N354" s="1096">
        <f>IFERROR(N352/N$343,"")</f>
        <v>0.11995541189577548</v>
      </c>
      <c r="O354" s="1096">
        <f t="shared" ref="O354:T354" si="151">IFERROR(O352/O$343,"")</f>
        <v>0.12849193334028433</v>
      </c>
      <c r="P354" s="1096">
        <f t="shared" si="151"/>
        <v>0.13632558890652327</v>
      </c>
      <c r="Q354" s="1096">
        <f t="shared" si="151"/>
        <v>0.15430511690918766</v>
      </c>
      <c r="R354" s="1096">
        <f t="shared" si="151"/>
        <v>0.18044951921616412</v>
      </c>
      <c r="S354" s="1096">
        <f t="shared" si="151"/>
        <v>0.1820843396151941</v>
      </c>
      <c r="T354" s="1096">
        <f t="shared" si="151"/>
        <v>0.18216173422840479</v>
      </c>
    </row>
    <row r="355" spans="2:24" s="253" customFormat="1">
      <c r="D355" s="1095"/>
      <c r="I355" s="1096"/>
      <c r="L355" s="1095"/>
      <c r="N355" s="1096"/>
      <c r="O355" s="1096">
        <f>O354-N354</f>
        <v>8.5365214445088516E-3</v>
      </c>
      <c r="P355" s="1096">
        <f t="shared" ref="P355:T355" si="152">P354-O354</f>
        <v>7.8336555662389395E-3</v>
      </c>
      <c r="Q355" s="1096">
        <f t="shared" si="152"/>
        <v>1.7979528002664391E-2</v>
      </c>
      <c r="R355" s="1096">
        <f t="shared" si="152"/>
        <v>2.6144402306976455E-2</v>
      </c>
      <c r="S355" s="1096">
        <f t="shared" si="152"/>
        <v>1.6348203990299848E-3</v>
      </c>
      <c r="T355" s="1096">
        <f t="shared" si="152"/>
        <v>7.7394613210685081E-5</v>
      </c>
    </row>
    <row r="356" spans="2:24" s="146" customFormat="1">
      <c r="B356" s="889" t="s">
        <v>798</v>
      </c>
      <c r="D356" s="891"/>
      <c r="I356" s="891"/>
      <c r="L356" s="891"/>
      <c r="N356" s="891"/>
      <c r="O356" s="891"/>
      <c r="P356" s="891"/>
      <c r="Q356" s="891"/>
      <c r="R356" s="891"/>
      <c r="S356" s="891"/>
      <c r="T356" s="891"/>
    </row>
    <row r="357" spans="2:24" s="146" customFormat="1" outlineLevel="1">
      <c r="B357" s="962" t="s">
        <v>173</v>
      </c>
      <c r="D357" s="891"/>
      <c r="I357" s="891">
        <f t="shared" ref="I357:I363" si="153">I686+I725</f>
        <v>-4218.1719999999996</v>
      </c>
      <c r="L357" s="891">
        <f>J686+K686+L686+H686+H725+J725+K725+L725</f>
        <v>-4398.6230000000005</v>
      </c>
      <c r="N357" s="891">
        <f>N686+N725</f>
        <v>-4430.7359999999999</v>
      </c>
      <c r="O357" s="891">
        <f ca="1">O458-O464+O479</f>
        <v>-4140.8262176396975</v>
      </c>
      <c r="P357" s="891">
        <f t="shared" ref="P357:T357" ca="1" si="154">P458-P464+P479</f>
        <v>-4130.4809706071646</v>
      </c>
      <c r="Q357" s="891">
        <f t="shared" ca="1" si="154"/>
        <v>-4083.3251892806084</v>
      </c>
      <c r="R357" s="891">
        <f t="shared" ca="1" si="154"/>
        <v>-3670.1867878207677</v>
      </c>
      <c r="S357" s="891">
        <f t="shared" ca="1" si="154"/>
        <v>-3150.456299338055</v>
      </c>
      <c r="T357" s="891">
        <f t="shared" ca="1" si="154"/>
        <v>-2568.4882323219144</v>
      </c>
    </row>
    <row r="358" spans="2:24" s="146" customFormat="1" outlineLevel="1">
      <c r="B358" s="962" t="s">
        <v>355</v>
      </c>
      <c r="D358" s="891"/>
      <c r="I358" s="891">
        <f t="shared" si="153"/>
        <v>104.672</v>
      </c>
      <c r="L358" s="891">
        <f>J687+K687+L687+H687+H726+J726+K726+L726</f>
        <v>116.02199999999999</v>
      </c>
      <c r="N358" s="891">
        <f t="shared" ref="N358:N363" si="155">N687+N726</f>
        <v>113.672</v>
      </c>
      <c r="O358" s="891">
        <f ca="1">O487</f>
        <v>84.807140000000004</v>
      </c>
      <c r="P358" s="891">
        <f t="shared" ref="P358:T358" ca="1" si="156">P487</f>
        <v>84.807140000000075</v>
      </c>
      <c r="Q358" s="891">
        <f t="shared" ca="1" si="156"/>
        <v>84.807140000000075</v>
      </c>
      <c r="R358" s="891">
        <f t="shared" ca="1" si="156"/>
        <v>84.807140000000018</v>
      </c>
      <c r="S358" s="891">
        <f t="shared" ca="1" si="156"/>
        <v>84.807140000000018</v>
      </c>
      <c r="T358" s="891">
        <f t="shared" ca="1" si="156"/>
        <v>84.807140000000018</v>
      </c>
    </row>
    <row r="359" spans="2:24" s="146" customFormat="1">
      <c r="B359" s="890" t="s">
        <v>96</v>
      </c>
      <c r="C359" s="147"/>
      <c r="D359" s="892"/>
      <c r="E359" s="147"/>
      <c r="F359" s="147"/>
      <c r="G359" s="147"/>
      <c r="H359" s="147"/>
      <c r="I359" s="892">
        <f t="shared" si="153"/>
        <v>-4113.5</v>
      </c>
      <c r="J359" s="147"/>
      <c r="K359" s="147"/>
      <c r="L359" s="892">
        <f>L360-L358-L357-L352</f>
        <v>617.42600000000039</v>
      </c>
      <c r="M359" s="147"/>
      <c r="N359" s="892">
        <f t="shared" si="155"/>
        <v>-4317.0640000000003</v>
      </c>
      <c r="O359" s="892">
        <f ca="1">O357+O358</f>
        <v>-4056.0190776396976</v>
      </c>
      <c r="P359" s="892">
        <f t="shared" ref="P359:T359" ca="1" si="157">P357+P358</f>
        <v>-4045.6738306071647</v>
      </c>
      <c r="Q359" s="892">
        <f t="shared" ca="1" si="157"/>
        <v>-3998.5180492806085</v>
      </c>
      <c r="R359" s="892">
        <f t="shared" ca="1" si="157"/>
        <v>-3585.3796478207678</v>
      </c>
      <c r="S359" s="892">
        <f t="shared" ca="1" si="157"/>
        <v>-3065.6491593380551</v>
      </c>
      <c r="T359" s="892">
        <f t="shared" ca="1" si="157"/>
        <v>-2483.6810923219145</v>
      </c>
    </row>
    <row r="360" spans="2:24" s="146" customFormat="1">
      <c r="B360" s="762" t="s">
        <v>501</v>
      </c>
      <c r="D360" s="891"/>
      <c r="I360" s="891">
        <f t="shared" si="153"/>
        <v>757.15699999999958</v>
      </c>
      <c r="L360" s="891">
        <f>J690+K690+L690+H690+H729+J729+K729+L729</f>
        <v>1996.558</v>
      </c>
      <c r="N360" s="891">
        <f t="shared" si="155"/>
        <v>-37.390000000000271</v>
      </c>
      <c r="O360" s="923">
        <v>0</v>
      </c>
      <c r="P360" s="923">
        <v>0</v>
      </c>
      <c r="Q360" s="923">
        <v>0</v>
      </c>
      <c r="R360" s="923">
        <v>0</v>
      </c>
      <c r="S360" s="923">
        <v>0</v>
      </c>
      <c r="T360" s="923">
        <v>0</v>
      </c>
    </row>
    <row r="361" spans="2:24" s="147" customFormat="1">
      <c r="B361" s="1022" t="s">
        <v>799</v>
      </c>
      <c r="C361" s="148"/>
      <c r="D361" s="947"/>
      <c r="E361" s="148"/>
      <c r="F361" s="148"/>
      <c r="G361" s="148"/>
      <c r="H361" s="148"/>
      <c r="I361" s="947">
        <f t="shared" si="153"/>
        <v>1789.6559999999999</v>
      </c>
      <c r="J361" s="148"/>
      <c r="K361" s="148"/>
      <c r="L361" s="947">
        <f>J691+K691+L691+H691+H730+J730+K730+L730</f>
        <v>-912.79599999999982</v>
      </c>
      <c r="M361" s="148"/>
      <c r="N361" s="947">
        <f t="shared" si="155"/>
        <v>1140.8619999999999</v>
      </c>
      <c r="O361" s="947">
        <f ca="1">O352+O359+O360</f>
        <v>1983.551242477929</v>
      </c>
      <c r="P361" s="947">
        <f t="shared" ref="P361:T361" ca="1" si="158">P352+P359+P360</f>
        <v>2657.0266153167686</v>
      </c>
      <c r="Q361" s="947">
        <f t="shared" ca="1" si="158"/>
        <v>3887.404329924052</v>
      </c>
      <c r="R361" s="947">
        <f t="shared" ca="1" si="158"/>
        <v>5984.1914662044364</v>
      </c>
      <c r="S361" s="947">
        <f t="shared" ca="1" si="158"/>
        <v>6898.9796057780541</v>
      </c>
      <c r="T361" s="947">
        <f t="shared" ca="1" si="158"/>
        <v>7785.5432538679597</v>
      </c>
    </row>
    <row r="362" spans="2:24" s="146" customFormat="1">
      <c r="B362" s="762" t="s">
        <v>809</v>
      </c>
      <c r="D362" s="891"/>
      <c r="I362" s="891">
        <f t="shared" si="153"/>
        <v>-614.16000000000008</v>
      </c>
      <c r="L362" s="891">
        <f>J692+K692+L692+H692+H731+J731+K731+L731</f>
        <v>1083.796</v>
      </c>
      <c r="N362" s="891">
        <f t="shared" si="155"/>
        <v>-588.20699999999988</v>
      </c>
      <c r="O362" s="891">
        <f t="shared" ref="O362:T362" ca="1" si="159">-IFERROR(O361*O268,"")</f>
        <v>-436.38127334514439</v>
      </c>
      <c r="P362" s="891">
        <f t="shared" ca="1" si="159"/>
        <v>-584.54585536968909</v>
      </c>
      <c r="Q362" s="891">
        <f t="shared" ca="1" si="159"/>
        <v>-855.2289525832914</v>
      </c>
      <c r="R362" s="891">
        <f t="shared" ca="1" si="159"/>
        <v>-1316.5221225649759</v>
      </c>
      <c r="S362" s="891">
        <f t="shared" ca="1" si="159"/>
        <v>-1517.7755132711718</v>
      </c>
      <c r="T362" s="891">
        <f t="shared" ca="1" si="159"/>
        <v>-1712.8195158509511</v>
      </c>
    </row>
    <row r="363" spans="2:24" s="147" customFormat="1" ht="13.5" thickBot="1">
      <c r="B363" s="1021" t="s">
        <v>1056</v>
      </c>
      <c r="C363" s="945"/>
      <c r="D363" s="946"/>
      <c r="E363" s="945"/>
      <c r="F363" s="945"/>
      <c r="G363" s="945"/>
      <c r="H363" s="945"/>
      <c r="I363" s="946">
        <f t="shared" si="153"/>
        <v>1175.5219999999999</v>
      </c>
      <c r="J363" s="945"/>
      <c r="K363" s="945"/>
      <c r="L363" s="946"/>
      <c r="M363" s="945"/>
      <c r="N363" s="946">
        <f t="shared" si="155"/>
        <v>552.65499999999975</v>
      </c>
      <c r="O363" s="946">
        <f ca="1">O361+O362</f>
        <v>1547.1699691327847</v>
      </c>
      <c r="P363" s="946">
        <f t="shared" ref="P363:T363" ca="1" si="160">P361+P362</f>
        <v>2072.4807599470796</v>
      </c>
      <c r="Q363" s="946">
        <f t="shared" ca="1" si="160"/>
        <v>3032.1753773407609</v>
      </c>
      <c r="R363" s="946">
        <f t="shared" ca="1" si="160"/>
        <v>4667.6693436394607</v>
      </c>
      <c r="S363" s="946">
        <f t="shared" ca="1" si="160"/>
        <v>5381.2040925068823</v>
      </c>
      <c r="T363" s="946">
        <f t="shared" ca="1" si="160"/>
        <v>6072.7237380170081</v>
      </c>
      <c r="X363" s="170">
        <f ca="1">(T363/N363)^(1/6)-1</f>
        <v>0.49103636914766158</v>
      </c>
    </row>
    <row r="364" spans="2:24" s="1097" customFormat="1" ht="13.5" thickTop="1">
      <c r="B364" s="253" t="s">
        <v>1308</v>
      </c>
      <c r="C364" s="253"/>
      <c r="D364" s="1095"/>
      <c r="E364" s="253"/>
      <c r="F364" s="253"/>
      <c r="G364" s="253"/>
      <c r="H364" s="253"/>
      <c r="I364" s="1095"/>
      <c r="J364" s="253"/>
      <c r="K364" s="253"/>
      <c r="L364" s="1095"/>
      <c r="M364" s="253"/>
      <c r="N364" s="1096">
        <f>IFERROR(N363/I363-1,"")</f>
        <v>-0.52986417948792131</v>
      </c>
      <c r="O364" s="1096">
        <f ca="1">IFERROR(O363/N363-1,"")</f>
        <v>1.7995222501068215</v>
      </c>
      <c r="P364" s="1096">
        <f t="shared" ref="P364" ca="1" si="161">IFERROR(P363/O363-1,"")</f>
        <v>0.33953011065018313</v>
      </c>
      <c r="Q364" s="1096">
        <f t="shared" ref="Q364" ca="1" si="162">IFERROR(Q363/P363-1,"")</f>
        <v>0.46306563416211732</v>
      </c>
      <c r="R364" s="1096">
        <f t="shared" ref="R364" ca="1" si="163">IFERROR(R363/Q363-1,"")</f>
        <v>0.53937973987937315</v>
      </c>
      <c r="S364" s="1096">
        <f t="shared" ref="S364" ca="1" si="164">IFERROR(S363/R363-1,"")</f>
        <v>0.15286745832580051</v>
      </c>
      <c r="T364" s="1096">
        <f t="shared" ref="T364" ca="1" si="165">IFERROR(T363/S363-1,"")</f>
        <v>0.12850648918390584</v>
      </c>
    </row>
    <row r="365" spans="2:24" s="1097" customFormat="1">
      <c r="B365" s="253" t="s">
        <v>768</v>
      </c>
      <c r="C365" s="253"/>
      <c r="D365" s="1095"/>
      <c r="E365" s="253"/>
      <c r="F365" s="253"/>
      <c r="G365" s="253"/>
      <c r="H365" s="253"/>
      <c r="I365" s="1096">
        <f>IFERROR(I363/I$343,"")</f>
        <v>2.6729555779923482E-2</v>
      </c>
      <c r="J365" s="253"/>
      <c r="K365" s="253"/>
      <c r="L365" s="1095"/>
      <c r="M365" s="253"/>
      <c r="N365" s="1096">
        <f>IFERROR(N363/N$343,"")</f>
        <v>1.2063720841760465E-2</v>
      </c>
      <c r="O365" s="1096">
        <f t="shared" ref="O365:T365" ca="1" si="166">IFERROR(O363/O$343,"")</f>
        <v>3.2916060249800642E-2</v>
      </c>
      <c r="P365" s="1096">
        <f t="shared" ca="1" si="166"/>
        <v>4.2151989690817654E-2</v>
      </c>
      <c r="Q365" s="1096">
        <f t="shared" ca="1" si="166"/>
        <v>5.933106535812932E-2</v>
      </c>
      <c r="R365" s="1096">
        <f t="shared" ca="1" si="166"/>
        <v>8.8016346697640579E-2</v>
      </c>
      <c r="S365" s="1096">
        <f t="shared" ca="1" si="166"/>
        <v>9.8331108625829305E-2</v>
      </c>
      <c r="T365" s="1096">
        <f t="shared" ca="1" si="166"/>
        <v>0.10772165942772612</v>
      </c>
    </row>
    <row r="366" spans="2:24" s="146" customFormat="1">
      <c r="B366" s="889"/>
      <c r="L366" s="891"/>
      <c r="N366" s="891"/>
      <c r="O366" s="170"/>
      <c r="P366" s="170"/>
      <c r="Q366" s="170"/>
      <c r="R366" s="170"/>
      <c r="S366" s="170"/>
      <c r="T366" s="170"/>
    </row>
    <row r="367" spans="2:24" s="146" customFormat="1">
      <c r="B367" s="889" t="s">
        <v>138</v>
      </c>
      <c r="I367" s="891">
        <f>I363-I361-I362</f>
        <v>2.6000000000067303E-2</v>
      </c>
      <c r="L367" s="891"/>
      <c r="N367" s="891"/>
      <c r="O367" s="891"/>
      <c r="P367" s="891"/>
      <c r="Q367" s="891"/>
      <c r="R367" s="891"/>
      <c r="S367" s="891"/>
      <c r="T367" s="891"/>
    </row>
    <row r="368" spans="2:24" s="146" customFormat="1">
      <c r="B368" s="889"/>
      <c r="L368" s="891"/>
      <c r="N368" s="891"/>
      <c r="O368" s="891"/>
      <c r="P368" s="891"/>
      <c r="Q368" s="891"/>
      <c r="R368" s="891"/>
      <c r="S368" s="891"/>
      <c r="T368" s="891"/>
    </row>
    <row r="369" spans="2:22" s="146" customFormat="1">
      <c r="B369" s="146" t="s">
        <v>248</v>
      </c>
      <c r="I369" s="891">
        <f t="shared" ref="I369" si="167">I694+I733</f>
        <v>9338.9</v>
      </c>
      <c r="L369" s="891">
        <v>8428.7999999999993</v>
      </c>
      <c r="N369" s="891">
        <f t="shared" ref="N369" si="168">N694+N733</f>
        <v>8564.9</v>
      </c>
      <c r="O369" s="891">
        <f>O323</f>
        <v>10216.213720988784</v>
      </c>
      <c r="P369" s="891">
        <f t="shared" ref="P369:T369" si="169">P323</f>
        <v>10292.561657662129</v>
      </c>
      <c r="Q369" s="891">
        <f t="shared" si="169"/>
        <v>9516.3265233291695</v>
      </c>
      <c r="R369" s="891">
        <f t="shared" si="169"/>
        <v>8325.6603948013108</v>
      </c>
      <c r="S369" s="891">
        <f t="shared" si="169"/>
        <v>8374.7122289211238</v>
      </c>
      <c r="T369" s="891">
        <f t="shared" si="169"/>
        <v>8671.4778017999288</v>
      </c>
    </row>
    <row r="370" spans="2:22" s="146" customFormat="1">
      <c r="B370" s="146" t="s">
        <v>1254</v>
      </c>
      <c r="I370" s="891">
        <f>I346-I369</f>
        <v>11757.108999999999</v>
      </c>
      <c r="L370" s="891"/>
      <c r="N370" s="891">
        <f>N346-N369</f>
        <v>13886.877000000002</v>
      </c>
      <c r="O370" s="891">
        <f>O346-O369</f>
        <v>12830.773995982367</v>
      </c>
      <c r="P370" s="891">
        <f t="shared" ref="P370:T370" si="170">P346-P369</f>
        <v>13523.633464181741</v>
      </c>
      <c r="Q370" s="891">
        <f t="shared" si="170"/>
        <v>15509.558937419491</v>
      </c>
      <c r="R370" s="891">
        <f t="shared" si="170"/>
        <v>18266.533368549477</v>
      </c>
      <c r="S370" s="891">
        <f t="shared" si="170"/>
        <v>19105.725815429592</v>
      </c>
      <c r="T370" s="891">
        <f t="shared" si="170"/>
        <v>19622.887062968934</v>
      </c>
    </row>
    <row r="371" spans="2:22" s="146" customFormat="1">
      <c r="N371" s="147"/>
      <c r="O371" s="147"/>
    </row>
    <row r="372" spans="2:22" s="146" customFormat="1">
      <c r="B372" s="249" t="s">
        <v>1234</v>
      </c>
      <c r="N372" s="147"/>
      <c r="O372" s="147"/>
    </row>
    <row r="373" spans="2:22" s="146" customFormat="1">
      <c r="B373" s="147"/>
      <c r="N373" s="147"/>
      <c r="O373" s="147"/>
    </row>
    <row r="374" spans="2:22" s="146" customFormat="1">
      <c r="B374" s="146" t="s">
        <v>1235</v>
      </c>
      <c r="I374" s="170"/>
      <c r="N374" s="170">
        <f>IFERROR(N343/I343-1,"")</f>
        <v>4.1678749313952324E-2</v>
      </c>
      <c r="O374" s="170">
        <f t="shared" ref="O374:T374" si="171">IFERROR(O343/N343-1,"")</f>
        <v>2.6023608514641694E-2</v>
      </c>
      <c r="P374" s="170">
        <f t="shared" si="171"/>
        <v>4.6025446295564043E-2</v>
      </c>
      <c r="Q374" s="170">
        <f t="shared" si="171"/>
        <v>3.9440757652621894E-2</v>
      </c>
      <c r="R374" s="170">
        <f t="shared" si="171"/>
        <v>3.768269627818488E-2</v>
      </c>
      <c r="S374" s="170">
        <f t="shared" si="171"/>
        <v>3.1933671108608008E-2</v>
      </c>
      <c r="T374" s="170">
        <f t="shared" si="171"/>
        <v>3.0129824980531517E-2</v>
      </c>
    </row>
    <row r="375" spans="2:22" s="146" customFormat="1">
      <c r="B375" s="146" t="s">
        <v>1236</v>
      </c>
      <c r="I375" s="170"/>
      <c r="N375" s="170">
        <f>IFERROR(N346/I346-1,"")</f>
        <v>6.4266563405429133E-2</v>
      </c>
      <c r="O375" s="170">
        <f t="shared" ref="O375:T375" si="172">IFERROR(O346/N346-1,"")</f>
        <v>2.6510628400199687E-2</v>
      </c>
      <c r="P375" s="170">
        <f t="shared" si="172"/>
        <v>3.3375615690821814E-2</v>
      </c>
      <c r="Q375" s="170">
        <f t="shared" si="172"/>
        <v>5.0792762349989307E-2</v>
      </c>
      <c r="R375" s="170">
        <f t="shared" si="172"/>
        <v>6.2587527824291112E-2</v>
      </c>
      <c r="S375" s="170">
        <f t="shared" si="172"/>
        <v>3.3402444676230658E-2</v>
      </c>
      <c r="T375" s="170">
        <f t="shared" si="172"/>
        <v>2.9618407796285773E-2</v>
      </c>
    </row>
    <row r="376" spans="2:22" s="146" customFormat="1">
      <c r="B376" s="146" t="s">
        <v>1317</v>
      </c>
      <c r="I376" s="170"/>
      <c r="N376" s="170"/>
      <c r="O376" s="170">
        <f>SUM(O350,O351)/(SUM(N350,N351))-1</f>
        <v>3.005131604615352E-3</v>
      </c>
      <c r="P376" s="170">
        <f t="shared" ref="P376:T376" si="173">SUM(P350,P351)/(SUM(O350,O351))-1</f>
        <v>6.2371185813336893E-3</v>
      </c>
      <c r="Q376" s="170">
        <f t="shared" si="173"/>
        <v>1.5466394284333607E-3</v>
      </c>
      <c r="R376" s="170">
        <f t="shared" si="173"/>
        <v>-6.846014291872371E-3</v>
      </c>
      <c r="S376" s="170">
        <f t="shared" si="173"/>
        <v>2.8972423349146181E-2</v>
      </c>
      <c r="T376" s="170">
        <f t="shared" si="173"/>
        <v>2.9078373212718445E-2</v>
      </c>
    </row>
    <row r="377" spans="2:22" s="146" customFormat="1">
      <c r="B377" s="146" t="s">
        <v>1288</v>
      </c>
      <c r="I377" s="170"/>
      <c r="N377" s="170">
        <f>IFERROR(N352/I352-1,"")</f>
        <v>6.7881280194574733E-2</v>
      </c>
      <c r="O377" s="170">
        <f>IFERROR(O352/N352-1,"")</f>
        <v>9.9039676720615422E-2</v>
      </c>
      <c r="P377" s="170">
        <f t="shared" ref="P377:T377" si="174">IFERROR(P352/O352-1,"")</f>
        <v>0.109797566823163</v>
      </c>
      <c r="Q377" s="170">
        <f t="shared" si="174"/>
        <v>0.17652913819239413</v>
      </c>
      <c r="R377" s="170">
        <f t="shared" si="174"/>
        <v>0.21350054614541469</v>
      </c>
      <c r="S377" s="170">
        <f t="shared" si="174"/>
        <v>4.128269139584595E-2</v>
      </c>
      <c r="T377" s="170">
        <f t="shared" si="174"/>
        <v>3.0567679765460376E-2</v>
      </c>
    </row>
    <row r="378" spans="2:22" s="146" customFormat="1">
      <c r="B378" s="146" t="s">
        <v>1289</v>
      </c>
      <c r="I378" s="170"/>
      <c r="N378" s="170">
        <f>IFERROR(N363/I363-1,"")</f>
        <v>-0.52986417948792131</v>
      </c>
      <c r="O378" s="170">
        <f ca="1">IFERROR(O363/N363-1,"")</f>
        <v>1.7995222501068215</v>
      </c>
      <c r="P378" s="170">
        <f t="shared" ref="P378:T378" ca="1" si="175">IFERROR(P363/O363-1,"")</f>
        <v>0.33953011065018313</v>
      </c>
      <c r="Q378" s="170">
        <f t="shared" ca="1" si="175"/>
        <v>0.46306563416211732</v>
      </c>
      <c r="R378" s="170">
        <f t="shared" ca="1" si="175"/>
        <v>0.53937973987937315</v>
      </c>
      <c r="S378" s="170">
        <f t="shared" ca="1" si="175"/>
        <v>0.15286745832580051</v>
      </c>
      <c r="T378" s="170">
        <f t="shared" ca="1" si="175"/>
        <v>0.12850648918390584</v>
      </c>
    </row>
    <row r="379" spans="2:22" s="146" customFormat="1">
      <c r="I379" s="170"/>
      <c r="N379" s="170"/>
      <c r="O379" s="170"/>
      <c r="P379" s="170"/>
      <c r="Q379" s="170"/>
      <c r="R379" s="170"/>
      <c r="S379" s="170"/>
      <c r="T379" s="170"/>
    </row>
    <row r="380" spans="2:22" s="146" customFormat="1">
      <c r="B380" s="146" t="s">
        <v>4</v>
      </c>
      <c r="I380" s="170">
        <f>I346/I$343</f>
        <v>0.47969068150087174</v>
      </c>
      <c r="L380" s="170">
        <f>L346/L343</f>
        <v>0.49536601060126756</v>
      </c>
      <c r="N380" s="170">
        <f>N346/N$343</f>
        <v>0.49009231822648563</v>
      </c>
      <c r="O380" s="170">
        <f t="shared" ref="O380:T380" si="176">O346/O$343</f>
        <v>0.4903249490380524</v>
      </c>
      <c r="P380" s="170">
        <f t="shared" si="176"/>
        <v>0.48439533464045226</v>
      </c>
      <c r="Q380" s="170">
        <f t="shared" si="176"/>
        <v>0.48968554293153321</v>
      </c>
      <c r="R380" s="170">
        <f t="shared" si="176"/>
        <v>0.50143820682485485</v>
      </c>
      <c r="S380" s="170">
        <f t="shared" si="176"/>
        <v>0.50215191469639786</v>
      </c>
      <c r="T380" s="170">
        <f t="shared" si="176"/>
        <v>0.50190261687776372</v>
      </c>
    </row>
    <row r="381" spans="2:22" s="146" customFormat="1">
      <c r="B381" s="146" t="s">
        <v>768</v>
      </c>
      <c r="I381" s="170">
        <f>I363/I$343</f>
        <v>2.6729555779923482E-2</v>
      </c>
      <c r="L381" s="170">
        <f>L362/L343</f>
        <v>2.3879776975544355E-2</v>
      </c>
      <c r="N381" s="170">
        <f>N363/N$343</f>
        <v>1.2063720841760465E-2</v>
      </c>
      <c r="O381" s="170">
        <f t="shared" ref="O381:T381" ca="1" si="177">O363/O$343</f>
        <v>3.2916060249800642E-2</v>
      </c>
      <c r="P381" s="170">
        <f t="shared" ca="1" si="177"/>
        <v>4.2151989690817654E-2</v>
      </c>
      <c r="Q381" s="170">
        <f t="shared" ca="1" si="177"/>
        <v>5.933106535812932E-2</v>
      </c>
      <c r="R381" s="170">
        <f t="shared" ca="1" si="177"/>
        <v>8.8016346697640579E-2</v>
      </c>
      <c r="S381" s="170">
        <f t="shared" ca="1" si="177"/>
        <v>9.8331108625829305E-2</v>
      </c>
      <c r="T381" s="170">
        <f t="shared" ca="1" si="177"/>
        <v>0.10772165942772612</v>
      </c>
    </row>
    <row r="382" spans="2:22" s="146" customFormat="1">
      <c r="B382" s="146" t="s">
        <v>162</v>
      </c>
      <c r="I382" s="170">
        <f>I369/I$343</f>
        <v>0.21235217075744001</v>
      </c>
      <c r="J382" s="170"/>
      <c r="K382" s="170"/>
      <c r="L382" s="170">
        <f t="shared" ref="L382:T382" si="178">L369/L$343</f>
        <v>0.1857156366802131</v>
      </c>
      <c r="M382" s="170"/>
      <c r="N382" s="170">
        <f t="shared" si="178"/>
        <v>0.18696033264440612</v>
      </c>
      <c r="O382" s="170">
        <f t="shared" si="178"/>
        <v>0.21735007340751072</v>
      </c>
      <c r="P382" s="170">
        <f t="shared" si="178"/>
        <v>0.20933943574798611</v>
      </c>
      <c r="Q382" s="170">
        <f t="shared" si="178"/>
        <v>0.18620749813624329</v>
      </c>
      <c r="R382" s="170">
        <f t="shared" si="178"/>
        <v>0.15699359955610637</v>
      </c>
      <c r="S382" s="170">
        <f t="shared" si="178"/>
        <v>0.15303168653996763</v>
      </c>
      <c r="T382" s="170">
        <f t="shared" si="178"/>
        <v>0.15381993629198135</v>
      </c>
      <c r="V382" s="146" t="s">
        <v>1302</v>
      </c>
    </row>
    <row r="383" spans="2:22" s="146" customFormat="1">
      <c r="B383" s="146" t="s">
        <v>1161</v>
      </c>
      <c r="I383" s="965">
        <f>-I352/I357</f>
        <v>1.2199594990436617</v>
      </c>
      <c r="L383" s="965">
        <f>-L352/L357</f>
        <v>1.2871603226737094</v>
      </c>
      <c r="N383" s="965">
        <f>-N352/N357</f>
        <v>1.2402715937036197</v>
      </c>
      <c r="O383" s="965">
        <f t="shared" ref="O383:T383" ca="1" si="179">-O352/O357</f>
        <v>1.4585423301246938</v>
      </c>
      <c r="P383" s="965">
        <f t="shared" ca="1" si="179"/>
        <v>1.6227409092599361</v>
      </c>
      <c r="Q383" s="965">
        <f t="shared" ca="1" si="179"/>
        <v>1.9312501487529055</v>
      </c>
      <c r="R383" s="965">
        <f t="shared" ca="1" si="179"/>
        <v>2.6073798602787983</v>
      </c>
      <c r="S383" s="965">
        <f t="shared" ca="1" si="179"/>
        <v>3.1629160408318584</v>
      </c>
      <c r="T383" s="965">
        <f t="shared" ca="1" si="179"/>
        <v>3.9981590014553001</v>
      </c>
    </row>
    <row r="384" spans="2:22" s="146" customFormat="1">
      <c r="L384" s="965"/>
      <c r="N384" s="147"/>
      <c r="O384" s="147"/>
    </row>
    <row r="385" spans="2:22" s="146" customFormat="1">
      <c r="B385" s="249" t="s">
        <v>577</v>
      </c>
      <c r="L385" s="965"/>
      <c r="N385" s="147"/>
      <c r="O385" s="147"/>
    </row>
    <row r="386" spans="2:22" s="146" customFormat="1">
      <c r="L386" s="965"/>
      <c r="N386" s="147"/>
      <c r="O386" s="147"/>
    </row>
    <row r="387" spans="2:22" s="146" customFormat="1">
      <c r="B387" s="147" t="s">
        <v>1238</v>
      </c>
      <c r="L387" s="965"/>
      <c r="N387" s="147"/>
      <c r="O387" s="147"/>
    </row>
    <row r="388" spans="2:22" s="918" customFormat="1">
      <c r="B388" s="918" t="s">
        <v>524</v>
      </c>
      <c r="D388" s="1156">
        <f>'Income Statement'!BZ96/1000</f>
        <v>57.5</v>
      </c>
      <c r="I388" s="1156">
        <f>'Income Statement'!CE96/1000</f>
        <v>57.5</v>
      </c>
      <c r="N388" s="1156">
        <f>'Income Statement'!CJ96/1000</f>
        <v>58.8</v>
      </c>
      <c r="O388" s="1156">
        <f>'Income Statement'!CO96/1000</f>
        <v>82.771271720245153</v>
      </c>
      <c r="P388" s="1156">
        <f>'Income Statement'!CP96/1000</f>
        <v>83.969257163598712</v>
      </c>
      <c r="Q388" s="1156">
        <f>'Income Statement'!CQ96/1000</f>
        <v>85.182942914061911</v>
      </c>
      <c r="R388" s="1156">
        <f>'Income Statement'!CR96/1000</f>
        <v>86.412523357124314</v>
      </c>
      <c r="S388" s="1156">
        <f>'Income Statement'!CS96/1000</f>
        <v>87.658195197739857</v>
      </c>
      <c r="T388" s="1156">
        <f>'Income Statement'!CT96/1000</f>
        <v>88.920157487295512</v>
      </c>
    </row>
    <row r="389" spans="2:22" s="918" customFormat="1">
      <c r="B389" s="918" t="s">
        <v>856</v>
      </c>
      <c r="D389" s="966">
        <v>36</v>
      </c>
      <c r="I389" s="966">
        <v>36.5</v>
      </c>
      <c r="N389" s="966">
        <v>35.700000000000003</v>
      </c>
    </row>
    <row r="390" spans="2:22" s="918" customFormat="1">
      <c r="B390" s="1157" t="s">
        <v>904</v>
      </c>
      <c r="C390" s="959"/>
      <c r="D390" s="1157">
        <f>D388+D389</f>
        <v>93.5</v>
      </c>
      <c r="E390" s="959"/>
      <c r="F390" s="959"/>
      <c r="G390" s="959"/>
      <c r="H390" s="959"/>
      <c r="I390" s="1157">
        <f>I388+I389</f>
        <v>94</v>
      </c>
      <c r="J390" s="959"/>
      <c r="K390" s="959"/>
      <c r="L390" s="959"/>
      <c r="M390" s="959"/>
      <c r="N390" s="1157">
        <f>N388+N389</f>
        <v>94.5</v>
      </c>
      <c r="O390" s="1157">
        <f>N390*(1+O391)</f>
        <v>94.972499999999997</v>
      </c>
      <c r="P390" s="1157">
        <f t="shared" ref="P390:T390" si="180">O390*(1+P391)</f>
        <v>95.447362499999983</v>
      </c>
      <c r="Q390" s="1157">
        <f t="shared" si="180"/>
        <v>95.924599312499979</v>
      </c>
      <c r="R390" s="1157">
        <f t="shared" si="180"/>
        <v>96.404222309062462</v>
      </c>
      <c r="S390" s="1157">
        <f t="shared" si="180"/>
        <v>96.886243420607769</v>
      </c>
      <c r="T390" s="1157">
        <f t="shared" si="180"/>
        <v>97.370674637710792</v>
      </c>
    </row>
    <row r="391" spans="2:22" s="253" customFormat="1">
      <c r="B391" s="1147" t="s">
        <v>64</v>
      </c>
      <c r="I391" s="1096">
        <f>I390/D390-1</f>
        <v>5.3475935828877219E-3</v>
      </c>
      <c r="N391" s="1096">
        <f>N390/I390-1</f>
        <v>5.3191489361701372E-3</v>
      </c>
      <c r="O391" s="1155">
        <v>5.0000000000000001E-3</v>
      </c>
      <c r="P391" s="1155">
        <v>5.0000000000000001E-3</v>
      </c>
      <c r="Q391" s="1155">
        <v>5.0000000000000001E-3</v>
      </c>
      <c r="R391" s="1155">
        <v>5.0000000000000001E-3</v>
      </c>
      <c r="S391" s="1155">
        <v>5.0000000000000001E-3</v>
      </c>
      <c r="T391" s="1155">
        <v>5.0000000000000001E-3</v>
      </c>
    </row>
    <row r="392" spans="2:22" s="146" customFormat="1">
      <c r="I392" s="1153"/>
      <c r="N392" s="1153"/>
      <c r="O392" s="1154"/>
    </row>
    <row r="393" spans="2:22" s="146" customFormat="1">
      <c r="B393" s="147" t="s">
        <v>1239</v>
      </c>
      <c r="N393" s="147"/>
      <c r="O393" s="147"/>
    </row>
    <row r="394" spans="2:22" s="146" customFormat="1">
      <c r="B394" s="146" t="s">
        <v>524</v>
      </c>
      <c r="D394" s="914">
        <f>'Income Statement'!BZ136</f>
        <v>38750</v>
      </c>
      <c r="I394" s="914">
        <f>'Income Statement'!CE136</f>
        <v>41750</v>
      </c>
      <c r="N394" s="914">
        <f>'Income Statement'!CJ136</f>
        <v>42500</v>
      </c>
      <c r="O394" s="914">
        <f>'Income Statement'!CO136</f>
        <v>35590.859765589783</v>
      </c>
      <c r="P394" s="914">
        <f>'Income Statement'!CP136</f>
        <v>39374.791688700709</v>
      </c>
      <c r="Q394" s="914">
        <f>'Income Statement'!CQ136</f>
        <v>40551.975897513599</v>
      </c>
      <c r="R394" s="914">
        <f>'Income Statement'!CR136</f>
        <v>41761.340435812359</v>
      </c>
      <c r="S394" s="914">
        <f>'Income Statement'!CS136</f>
        <v>43003.794818341128</v>
      </c>
      <c r="T394" s="914">
        <f>'Income Statement'!CT136</f>
        <v>44280.274625380138</v>
      </c>
    </row>
    <row r="395" spans="2:22" s="146" customFormat="1">
      <c r="B395" s="146" t="s">
        <v>856</v>
      </c>
      <c r="C395" s="916"/>
      <c r="D395" s="916">
        <v>26000</v>
      </c>
      <c r="E395" s="916"/>
      <c r="F395" s="916"/>
      <c r="G395" s="916"/>
      <c r="H395" s="916"/>
      <c r="I395" s="916">
        <v>26000</v>
      </c>
      <c r="J395" s="916"/>
      <c r="K395" s="916"/>
      <c r="L395" s="916"/>
      <c r="M395" s="916"/>
      <c r="N395" s="916">
        <v>24000</v>
      </c>
      <c r="O395" s="891"/>
      <c r="P395" s="891"/>
      <c r="Q395" s="891"/>
      <c r="R395" s="891"/>
      <c r="S395" s="891"/>
      <c r="T395" s="891"/>
    </row>
    <row r="396" spans="2:22" s="147" customFormat="1">
      <c r="B396" s="148" t="s">
        <v>904</v>
      </c>
      <c r="C396" s="148"/>
      <c r="D396" s="947">
        <f>SUMPRODUCT(D388:D389,D394:D395)/D390</f>
        <v>33840.909090909088</v>
      </c>
      <c r="E396" s="148"/>
      <c r="F396" s="148"/>
      <c r="G396" s="148"/>
      <c r="H396" s="148"/>
      <c r="I396" s="947">
        <f>SUMPRODUCT(I388:I389,I394:I395)/I390</f>
        <v>35634.308510638301</v>
      </c>
      <c r="J396" s="148"/>
      <c r="K396" s="148"/>
      <c r="L396" s="148"/>
      <c r="M396" s="148"/>
      <c r="N396" s="947">
        <f>SUMPRODUCT(N388:N389,N394:N395)/N390</f>
        <v>35511.111111111109</v>
      </c>
      <c r="O396" s="947">
        <f>N396*(1+O397)</f>
        <v>34090.666666666664</v>
      </c>
      <c r="P396" s="947">
        <f t="shared" ref="P396" si="181">O396*(1+P397)</f>
        <v>35113.386666666665</v>
      </c>
      <c r="Q396" s="947">
        <f t="shared" ref="Q396" si="182">P396*(1+Q397)</f>
        <v>35991.221333333327</v>
      </c>
      <c r="R396" s="947">
        <f t="shared" ref="R396" si="183">Q396*(1+R397)</f>
        <v>36891.001866666658</v>
      </c>
      <c r="S396" s="947">
        <f t="shared" ref="S396" si="184">R396*(1+S397)</f>
        <v>37628.821903999989</v>
      </c>
      <c r="T396" s="947">
        <f t="shared" ref="T396" si="185">S396*(1+T397)</f>
        <v>38306.140698271993</v>
      </c>
    </row>
    <row r="397" spans="2:22" s="253" customFormat="1">
      <c r="B397" s="1147" t="s">
        <v>64</v>
      </c>
      <c r="I397" s="1096">
        <f>I396/D396-1</f>
        <v>5.2995013074603969E-2</v>
      </c>
      <c r="N397" s="1096">
        <f>N396/I396-1</f>
        <v>-3.457269263143159E-3</v>
      </c>
      <c r="O397" s="1155">
        <v>-0.04</v>
      </c>
      <c r="P397" s="1155">
        <v>0.03</v>
      </c>
      <c r="Q397" s="1155">
        <v>2.5000000000000001E-2</v>
      </c>
      <c r="R397" s="1155">
        <v>2.5000000000000001E-2</v>
      </c>
      <c r="S397" s="1155">
        <v>0.02</v>
      </c>
      <c r="T397" s="1155">
        <v>1.7999999999999999E-2</v>
      </c>
    </row>
    <row r="398" spans="2:22" s="146" customFormat="1">
      <c r="B398" s="147"/>
      <c r="D398" s="891"/>
      <c r="I398" s="891"/>
      <c r="N398" s="891"/>
      <c r="O398" s="170"/>
      <c r="P398" s="891"/>
      <c r="Q398" s="891"/>
      <c r="R398" s="891"/>
      <c r="S398" s="891"/>
      <c r="T398" s="891"/>
    </row>
    <row r="399" spans="2:22" s="146" customFormat="1">
      <c r="B399" s="147" t="s">
        <v>1274</v>
      </c>
      <c r="C399" s="891"/>
      <c r="D399" s="891"/>
      <c r="E399" s="891"/>
      <c r="F399" s="891"/>
      <c r="G399" s="891"/>
      <c r="H399" s="891"/>
      <c r="I399" s="891"/>
      <c r="J399" s="891"/>
      <c r="K399" s="891"/>
      <c r="L399" s="891"/>
      <c r="M399" s="891"/>
      <c r="N399" s="956">
        <v>1.02</v>
      </c>
      <c r="O399" s="1152">
        <v>1.1826926414453678</v>
      </c>
      <c r="P399" s="1152">
        <v>1.3584784679427284</v>
      </c>
      <c r="Q399" s="1152">
        <v>1.5475758063377421</v>
      </c>
      <c r="R399" s="1152">
        <v>1.6911084187008407</v>
      </c>
      <c r="S399" s="1152">
        <v>1.8408597095350583</v>
      </c>
      <c r="T399" s="1152">
        <v>1.9969264478071143</v>
      </c>
      <c r="V399" s="146" t="s">
        <v>1386</v>
      </c>
    </row>
    <row r="400" spans="2:22" s="146" customFormat="1">
      <c r="B400" s="147" t="s">
        <v>1387</v>
      </c>
      <c r="N400" s="908">
        <v>7.49999999999999E-2</v>
      </c>
      <c r="O400" s="1152">
        <v>0.19999999999999996</v>
      </c>
      <c r="P400" s="1152">
        <v>0.37000000000000005</v>
      </c>
      <c r="Q400" s="1152">
        <v>0.42000000000000004</v>
      </c>
      <c r="R400" s="1152">
        <v>0.47000000000000014</v>
      </c>
      <c r="S400" s="1152">
        <v>0.52</v>
      </c>
      <c r="T400" s="1152">
        <v>0.57000000000000006</v>
      </c>
      <c r="V400" s="146" t="s">
        <v>1386</v>
      </c>
    </row>
    <row r="401" spans="2:22" s="146" customFormat="1">
      <c r="N401" s="147"/>
      <c r="O401" s="147"/>
      <c r="P401" s="147"/>
      <c r="Q401" s="147"/>
      <c r="R401" s="147"/>
      <c r="S401" s="147"/>
      <c r="T401" s="147"/>
    </row>
    <row r="402" spans="2:22" s="146" customFormat="1">
      <c r="B402" s="147" t="s">
        <v>489</v>
      </c>
      <c r="N402" s="923">
        <v>245</v>
      </c>
      <c r="O402" s="923">
        <v>240.1</v>
      </c>
      <c r="P402" s="923">
        <v>235.298</v>
      </c>
      <c r="Q402" s="923">
        <v>230.59204</v>
      </c>
      <c r="R402" s="923">
        <v>225.98019919999999</v>
      </c>
      <c r="S402" s="923">
        <v>221.46059521599997</v>
      </c>
      <c r="T402" s="923">
        <v>217.03138331167997</v>
      </c>
      <c r="V402" s="146" t="s">
        <v>1386</v>
      </c>
    </row>
    <row r="403" spans="2:22" s="146" customFormat="1">
      <c r="B403" s="147" t="s">
        <v>1388</v>
      </c>
      <c r="N403" s="923">
        <v>70</v>
      </c>
      <c r="O403" s="923">
        <v>70</v>
      </c>
      <c r="P403" s="923">
        <v>70</v>
      </c>
      <c r="Q403" s="923">
        <v>70</v>
      </c>
      <c r="R403" s="923">
        <v>70</v>
      </c>
      <c r="S403" s="923">
        <v>70</v>
      </c>
      <c r="T403" s="923">
        <v>70</v>
      </c>
    </row>
    <row r="404" spans="2:22" s="146" customFormat="1">
      <c r="N404" s="147"/>
      <c r="O404" s="1089"/>
      <c r="P404" s="1089"/>
      <c r="Q404" s="1089"/>
      <c r="R404" s="1089"/>
      <c r="S404" s="1089"/>
      <c r="T404" s="1089"/>
    </row>
    <row r="405" spans="2:22" s="146" customFormat="1">
      <c r="B405" s="146" t="s">
        <v>954</v>
      </c>
      <c r="N405" s="147"/>
      <c r="O405" s="963">
        <f>AVERAGE(O399,N399)*O402*12</f>
        <v>3173.1990192661965</v>
      </c>
      <c r="P405" s="963">
        <f t="shared" ref="P405:T405" si="186">AVERAGE(P399,O399)*P402*12</f>
        <v>3587.5948781808011</v>
      </c>
      <c r="Q405" s="963">
        <f t="shared" si="186"/>
        <v>4020.6779007423193</v>
      </c>
      <c r="R405" s="963">
        <f t="shared" si="186"/>
        <v>4391.2710379206983</v>
      </c>
      <c r="S405" s="963">
        <f t="shared" si="186"/>
        <v>4693.1505837783807</v>
      </c>
      <c r="T405" s="963">
        <f t="shared" si="186"/>
        <v>4997.5202314943308</v>
      </c>
    </row>
    <row r="406" spans="2:22" s="146" customFormat="1">
      <c r="B406" s="146" t="s">
        <v>1389</v>
      </c>
      <c r="N406" s="147"/>
      <c r="O406" s="963">
        <f>O400*O403*12</f>
        <v>167.99999999999994</v>
      </c>
      <c r="P406" s="963">
        <f t="shared" ref="P406:T406" si="187">P400*P403*12</f>
        <v>310.8</v>
      </c>
      <c r="Q406" s="963">
        <f t="shared" si="187"/>
        <v>352.8</v>
      </c>
      <c r="R406" s="963">
        <f t="shared" si="187"/>
        <v>394.80000000000018</v>
      </c>
      <c r="S406" s="963">
        <f t="shared" si="187"/>
        <v>436.79999999999995</v>
      </c>
      <c r="T406" s="963">
        <f t="shared" si="187"/>
        <v>478.80000000000007</v>
      </c>
    </row>
    <row r="407" spans="2:22" s="146" customFormat="1">
      <c r="B407" s="148" t="s">
        <v>1390</v>
      </c>
      <c r="C407" s="149"/>
      <c r="D407" s="149"/>
      <c r="E407" s="149"/>
      <c r="F407" s="149"/>
      <c r="G407" s="149"/>
      <c r="H407" s="149"/>
      <c r="I407" s="149"/>
      <c r="J407" s="149"/>
      <c r="K407" s="149"/>
      <c r="L407" s="149"/>
      <c r="M407" s="149"/>
      <c r="N407" s="148"/>
      <c r="O407" s="1158">
        <f>SUM(O405:O406)</f>
        <v>3341.1990192661965</v>
      </c>
      <c r="P407" s="1158">
        <f t="shared" ref="P407:T407" si="188">SUM(P405:P406)</f>
        <v>3898.3948781808012</v>
      </c>
      <c r="Q407" s="1158">
        <f t="shared" si="188"/>
        <v>4373.4779007423194</v>
      </c>
      <c r="R407" s="1158">
        <f t="shared" si="188"/>
        <v>4786.0710379206985</v>
      </c>
      <c r="S407" s="1158">
        <f t="shared" si="188"/>
        <v>5129.9505837783809</v>
      </c>
      <c r="T407" s="1158">
        <f t="shared" si="188"/>
        <v>5476.320231494331</v>
      </c>
    </row>
    <row r="408" spans="2:22" s="146" customFormat="1">
      <c r="B408" s="1147" t="s">
        <v>64</v>
      </c>
      <c r="N408" s="147"/>
      <c r="O408" s="1089"/>
      <c r="P408" s="883">
        <f>IFERROR(P407/O407-1,"")</f>
        <v>0.16676524077185251</v>
      </c>
      <c r="Q408" s="883">
        <f t="shared" ref="Q408:T408" si="189">IFERROR(Q407/P407-1,"")</f>
        <v>0.12186631611398413</v>
      </c>
      <c r="R408" s="883">
        <f t="shared" si="189"/>
        <v>9.4339824401158845E-2</v>
      </c>
      <c r="S408" s="883">
        <f t="shared" si="189"/>
        <v>7.1850071412036698E-2</v>
      </c>
      <c r="T408" s="883">
        <f t="shared" si="189"/>
        <v>6.7519100244594732E-2</v>
      </c>
    </row>
    <row r="409" spans="2:22" s="146" customFormat="1">
      <c r="N409" s="147"/>
      <c r="O409" s="1089"/>
      <c r="P409" s="1089"/>
      <c r="Q409" s="1089"/>
      <c r="R409" s="1089"/>
      <c r="S409" s="1089"/>
      <c r="T409" s="1089"/>
    </row>
    <row r="410" spans="2:22" s="146" customFormat="1">
      <c r="N410" s="147"/>
      <c r="O410" s="1089"/>
      <c r="P410" s="1089"/>
      <c r="Q410" s="1089"/>
      <c r="R410" s="1089"/>
      <c r="S410" s="1089"/>
      <c r="T410" s="1089"/>
    </row>
    <row r="411" spans="2:22" s="146" customFormat="1">
      <c r="B411" s="249" t="s">
        <v>1277</v>
      </c>
      <c r="N411" s="147"/>
      <c r="O411" s="147"/>
    </row>
    <row r="412" spans="2:22" s="146" customFormat="1">
      <c r="N412" s="147"/>
      <c r="O412" s="147"/>
    </row>
    <row r="413" spans="2:22" s="146" customFormat="1">
      <c r="B413" s="249" t="s">
        <v>373</v>
      </c>
      <c r="N413" s="147"/>
      <c r="O413" s="147"/>
    </row>
    <row r="414" spans="2:22" s="146" customFormat="1">
      <c r="N414" s="1108">
        <f>N$4</f>
        <v>2024</v>
      </c>
      <c r="O414" s="1280">
        <f t="shared" ref="O414:T414" si="190">O$4</f>
        <v>2025</v>
      </c>
      <c r="P414" s="1280">
        <f t="shared" si="190"/>
        <v>2026</v>
      </c>
      <c r="Q414" s="1280">
        <f t="shared" si="190"/>
        <v>2027</v>
      </c>
      <c r="R414" s="1280">
        <f t="shared" si="190"/>
        <v>2028</v>
      </c>
      <c r="S414" s="1280">
        <f t="shared" si="190"/>
        <v>2029</v>
      </c>
      <c r="T414" s="1280">
        <f t="shared" si="190"/>
        <v>2030</v>
      </c>
    </row>
    <row r="415" spans="2:22" s="146" customFormat="1">
      <c r="B415" s="924" t="s">
        <v>2</v>
      </c>
      <c r="I415" s="891">
        <f>I346</f>
        <v>21096.008999999998</v>
      </c>
      <c r="J415" s="891">
        <f t="shared" ref="J415:T415" si="191">J346</f>
        <v>0</v>
      </c>
      <c r="K415" s="891">
        <f t="shared" si="191"/>
        <v>0</v>
      </c>
      <c r="L415" s="891">
        <f t="shared" si="191"/>
        <v>22482.441999999999</v>
      </c>
      <c r="M415" s="891">
        <f t="shared" si="191"/>
        <v>0</v>
      </c>
      <c r="N415" s="891">
        <f t="shared" si="191"/>
        <v>22451.777000000002</v>
      </c>
      <c r="O415" s="891">
        <f t="shared" si="191"/>
        <v>23046.987716971151</v>
      </c>
      <c r="P415" s="891">
        <f t="shared" si="191"/>
        <v>23816.19512184387</v>
      </c>
      <c r="Q415" s="891">
        <f t="shared" si="191"/>
        <v>25025.885460748661</v>
      </c>
      <c r="R415" s="891">
        <f t="shared" si="191"/>
        <v>26592.193763350788</v>
      </c>
      <c r="S415" s="891">
        <f t="shared" si="191"/>
        <v>27480.438044350718</v>
      </c>
      <c r="T415" s="891">
        <f t="shared" si="191"/>
        <v>28294.364864768864</v>
      </c>
    </row>
    <row r="416" spans="2:22" s="146" customFormat="1">
      <c r="B416" s="924" t="s">
        <v>1073</v>
      </c>
      <c r="N416" s="147"/>
      <c r="O416" s="1081"/>
      <c r="P416" s="1082"/>
      <c r="Q416" s="1082"/>
      <c r="R416" s="1082"/>
      <c r="S416" s="1082"/>
      <c r="T416" s="1082"/>
      <c r="V416" s="146" t="s">
        <v>1395</v>
      </c>
    </row>
    <row r="417" spans="2:22" s="146" customFormat="1">
      <c r="B417" s="924" t="s">
        <v>1074</v>
      </c>
      <c r="I417" s="891">
        <f t="shared" ref="I417:T417" si="192">I362</f>
        <v>-614.16000000000008</v>
      </c>
      <c r="J417" s="891">
        <f t="shared" si="192"/>
        <v>0</v>
      </c>
      <c r="K417" s="891">
        <f t="shared" si="192"/>
        <v>0</v>
      </c>
      <c r="L417" s="891">
        <f t="shared" si="192"/>
        <v>1083.796</v>
      </c>
      <c r="M417" s="891">
        <f t="shared" si="192"/>
        <v>0</v>
      </c>
      <c r="N417" s="891">
        <f t="shared" si="192"/>
        <v>-588.20699999999988</v>
      </c>
      <c r="O417" s="891">
        <f t="shared" ca="1" si="192"/>
        <v>-436.38127334514439</v>
      </c>
      <c r="P417" s="891">
        <f t="shared" ca="1" si="192"/>
        <v>-584.54585536968909</v>
      </c>
      <c r="Q417" s="891">
        <f t="shared" ca="1" si="192"/>
        <v>-855.2289525832914</v>
      </c>
      <c r="R417" s="891">
        <f t="shared" ca="1" si="192"/>
        <v>-1316.5221225649759</v>
      </c>
      <c r="S417" s="891">
        <f t="shared" ca="1" si="192"/>
        <v>-1517.7755132711718</v>
      </c>
      <c r="T417" s="891">
        <f t="shared" ca="1" si="192"/>
        <v>-1712.8195158509511</v>
      </c>
    </row>
    <row r="418" spans="2:22" s="146" customFormat="1">
      <c r="B418" s="924" t="s">
        <v>1029</v>
      </c>
      <c r="I418" s="891">
        <f t="shared" ref="I418:T418" si="193">-I369</f>
        <v>-9338.9</v>
      </c>
      <c r="J418" s="891">
        <f t="shared" si="193"/>
        <v>0</v>
      </c>
      <c r="K418" s="891">
        <f t="shared" si="193"/>
        <v>0</v>
      </c>
      <c r="L418" s="891">
        <f t="shared" si="193"/>
        <v>-8428.7999999999993</v>
      </c>
      <c r="M418" s="891">
        <f t="shared" si="193"/>
        <v>0</v>
      </c>
      <c r="N418" s="891">
        <f t="shared" si="193"/>
        <v>-8564.9</v>
      </c>
      <c r="O418" s="891">
        <f>-O369</f>
        <v>-10216.213720988784</v>
      </c>
      <c r="P418" s="891">
        <f>-P369</f>
        <v>-10292.561657662129</v>
      </c>
      <c r="Q418" s="891">
        <f t="shared" si="193"/>
        <v>-9516.3265233291695</v>
      </c>
      <c r="R418" s="891">
        <f t="shared" si="193"/>
        <v>-8325.6603948013108</v>
      </c>
      <c r="S418" s="891">
        <f t="shared" si="193"/>
        <v>-8374.7122289211238</v>
      </c>
      <c r="T418" s="891">
        <f t="shared" si="193"/>
        <v>-8671.4778017999288</v>
      </c>
    </row>
    <row r="419" spans="2:22" s="146" customFormat="1">
      <c r="B419" s="924" t="s">
        <v>501</v>
      </c>
      <c r="N419" s="147"/>
      <c r="O419" s="147"/>
    </row>
    <row r="420" spans="2:22" s="146" customFormat="1">
      <c r="B420" s="925" t="s">
        <v>1075</v>
      </c>
      <c r="C420" s="148"/>
      <c r="D420" s="148"/>
      <c r="E420" s="148"/>
      <c r="F420" s="148"/>
      <c r="G420" s="148"/>
      <c r="H420" s="148"/>
      <c r="I420" s="947">
        <f>SUM(I415:I419)</f>
        <v>11142.948999999999</v>
      </c>
      <c r="J420" s="947">
        <f t="shared" ref="J420:T420" si="194">SUM(J415:J419)</f>
        <v>0</v>
      </c>
      <c r="K420" s="947">
        <f t="shared" si="194"/>
        <v>0</v>
      </c>
      <c r="L420" s="947">
        <f t="shared" si="194"/>
        <v>15137.437999999998</v>
      </c>
      <c r="M420" s="947">
        <f t="shared" si="194"/>
        <v>0</v>
      </c>
      <c r="N420" s="947">
        <f t="shared" si="194"/>
        <v>13298.670000000004</v>
      </c>
      <c r="O420" s="947">
        <f t="shared" ca="1" si="194"/>
        <v>12394.392722637222</v>
      </c>
      <c r="P420" s="947">
        <f t="shared" ca="1" si="194"/>
        <v>12939.087608812053</v>
      </c>
      <c r="Q420" s="947">
        <f t="shared" ca="1" si="194"/>
        <v>14654.329984836198</v>
      </c>
      <c r="R420" s="947">
        <f t="shared" ca="1" si="194"/>
        <v>16950.0112459845</v>
      </c>
      <c r="S420" s="947">
        <f t="shared" ca="1" si="194"/>
        <v>17587.950302158424</v>
      </c>
      <c r="T420" s="947">
        <f t="shared" ca="1" si="194"/>
        <v>17910.067547117986</v>
      </c>
    </row>
    <row r="421" spans="2:22" s="146" customFormat="1">
      <c r="B421" s="924" t="s">
        <v>1076</v>
      </c>
      <c r="I421" s="891">
        <f>I359</f>
        <v>-4113.5</v>
      </c>
      <c r="N421" s="891">
        <f t="shared" ref="N421:T421" si="195">N359</f>
        <v>-4317.0640000000003</v>
      </c>
      <c r="O421" s="891">
        <f t="shared" ca="1" si="195"/>
        <v>-4056.0190776396976</v>
      </c>
      <c r="P421" s="891">
        <f t="shared" ca="1" si="195"/>
        <v>-4045.6738306071647</v>
      </c>
      <c r="Q421" s="891">
        <f t="shared" ca="1" si="195"/>
        <v>-3998.5180492806085</v>
      </c>
      <c r="R421" s="891">
        <f t="shared" ca="1" si="195"/>
        <v>-3585.3796478207678</v>
      </c>
      <c r="S421" s="891">
        <f t="shared" ca="1" si="195"/>
        <v>-3065.6491593380551</v>
      </c>
      <c r="T421" s="891">
        <f t="shared" ca="1" si="195"/>
        <v>-2483.6810923219145</v>
      </c>
    </row>
    <row r="422" spans="2:22" s="146" customFormat="1">
      <c r="B422" s="1235" t="s">
        <v>1280</v>
      </c>
      <c r="C422" s="1227"/>
      <c r="D422" s="1227"/>
      <c r="E422" s="1227"/>
      <c r="F422" s="1227"/>
      <c r="G422" s="1227"/>
      <c r="H422" s="1227"/>
      <c r="I422" s="1226">
        <f>I420+I421</f>
        <v>7029.4489999999987</v>
      </c>
      <c r="J422" s="1227"/>
      <c r="K422" s="1227"/>
      <c r="L422" s="1227"/>
      <c r="M422" s="1227"/>
      <c r="N422" s="1226">
        <f>N420+N421</f>
        <v>8981.6060000000034</v>
      </c>
      <c r="O422" s="1226">
        <f ca="1">O420+O421</f>
        <v>8338.373644997524</v>
      </c>
      <c r="P422" s="1226">
        <f t="shared" ref="P422:T422" ca="1" si="196">P420+P421</f>
        <v>8893.4137782048892</v>
      </c>
      <c r="Q422" s="1226">
        <f t="shared" ca="1" si="196"/>
        <v>10655.81193555559</v>
      </c>
      <c r="R422" s="1226">
        <f t="shared" ca="1" si="196"/>
        <v>13364.631598163733</v>
      </c>
      <c r="S422" s="1226">
        <f t="shared" ca="1" si="196"/>
        <v>14522.301142820368</v>
      </c>
      <c r="T422" s="1226">
        <f t="shared" ca="1" si="196"/>
        <v>15426.386454796071</v>
      </c>
    </row>
    <row r="423" spans="2:22" s="146" customFormat="1">
      <c r="B423" s="924" t="s">
        <v>1077</v>
      </c>
      <c r="I423" s="891">
        <f>I463</f>
        <v>-6866.4539999999997</v>
      </c>
      <c r="J423" s="891">
        <f t="shared" ref="J423:T423" si="197">J463</f>
        <v>0</v>
      </c>
      <c r="K423" s="891">
        <f t="shared" si="197"/>
        <v>0</v>
      </c>
      <c r="L423" s="891">
        <f t="shared" si="197"/>
        <v>0</v>
      </c>
      <c r="M423" s="891">
        <f t="shared" si="197"/>
        <v>0</v>
      </c>
      <c r="N423" s="891">
        <f t="shared" si="197"/>
        <v>-7026.5140000000001</v>
      </c>
      <c r="O423" s="891">
        <f t="shared" si="197"/>
        <v>-7209.3692495586492</v>
      </c>
      <c r="P423" s="891">
        <f t="shared" si="197"/>
        <v>-7541.1836867791026</v>
      </c>
      <c r="Q423" s="891">
        <f t="shared" si="197"/>
        <v>-7838.6136849832619</v>
      </c>
      <c r="R423" s="891">
        <f t="shared" si="197"/>
        <v>-8133.9937837165107</v>
      </c>
      <c r="S423" s="891">
        <f t="shared" si="197"/>
        <v>-8393.7420660051757</v>
      </c>
      <c r="T423" s="891">
        <f t="shared" si="197"/>
        <v>-8646.6440453856358</v>
      </c>
    </row>
    <row r="424" spans="2:22" s="146" customFormat="1">
      <c r="B424" s="925" t="s">
        <v>1292</v>
      </c>
      <c r="C424" s="149"/>
      <c r="D424" s="149"/>
      <c r="E424" s="149"/>
      <c r="F424" s="149"/>
      <c r="G424" s="149"/>
      <c r="H424" s="149"/>
      <c r="I424" s="947">
        <f>I422+I423</f>
        <v>162.99499999999898</v>
      </c>
      <c r="J424" s="947">
        <f t="shared" ref="J424:T424" si="198">J422+J423</f>
        <v>0</v>
      </c>
      <c r="K424" s="947">
        <f t="shared" si="198"/>
        <v>0</v>
      </c>
      <c r="L424" s="947">
        <f t="shared" si="198"/>
        <v>0</v>
      </c>
      <c r="M424" s="947">
        <f t="shared" si="198"/>
        <v>0</v>
      </c>
      <c r="N424" s="947">
        <f t="shared" si="198"/>
        <v>1955.0920000000033</v>
      </c>
      <c r="O424" s="947">
        <f t="shared" ca="1" si="198"/>
        <v>1129.0043954388748</v>
      </c>
      <c r="P424" s="947">
        <f t="shared" ca="1" si="198"/>
        <v>1352.2300914257867</v>
      </c>
      <c r="Q424" s="947">
        <f t="shared" ca="1" si="198"/>
        <v>2817.1982505723281</v>
      </c>
      <c r="R424" s="947">
        <f t="shared" ca="1" si="198"/>
        <v>5230.6378144472219</v>
      </c>
      <c r="S424" s="947">
        <f t="shared" ca="1" si="198"/>
        <v>6128.5590768151924</v>
      </c>
      <c r="T424" s="947">
        <f t="shared" ca="1" si="198"/>
        <v>6779.7424094104354</v>
      </c>
    </row>
    <row r="425" spans="2:22" s="146" customFormat="1">
      <c r="B425" s="1078" t="s">
        <v>1078</v>
      </c>
      <c r="C425" s="150"/>
      <c r="D425" s="150"/>
      <c r="E425" s="150"/>
      <c r="F425" s="150"/>
      <c r="G425" s="150"/>
      <c r="H425" s="150"/>
      <c r="I425" s="150"/>
      <c r="J425" s="150"/>
      <c r="K425" s="150"/>
      <c r="L425" s="150"/>
      <c r="M425" s="150"/>
      <c r="N425" s="147"/>
      <c r="O425" s="1090">
        <f>'Balance Sheet and Cflow'!V67</f>
        <v>0</v>
      </c>
      <c r="P425" s="1090">
        <f>'Balance Sheet and Cflow'!W67</f>
        <v>-742.25454545454534</v>
      </c>
      <c r="Q425" s="1090">
        <f>'Balance Sheet and Cflow'!X67</f>
        <v>-742.25454545454534</v>
      </c>
      <c r="R425" s="1090">
        <f>'Balance Sheet and Cflow'!Y67</f>
        <v>-742.25454545454534</v>
      </c>
      <c r="S425" s="1090">
        <f>'Balance Sheet and Cflow'!Z67</f>
        <v>-742.25454545454534</v>
      </c>
      <c r="T425" s="1090">
        <f>'Balance Sheet and Cflow'!AA67</f>
        <v>-742.25454545454534</v>
      </c>
    </row>
    <row r="426" spans="2:22" s="146" customFormat="1">
      <c r="B426" s="1077" t="s">
        <v>1079</v>
      </c>
      <c r="I426" s="892">
        <f>I424+I425</f>
        <v>162.99499999999898</v>
      </c>
      <c r="J426" s="892">
        <f t="shared" ref="J426:T426" si="199">J424+J425</f>
        <v>0</v>
      </c>
      <c r="K426" s="892">
        <f t="shared" si="199"/>
        <v>0</v>
      </c>
      <c r="L426" s="892">
        <f t="shared" si="199"/>
        <v>0</v>
      </c>
      <c r="M426" s="892">
        <f t="shared" si="199"/>
        <v>0</v>
      </c>
      <c r="N426" s="947">
        <f t="shared" si="199"/>
        <v>1955.0920000000033</v>
      </c>
      <c r="O426" s="947">
        <f ca="1">O424+O425</f>
        <v>1129.0043954388748</v>
      </c>
      <c r="P426" s="947">
        <f ca="1">P424+P425</f>
        <v>609.97554597124133</v>
      </c>
      <c r="Q426" s="947">
        <f t="shared" ca="1" si="199"/>
        <v>2074.9437051177829</v>
      </c>
      <c r="R426" s="947">
        <f t="shared" ca="1" si="199"/>
        <v>4488.3832689926767</v>
      </c>
      <c r="S426" s="947">
        <f t="shared" ca="1" si="199"/>
        <v>5386.3045313606472</v>
      </c>
      <c r="T426" s="947">
        <f t="shared" ca="1" si="199"/>
        <v>6037.4878639558901</v>
      </c>
    </row>
    <row r="427" spans="2:22" s="146" customFormat="1">
      <c r="B427" s="924" t="s">
        <v>1303</v>
      </c>
      <c r="I427" s="892"/>
      <c r="J427" s="892"/>
      <c r="K427" s="892"/>
      <c r="L427" s="892"/>
      <c r="M427" s="892"/>
      <c r="N427" s="891">
        <f t="shared" ref="N427:T427" si="200">-N433</f>
        <v>-1120.2655035304999</v>
      </c>
      <c r="O427" s="891">
        <f ca="1">-O433</f>
        <v>0</v>
      </c>
      <c r="P427" s="891">
        <f t="shared" ca="1" si="200"/>
        <v>0</v>
      </c>
      <c r="Q427" s="891">
        <f t="shared" ca="1" si="200"/>
        <v>-1516.0876886703804</v>
      </c>
      <c r="R427" s="891">
        <f t="shared" ca="1" si="200"/>
        <v>-2333.8346718197304</v>
      </c>
      <c r="S427" s="891">
        <f t="shared" ca="1" si="200"/>
        <v>-2690.6020462534411</v>
      </c>
      <c r="T427" s="891">
        <f t="shared" ca="1" si="200"/>
        <v>-3036.3618690085041</v>
      </c>
    </row>
    <row r="428" spans="2:22" s="146" customFormat="1">
      <c r="B428" s="925" t="s">
        <v>1304</v>
      </c>
      <c r="C428" s="149"/>
      <c r="D428" s="149"/>
      <c r="E428" s="149"/>
      <c r="F428" s="149"/>
      <c r="G428" s="149"/>
      <c r="H428" s="149"/>
      <c r="I428" s="947"/>
      <c r="J428" s="947"/>
      <c r="K428" s="947"/>
      <c r="L428" s="947"/>
      <c r="M428" s="947"/>
      <c r="N428" s="947">
        <f>N426+N427</f>
        <v>834.82649646950335</v>
      </c>
      <c r="O428" s="947">
        <f ca="1">O426+O427</f>
        <v>1129.0043954388748</v>
      </c>
      <c r="P428" s="947">
        <f t="shared" ref="P428:T428" ca="1" si="201">P426+P427</f>
        <v>609.97554597124133</v>
      </c>
      <c r="Q428" s="947">
        <f t="shared" ca="1" si="201"/>
        <v>558.85601644740245</v>
      </c>
      <c r="R428" s="947">
        <f t="shared" ca="1" si="201"/>
        <v>2154.5485971729463</v>
      </c>
      <c r="S428" s="947">
        <f t="shared" ca="1" si="201"/>
        <v>2695.702485107206</v>
      </c>
      <c r="T428" s="947">
        <f t="shared" ca="1" si="201"/>
        <v>3001.1259949473861</v>
      </c>
      <c r="V428" s="146" t="s">
        <v>1305</v>
      </c>
    </row>
    <row r="429" spans="2:22" s="146" customFormat="1">
      <c r="N429" s="147"/>
      <c r="O429" s="147"/>
    </row>
    <row r="430" spans="2:22" s="146" customFormat="1">
      <c r="B430" s="146" t="s">
        <v>1293</v>
      </c>
      <c r="N430" s="170"/>
      <c r="O430" s="170">
        <f t="shared" ref="O430:T430" ca="1" si="202">IFERROR(O424/$C$440,"")</f>
        <v>2.1022528753435462E-2</v>
      </c>
      <c r="P430" s="170">
        <f t="shared" ca="1" si="202"/>
        <v>2.5179083529793346E-2</v>
      </c>
      <c r="Q430" s="170">
        <f t="shared" ca="1" si="202"/>
        <v>5.245739650443311E-2</v>
      </c>
      <c r="R430" s="170">
        <f t="shared" ca="1" si="202"/>
        <v>9.7396639284365774E-2</v>
      </c>
      <c r="S430" s="170">
        <f t="shared" ca="1" si="202"/>
        <v>0.11411630453342257</v>
      </c>
      <c r="T430" s="170">
        <f t="shared" ca="1" si="202"/>
        <v>0.12624160748932464</v>
      </c>
    </row>
    <row r="431" spans="2:22" s="146" customFormat="1">
      <c r="B431" s="1233" t="s">
        <v>1265</v>
      </c>
      <c r="C431" s="1233"/>
      <c r="D431" s="1233"/>
      <c r="E431" s="1233"/>
      <c r="F431" s="1233"/>
      <c r="G431" s="1233"/>
      <c r="H431" s="1233"/>
      <c r="I431" s="1233"/>
      <c r="J431" s="1233"/>
      <c r="K431" s="1233"/>
      <c r="L431" s="1233"/>
      <c r="M431" s="1233"/>
      <c r="N431" s="1234">
        <f>IFERROR(N426/$C$440,"")</f>
        <v>3.6404621586645501E-2</v>
      </c>
      <c r="O431" s="1234">
        <f t="shared" ref="O431:T431" ca="1" si="203">IFERROR(O426/$C$440,"")</f>
        <v>2.1022528753435462E-2</v>
      </c>
      <c r="P431" s="1234">
        <f t="shared" ca="1" si="203"/>
        <v>1.1357996927096265E-2</v>
      </c>
      <c r="Q431" s="1234">
        <f t="shared" ca="1" si="203"/>
        <v>3.8636309901736034E-2</v>
      </c>
      <c r="R431" s="1234">
        <f t="shared" ca="1" si="203"/>
        <v>8.3575552681668705E-2</v>
      </c>
      <c r="S431" s="1234">
        <f t="shared" ca="1" si="203"/>
        <v>0.10029521793072549</v>
      </c>
      <c r="T431" s="1234">
        <f t="shared" ca="1" si="203"/>
        <v>0.11242052088662757</v>
      </c>
    </row>
    <row r="432" spans="2:22" s="146" customFormat="1">
      <c r="N432" s="147"/>
      <c r="O432" s="147"/>
    </row>
    <row r="433" spans="2:22" s="146" customFormat="1">
      <c r="B433" s="146" t="s">
        <v>204</v>
      </c>
      <c r="N433" s="916">
        <v>1120.2655035304999</v>
      </c>
      <c r="O433" s="891">
        <f ca="1">IFERROR(O363*O434,"")</f>
        <v>0</v>
      </c>
      <c r="P433" s="891">
        <f t="shared" ref="P433:T433" ca="1" si="204">IFERROR(P363*P434,"")</f>
        <v>0</v>
      </c>
      <c r="Q433" s="891">
        <f t="shared" ca="1" si="204"/>
        <v>1516.0876886703804</v>
      </c>
      <c r="R433" s="891">
        <f t="shared" ca="1" si="204"/>
        <v>2333.8346718197304</v>
      </c>
      <c r="S433" s="891">
        <f t="shared" ca="1" si="204"/>
        <v>2690.6020462534411</v>
      </c>
      <c r="T433" s="891">
        <f t="shared" ca="1" si="204"/>
        <v>3036.3618690085041</v>
      </c>
    </row>
    <row r="434" spans="2:22" s="146" customFormat="1">
      <c r="B434" s="146" t="s">
        <v>772</v>
      </c>
      <c r="N434" s="147"/>
      <c r="O434" s="278">
        <v>0</v>
      </c>
      <c r="P434" s="278">
        <v>0</v>
      </c>
      <c r="Q434" s="278">
        <v>0.5</v>
      </c>
      <c r="R434" s="278">
        <v>0.5</v>
      </c>
      <c r="S434" s="278">
        <v>0.5</v>
      </c>
      <c r="T434" s="278">
        <v>0.5</v>
      </c>
      <c r="V434" s="146" t="s">
        <v>1324</v>
      </c>
    </row>
    <row r="435" spans="2:22" s="146" customFormat="1">
      <c r="B435" s="146" t="s">
        <v>1266</v>
      </c>
      <c r="N435" s="147"/>
      <c r="O435" s="170">
        <f ca="1">IFERROR(O433/$C$440,"")</f>
        <v>0</v>
      </c>
      <c r="P435" s="170">
        <f t="shared" ref="P435:T435" ca="1" si="205">IFERROR(P433/$C$440,"")</f>
        <v>0</v>
      </c>
      <c r="Q435" s="170">
        <f t="shared" ca="1" si="205"/>
        <v>2.8230179755334851E-2</v>
      </c>
      <c r="R435" s="170">
        <f t="shared" ca="1" si="205"/>
        <v>4.3456966768515307E-2</v>
      </c>
      <c r="S435" s="170">
        <f t="shared" ca="1" si="205"/>
        <v>5.0100122824967015E-2</v>
      </c>
      <c r="T435" s="170">
        <f t="shared" ca="1" si="205"/>
        <v>5.6538313716885995E-2</v>
      </c>
    </row>
    <row r="436" spans="2:22" s="146" customFormat="1">
      <c r="B436" s="146" t="s">
        <v>1436</v>
      </c>
      <c r="N436" s="965">
        <f>$C$440/N363</f>
        <v>97.175453040323575</v>
      </c>
      <c r="O436" s="965">
        <f t="shared" ref="O436:T436" ca="1" si="206">$C$440/O363</f>
        <v>34.71144158136827</v>
      </c>
      <c r="P436" s="965">
        <f t="shared" ca="1" si="206"/>
        <v>25.913147681704576</v>
      </c>
      <c r="Q436" s="965">
        <f t="shared" ca="1" si="206"/>
        <v>17.71154148976014</v>
      </c>
      <c r="R436" s="965">
        <f t="shared" ca="1" si="206"/>
        <v>11.505635049573947</v>
      </c>
      <c r="S436" s="965">
        <f t="shared" ca="1" si="206"/>
        <v>9.9800154531922391</v>
      </c>
      <c r="T436" s="965">
        <f t="shared" ca="1" si="206"/>
        <v>8.8435605367315304</v>
      </c>
    </row>
    <row r="437" spans="2:22" s="146" customFormat="1">
      <c r="N437" s="147"/>
      <c r="O437" s="147"/>
    </row>
    <row r="438" spans="2:22" s="146" customFormat="1">
      <c r="B438" s="147" t="s">
        <v>1114</v>
      </c>
      <c r="N438" s="147"/>
      <c r="O438" s="147"/>
    </row>
    <row r="439" spans="2:22" s="146" customFormat="1">
      <c r="B439" s="146" t="s">
        <v>1263</v>
      </c>
      <c r="C439" s="938" t="s">
        <v>1290</v>
      </c>
      <c r="N439" s="147"/>
      <c r="O439" s="147"/>
    </row>
    <row r="440" spans="2:22" s="146" customFormat="1">
      <c r="B440" s="146" t="s">
        <v>1116</v>
      </c>
      <c r="C440" s="916">
        <v>53704.5</v>
      </c>
      <c r="E440" s="1088" cm="1">
        <f t="array" ref="E440">_xll.FDS($C$439,"FG_MKT_VALUE(0)")/1000</f>
        <v>45841.995999999999</v>
      </c>
      <c r="N440" s="147"/>
      <c r="O440" s="147"/>
    </row>
    <row r="441" spans="2:22" s="146" customFormat="1">
      <c r="B441" s="146" t="s">
        <v>1291</v>
      </c>
      <c r="C441" s="1089">
        <f>C440/16000</f>
        <v>3.3565312500000002</v>
      </c>
      <c r="N441" s="147"/>
      <c r="O441" s="147"/>
    </row>
    <row r="442" spans="2:22" s="146" customFormat="1">
      <c r="N442" s="147"/>
      <c r="O442" s="147"/>
    </row>
    <row r="443" spans="2:22" s="146" customFormat="1">
      <c r="B443" s="146" t="s">
        <v>1168</v>
      </c>
      <c r="C443" s="916">
        <v>2730</v>
      </c>
      <c r="N443" s="147"/>
      <c r="O443" s="147"/>
    </row>
    <row r="444" spans="2:22" s="146" customFormat="1">
      <c r="B444" s="146" t="s">
        <v>1115</v>
      </c>
      <c r="C444" s="916">
        <v>17105.185664000001</v>
      </c>
      <c r="N444" s="147"/>
      <c r="O444" s="147"/>
    </row>
    <row r="445" spans="2:22" s="146" customFormat="1">
      <c r="B445" s="146" t="s">
        <v>1116</v>
      </c>
      <c r="C445" s="963">
        <f>C443*C444/1000</f>
        <v>46697.156862719996</v>
      </c>
      <c r="N445" s="147"/>
      <c r="O445" s="147"/>
    </row>
    <row r="446" spans="2:22" s="146" customFormat="1">
      <c r="B446" s="146" t="s">
        <v>1291</v>
      </c>
      <c r="C446" s="957">
        <f>C445/16000</f>
        <v>2.9185723039199996</v>
      </c>
      <c r="N446" s="147"/>
      <c r="O446" s="147"/>
    </row>
    <row r="447" spans="2:22" s="146" customFormat="1">
      <c r="N447" s="147"/>
      <c r="O447" s="147"/>
    </row>
    <row r="448" spans="2:22" s="146" customFormat="1">
      <c r="B448" s="249" t="s">
        <v>1278</v>
      </c>
      <c r="N448" s="147"/>
      <c r="O448" s="147"/>
    </row>
    <row r="449" spans="2:22" s="146" customFormat="1">
      <c r="N449" s="147"/>
      <c r="O449" s="147"/>
    </row>
    <row r="450" spans="2:22" s="146" customFormat="1">
      <c r="B450" s="147" t="s">
        <v>1018</v>
      </c>
      <c r="N450" s="147"/>
      <c r="O450" s="147"/>
    </row>
    <row r="451" spans="2:22" s="146" customFormat="1">
      <c r="N451" s="147"/>
      <c r="O451" s="147"/>
    </row>
    <row r="452" spans="2:22" s="146" customFormat="1">
      <c r="B452" s="249" t="s">
        <v>1279</v>
      </c>
      <c r="N452" s="147"/>
      <c r="O452" s="147"/>
    </row>
    <row r="453" spans="2:22" s="146" customFormat="1">
      <c r="B453" s="146" t="s">
        <v>973</v>
      </c>
      <c r="N453" s="891">
        <f>I455</f>
        <v>21233.440000000002</v>
      </c>
      <c r="O453" s="891">
        <f>N455</f>
        <v>19414.328999999998</v>
      </c>
      <c r="P453" s="891">
        <f t="shared" ref="P453:T453" ca="1" si="207">O455</f>
        <v>18285.324604561123</v>
      </c>
      <c r="Q453" s="891">
        <f t="shared" ca="1" si="207"/>
        <v>17675.349058589883</v>
      </c>
      <c r="R453" s="891">
        <f t="shared" ca="1" si="207"/>
        <v>17116.49304214248</v>
      </c>
      <c r="S453" s="891">
        <f t="shared" ca="1" si="207"/>
        <v>14961.944444969533</v>
      </c>
      <c r="T453" s="891">
        <f t="shared" ca="1" si="207"/>
        <v>12266.241959862327</v>
      </c>
    </row>
    <row r="454" spans="2:22" s="146" customFormat="1">
      <c r="B454" s="146" t="s">
        <v>39</v>
      </c>
      <c r="N454" s="891">
        <f>N455-N453</f>
        <v>-1819.1110000000044</v>
      </c>
      <c r="O454" s="944">
        <f t="shared" ref="O454:T454" ca="1" si="208">MIN(O453,O428)*-1</f>
        <v>-1129.0043954388748</v>
      </c>
      <c r="P454" s="944">
        <f t="shared" ca="1" si="208"/>
        <v>-609.97554597124133</v>
      </c>
      <c r="Q454" s="944">
        <f t="shared" ca="1" si="208"/>
        <v>-558.85601644740245</v>
      </c>
      <c r="R454" s="944">
        <f t="shared" ca="1" si="208"/>
        <v>-2154.5485971729463</v>
      </c>
      <c r="S454" s="944">
        <f t="shared" ca="1" si="208"/>
        <v>-2695.702485107206</v>
      </c>
      <c r="T454" s="944">
        <f t="shared" ca="1" si="208"/>
        <v>-3001.1259949473861</v>
      </c>
      <c r="V454" s="146" t="s">
        <v>1296</v>
      </c>
    </row>
    <row r="455" spans="2:22" s="147" customFormat="1">
      <c r="B455" s="148" t="s">
        <v>976</v>
      </c>
      <c r="C455" s="148"/>
      <c r="D455" s="148"/>
      <c r="E455" s="148"/>
      <c r="F455" s="148"/>
      <c r="G455" s="148"/>
      <c r="H455" s="148"/>
      <c r="I455" s="947">
        <f t="shared" ref="I455:N455" si="209">I516</f>
        <v>21233.440000000002</v>
      </c>
      <c r="J455" s="947">
        <f t="shared" si="209"/>
        <v>0</v>
      </c>
      <c r="K455" s="947">
        <f t="shared" si="209"/>
        <v>0</v>
      </c>
      <c r="L455" s="947">
        <f t="shared" si="209"/>
        <v>0</v>
      </c>
      <c r="M455" s="947">
        <f t="shared" si="209"/>
        <v>0</v>
      </c>
      <c r="N455" s="947">
        <f t="shared" si="209"/>
        <v>19414.328999999998</v>
      </c>
      <c r="O455" s="947">
        <f ca="1">SUM(O453:O454)</f>
        <v>18285.324604561123</v>
      </c>
      <c r="P455" s="947">
        <f t="shared" ref="P455:T455" ca="1" si="210">SUM(P453:P454)</f>
        <v>17675.349058589883</v>
      </c>
      <c r="Q455" s="947">
        <f t="shared" ca="1" si="210"/>
        <v>17116.49304214248</v>
      </c>
      <c r="R455" s="947">
        <f t="shared" ca="1" si="210"/>
        <v>14961.944444969533</v>
      </c>
      <c r="S455" s="947">
        <f t="shared" ca="1" si="210"/>
        <v>12266.241959862327</v>
      </c>
      <c r="T455" s="947">
        <f t="shared" ca="1" si="210"/>
        <v>9265.1159649149413</v>
      </c>
    </row>
    <row r="456" spans="2:22" s="146" customFormat="1">
      <c r="N456" s="147"/>
      <c r="O456" s="147"/>
    </row>
    <row r="457" spans="2:22" s="146" customFormat="1">
      <c r="B457" s="146" t="s">
        <v>1010</v>
      </c>
      <c r="N457" s="175">
        <f t="shared" ref="N457:T457" si="211">N265</f>
        <v>6.9020375215619739E-2</v>
      </c>
      <c r="O457" s="175">
        <f t="shared" si="211"/>
        <v>6.9020375215619739E-2</v>
      </c>
      <c r="P457" s="175">
        <f t="shared" si="211"/>
        <v>6.9020375215619739E-2</v>
      </c>
      <c r="Q457" s="175">
        <f t="shared" si="211"/>
        <v>6.9020375215619739E-2</v>
      </c>
      <c r="R457" s="175">
        <f t="shared" si="211"/>
        <v>6.9020375215619739E-2</v>
      </c>
      <c r="S457" s="175">
        <f t="shared" si="211"/>
        <v>6.9020375215619739E-2</v>
      </c>
      <c r="T457" s="175">
        <f t="shared" si="211"/>
        <v>6.9020375215619739E-2</v>
      </c>
    </row>
    <row r="458" spans="2:22" s="146" customFormat="1">
      <c r="B458" s="146" t="s">
        <v>173</v>
      </c>
      <c r="N458" s="891">
        <f>AVERAGE(I455,N455)*N457*-1</f>
        <v>-1402.7621340289181</v>
      </c>
      <c r="O458" s="891">
        <f ca="1">AVERAGE(N455,O455)*O457*-1</f>
        <v>-1301.0221186428498</v>
      </c>
      <c r="P458" s="891">
        <f t="shared" ref="P458:T458" ca="1" si="212">AVERAGE(O455,P455)*P457*-1</f>
        <v>-1241.0095946185686</v>
      </c>
      <c r="Q458" s="891">
        <f t="shared" ca="1" si="212"/>
        <v>-1200.6729981175718</v>
      </c>
      <c r="R458" s="891">
        <f t="shared" ca="1" si="212"/>
        <v>-1107.0328958456366</v>
      </c>
      <c r="S458" s="891">
        <f t="shared" ca="1" si="212"/>
        <v>-939.64982105116565</v>
      </c>
      <c r="T458" s="891">
        <f t="shared" ca="1" si="212"/>
        <v>-743.05120143496731</v>
      </c>
    </row>
    <row r="459" spans="2:22" s="146" customFormat="1">
      <c r="N459" s="147"/>
      <c r="O459" s="147"/>
    </row>
    <row r="460" spans="2:22" s="146" customFormat="1">
      <c r="B460" s="249" t="s">
        <v>1306</v>
      </c>
      <c r="N460" s="147">
        <f>N$4</f>
        <v>2024</v>
      </c>
      <c r="O460" s="960">
        <f t="shared" ref="O460:T460" si="213">O$4</f>
        <v>2025</v>
      </c>
      <c r="P460" s="960">
        <f t="shared" si="213"/>
        <v>2026</v>
      </c>
      <c r="Q460" s="960">
        <f t="shared" si="213"/>
        <v>2027</v>
      </c>
      <c r="R460" s="960">
        <f t="shared" si="213"/>
        <v>2028</v>
      </c>
      <c r="S460" s="960">
        <f t="shared" si="213"/>
        <v>2029</v>
      </c>
      <c r="T460" s="960">
        <f t="shared" si="213"/>
        <v>2030</v>
      </c>
    </row>
    <row r="461" spans="2:22" s="146" customFormat="1">
      <c r="B461" s="146" t="s">
        <v>973</v>
      </c>
      <c r="N461" s="891">
        <f>I465</f>
        <v>47695.66</v>
      </c>
      <c r="O461" s="891">
        <f>N465</f>
        <v>44780.28</v>
      </c>
      <c r="P461" s="891">
        <f t="shared" ref="P461:T461" si="214">O465</f>
        <v>41525.435120838105</v>
      </c>
      <c r="Q461" s="891">
        <f t="shared" si="214"/>
        <v>37783.670761251575</v>
      </c>
      <c r="R461" s="891">
        <f t="shared" si="214"/>
        <v>33553.17612205875</v>
      </c>
      <c r="S461" s="891">
        <f t="shared" si="214"/>
        <v>28804.690630751589</v>
      </c>
      <c r="T461" s="891">
        <f t="shared" si="214"/>
        <v>23535.487560262914</v>
      </c>
    </row>
    <row r="462" spans="2:22" s="146" customFormat="1">
      <c r="B462" s="919" t="s">
        <v>1282</v>
      </c>
      <c r="N462" s="891">
        <f>N465-N464-N463-N461</f>
        <v>1086.4470000000001</v>
      </c>
      <c r="O462" s="891">
        <f>O468*O$343</f>
        <v>1114.7202713999072</v>
      </c>
      <c r="P462" s="891">
        <f t="shared" ref="P462:T462" si="215">P468*P$343</f>
        <v>1166.0257693858002</v>
      </c>
      <c r="Q462" s="891">
        <f t="shared" si="215"/>
        <v>1212.0147091728575</v>
      </c>
      <c r="R462" s="891">
        <f t="shared" si="215"/>
        <v>1257.6866913433109</v>
      </c>
      <c r="S462" s="891">
        <f t="shared" si="215"/>
        <v>1297.8492445023417</v>
      </c>
      <c r="T462" s="891">
        <f t="shared" si="215"/>
        <v>1336.9532150903121</v>
      </c>
      <c r="V462" s="146" t="s">
        <v>1297</v>
      </c>
    </row>
    <row r="463" spans="2:22" s="146" customFormat="1">
      <c r="B463" s="146" t="s">
        <v>1285</v>
      </c>
      <c r="I463" s="916">
        <f>-4327.247-2539.207</f>
        <v>-6866.4539999999997</v>
      </c>
      <c r="J463" s="938"/>
      <c r="K463" s="938"/>
      <c r="L463" s="938"/>
      <c r="M463" s="938"/>
      <c r="N463" s="916">
        <f>-4748.17-2278.344</f>
        <v>-7026.5140000000001</v>
      </c>
      <c r="O463" s="891">
        <f>-O469*O$343</f>
        <v>-7209.3692495586492</v>
      </c>
      <c r="P463" s="891">
        <f t="shared" ref="P463:T463" si="216">-P469*P$343</f>
        <v>-7541.1836867791026</v>
      </c>
      <c r="Q463" s="891">
        <f t="shared" si="216"/>
        <v>-7838.6136849832619</v>
      </c>
      <c r="R463" s="891">
        <f t="shared" si="216"/>
        <v>-8133.9937837165107</v>
      </c>
      <c r="S463" s="891">
        <f t="shared" si="216"/>
        <v>-8393.7420660051757</v>
      </c>
      <c r="T463" s="891">
        <f t="shared" si="216"/>
        <v>-8646.6440453856358</v>
      </c>
    </row>
    <row r="464" spans="2:22" s="146" customFormat="1">
      <c r="B464" s="919" t="s">
        <v>1286</v>
      </c>
      <c r="I464" s="916">
        <f>2388.416+818.774</f>
        <v>3207.19</v>
      </c>
      <c r="J464" s="938"/>
      <c r="K464" s="938"/>
      <c r="L464" s="938"/>
      <c r="M464" s="938"/>
      <c r="N464" s="916">
        <f>2174.46+850.227</f>
        <v>3024.6869999999999</v>
      </c>
      <c r="O464" s="891">
        <f>O470*O461</f>
        <v>2839.8040989968476</v>
      </c>
      <c r="P464" s="891">
        <f t="shared" ref="P464:T464" si="217">P470*P461</f>
        <v>2633.3935578067781</v>
      </c>
      <c r="Q464" s="891">
        <f t="shared" si="217"/>
        <v>2396.1043366175818</v>
      </c>
      <c r="R464" s="891">
        <f t="shared" si="217"/>
        <v>2127.8216010660403</v>
      </c>
      <c r="S464" s="891">
        <f t="shared" si="217"/>
        <v>1826.6897510141619</v>
      </c>
      <c r="T464" s="891">
        <f t="shared" si="217"/>
        <v>1492.5358672505831</v>
      </c>
      <c r="V464" s="146" t="s">
        <v>1287</v>
      </c>
    </row>
    <row r="465" spans="2:22" s="147" customFormat="1">
      <c r="B465" s="148" t="s">
        <v>976</v>
      </c>
      <c r="C465" s="148"/>
      <c r="D465" s="148"/>
      <c r="E465" s="148"/>
      <c r="F465" s="148"/>
      <c r="G465" s="148"/>
      <c r="H465" s="148"/>
      <c r="I465" s="947">
        <f t="shared" ref="I465:N465" si="218">I517</f>
        <v>47695.66</v>
      </c>
      <c r="J465" s="947">
        <f t="shared" si="218"/>
        <v>0</v>
      </c>
      <c r="K465" s="947">
        <f t="shared" si="218"/>
        <v>0</v>
      </c>
      <c r="L465" s="947">
        <f t="shared" si="218"/>
        <v>0</v>
      </c>
      <c r="M465" s="947">
        <f t="shared" si="218"/>
        <v>0</v>
      </c>
      <c r="N465" s="947">
        <f t="shared" si="218"/>
        <v>44780.28</v>
      </c>
      <c r="O465" s="947">
        <f>SUM(O461:O464)</f>
        <v>41525.435120838105</v>
      </c>
      <c r="P465" s="947">
        <f t="shared" ref="P465:T465" si="219">SUM(P461:P464)</f>
        <v>37783.670761251575</v>
      </c>
      <c r="Q465" s="947">
        <f t="shared" si="219"/>
        <v>33553.17612205875</v>
      </c>
      <c r="R465" s="947">
        <f t="shared" si="219"/>
        <v>28804.690630751589</v>
      </c>
      <c r="S465" s="947">
        <f t="shared" si="219"/>
        <v>23535.487560262914</v>
      </c>
      <c r="T465" s="947">
        <f t="shared" si="219"/>
        <v>17718.332597218174</v>
      </c>
    </row>
    <row r="466" spans="2:22" s="146" customFormat="1">
      <c r="B466" s="146" t="s">
        <v>39</v>
      </c>
      <c r="N466" s="891">
        <f>N465-I465</f>
        <v>-2915.3800000000047</v>
      </c>
      <c r="O466" s="891">
        <f>O465-N465</f>
        <v>-3254.8448791618939</v>
      </c>
      <c r="P466" s="891">
        <f t="shared" ref="P466:T466" si="220">P465-O465</f>
        <v>-3741.7643595865302</v>
      </c>
      <c r="Q466" s="891">
        <f t="shared" si="220"/>
        <v>-4230.4946391928243</v>
      </c>
      <c r="R466" s="891">
        <f t="shared" si="220"/>
        <v>-4748.4854913071613</v>
      </c>
      <c r="S466" s="891">
        <f t="shared" si="220"/>
        <v>-5269.2030704886747</v>
      </c>
      <c r="T466" s="891">
        <f t="shared" si="220"/>
        <v>-5817.1549630447407</v>
      </c>
    </row>
    <row r="467" spans="2:22" s="146" customFormat="1">
      <c r="N467" s="147"/>
      <c r="O467" s="891"/>
      <c r="P467" s="891"/>
      <c r="Q467" s="891"/>
      <c r="R467" s="891"/>
      <c r="S467" s="891"/>
      <c r="T467" s="891"/>
    </row>
    <row r="468" spans="2:22" s="146" customFormat="1">
      <c r="B468" s="146" t="s">
        <v>1283</v>
      </c>
      <c r="N468" s="170">
        <f>IFERROR(N462/N$343,"")</f>
        <v>2.3715687576097457E-2</v>
      </c>
      <c r="O468" s="225">
        <f>N468</f>
        <v>2.3715687576097457E-2</v>
      </c>
      <c r="P468" s="225">
        <f t="shared" ref="P468:T470" si="221">O468</f>
        <v>2.3715687576097457E-2</v>
      </c>
      <c r="Q468" s="225">
        <f t="shared" si="221"/>
        <v>2.3715687576097457E-2</v>
      </c>
      <c r="R468" s="225">
        <f t="shared" si="221"/>
        <v>2.3715687576097457E-2</v>
      </c>
      <c r="S468" s="225">
        <f t="shared" si="221"/>
        <v>2.3715687576097457E-2</v>
      </c>
      <c r="T468" s="225">
        <f t="shared" si="221"/>
        <v>2.3715687576097457E-2</v>
      </c>
      <c r="V468" s="146" t="s">
        <v>1307</v>
      </c>
    </row>
    <row r="469" spans="2:22" s="146" customFormat="1">
      <c r="B469" s="146" t="s">
        <v>1284</v>
      </c>
      <c r="N469" s="170">
        <f>-IFERROR(N463/N$343,"")</f>
        <v>0.15337942004817062</v>
      </c>
      <c r="O469" s="225">
        <f>N469</f>
        <v>0.15337942004817062</v>
      </c>
      <c r="P469" s="225">
        <f t="shared" si="221"/>
        <v>0.15337942004817062</v>
      </c>
      <c r="Q469" s="225">
        <f t="shared" si="221"/>
        <v>0.15337942004817062</v>
      </c>
      <c r="R469" s="225">
        <f t="shared" si="221"/>
        <v>0.15337942004817062</v>
      </c>
      <c r="S469" s="225">
        <f t="shared" si="221"/>
        <v>0.15337942004817062</v>
      </c>
      <c r="T469" s="225">
        <f t="shared" si="221"/>
        <v>0.15337942004817062</v>
      </c>
      <c r="V469" s="146" t="s">
        <v>1307</v>
      </c>
    </row>
    <row r="470" spans="2:22" s="146" customFormat="1">
      <c r="B470" s="146" t="s">
        <v>1295</v>
      </c>
      <c r="N470" s="170">
        <f>N464/N461</f>
        <v>6.341639889247784E-2</v>
      </c>
      <c r="O470" s="225">
        <f>N470</f>
        <v>6.341639889247784E-2</v>
      </c>
      <c r="P470" s="225">
        <f t="shared" si="221"/>
        <v>6.341639889247784E-2</v>
      </c>
      <c r="Q470" s="225">
        <f t="shared" si="221"/>
        <v>6.341639889247784E-2</v>
      </c>
      <c r="R470" s="225">
        <f t="shared" si="221"/>
        <v>6.341639889247784E-2</v>
      </c>
      <c r="S470" s="225">
        <f t="shared" si="221"/>
        <v>6.341639889247784E-2</v>
      </c>
      <c r="T470" s="225">
        <f t="shared" si="221"/>
        <v>6.341639889247784E-2</v>
      </c>
      <c r="V470" s="146" t="s">
        <v>1307</v>
      </c>
    </row>
    <row r="471" spans="2:22" s="146" customFormat="1">
      <c r="N471" s="147"/>
      <c r="O471" s="147"/>
    </row>
    <row r="472" spans="2:22" s="146" customFormat="1">
      <c r="B472" s="147" t="s">
        <v>1439</v>
      </c>
      <c r="N472" s="147"/>
      <c r="O472" s="147"/>
    </row>
    <row r="473" spans="2:22" s="146" customFormat="1">
      <c r="B473" s="146" t="s">
        <v>973</v>
      </c>
      <c r="C473" s="891"/>
      <c r="D473" s="891"/>
      <c r="E473" s="891"/>
      <c r="F473" s="891"/>
      <c r="G473" s="891"/>
      <c r="H473" s="891"/>
      <c r="I473" s="891"/>
      <c r="J473" s="891"/>
      <c r="K473" s="891"/>
      <c r="L473" s="891"/>
      <c r="M473" s="891"/>
      <c r="N473" s="892"/>
      <c r="O473" s="892">
        <f>N476</f>
        <v>0</v>
      </c>
      <c r="P473" s="891">
        <f>O476</f>
        <v>0</v>
      </c>
      <c r="Q473" s="891">
        <f t="shared" ref="Q473:T473" si="222">P476</f>
        <v>7422.545454545454</v>
      </c>
      <c r="R473" s="891">
        <f t="shared" si="222"/>
        <v>6680.2909090909088</v>
      </c>
      <c r="S473" s="891">
        <f t="shared" si="222"/>
        <v>5938.0363636363636</v>
      </c>
      <c r="T473" s="891">
        <f t="shared" si="222"/>
        <v>5195.7818181818184</v>
      </c>
    </row>
    <row r="474" spans="2:22" s="146" customFormat="1">
      <c r="B474" s="146" t="s">
        <v>1440</v>
      </c>
      <c r="C474" s="891"/>
      <c r="D474" s="891"/>
      <c r="E474" s="891"/>
      <c r="F474" s="891"/>
      <c r="G474" s="891"/>
      <c r="H474" s="891"/>
      <c r="I474" s="891"/>
      <c r="J474" s="891"/>
      <c r="K474" s="891"/>
      <c r="L474" s="891"/>
      <c r="M474" s="891"/>
      <c r="N474" s="892"/>
      <c r="O474" s="944">
        <v>0</v>
      </c>
      <c r="P474" s="944">
        <v>8164.7999999999993</v>
      </c>
      <c r="Q474" s="891"/>
      <c r="R474" s="891"/>
      <c r="S474" s="891"/>
      <c r="T474" s="891"/>
    </row>
    <row r="475" spans="2:22" s="146" customFormat="1">
      <c r="B475" s="146" t="s">
        <v>1441</v>
      </c>
      <c r="C475" s="891"/>
      <c r="D475" s="891"/>
      <c r="E475" s="891"/>
      <c r="F475" s="891"/>
      <c r="G475" s="891"/>
      <c r="H475" s="891"/>
      <c r="I475" s="891"/>
      <c r="J475" s="891"/>
      <c r="K475" s="891"/>
      <c r="L475" s="891"/>
      <c r="M475" s="891"/>
      <c r="N475" s="892"/>
      <c r="O475" s="891">
        <f>O425</f>
        <v>0</v>
      </c>
      <c r="P475" s="891">
        <f>P425</f>
        <v>-742.25454545454534</v>
      </c>
      <c r="Q475" s="891">
        <f t="shared" ref="Q475:T475" si="223">Q425</f>
        <v>-742.25454545454534</v>
      </c>
      <c r="R475" s="891">
        <f t="shared" si="223"/>
        <v>-742.25454545454534</v>
      </c>
      <c r="S475" s="891">
        <f t="shared" si="223"/>
        <v>-742.25454545454534</v>
      </c>
      <c r="T475" s="891">
        <f t="shared" si="223"/>
        <v>-742.25454545454534</v>
      </c>
    </row>
    <row r="476" spans="2:22" s="147" customFormat="1">
      <c r="B476" s="148" t="s">
        <v>976</v>
      </c>
      <c r="C476" s="947"/>
      <c r="D476" s="947"/>
      <c r="E476" s="947"/>
      <c r="F476" s="947"/>
      <c r="G476" s="947"/>
      <c r="H476" s="947"/>
      <c r="I476" s="947"/>
      <c r="J476" s="947"/>
      <c r="K476" s="947"/>
      <c r="L476" s="947"/>
      <c r="M476" s="947"/>
      <c r="N476" s="947">
        <v>0</v>
      </c>
      <c r="O476" s="947">
        <f>SUM(O473:O475)</f>
        <v>0</v>
      </c>
      <c r="P476" s="947">
        <f>SUM(P473:P475)</f>
        <v>7422.545454545454</v>
      </c>
      <c r="Q476" s="947">
        <f t="shared" ref="Q476:T476" si="224">SUM(Q473:Q475)</f>
        <v>6680.2909090909088</v>
      </c>
      <c r="R476" s="947">
        <f t="shared" si="224"/>
        <v>5938.0363636363636</v>
      </c>
      <c r="S476" s="947">
        <f t="shared" si="224"/>
        <v>5195.7818181818184</v>
      </c>
      <c r="T476" s="947">
        <f t="shared" si="224"/>
        <v>4453.5272727272732</v>
      </c>
    </row>
    <row r="477" spans="2:22" s="146" customFormat="1">
      <c r="C477" s="891"/>
      <c r="D477" s="891"/>
      <c r="E477" s="891"/>
      <c r="F477" s="891"/>
      <c r="G477" s="891"/>
      <c r="H477" s="891"/>
      <c r="I477" s="891"/>
      <c r="J477" s="891"/>
      <c r="K477" s="891"/>
      <c r="L477" s="891"/>
      <c r="M477" s="891"/>
      <c r="N477" s="892"/>
      <c r="O477" s="892"/>
      <c r="P477" s="891"/>
      <c r="Q477" s="891"/>
      <c r="R477" s="891"/>
      <c r="S477" s="891"/>
      <c r="T477" s="891"/>
    </row>
    <row r="478" spans="2:22" s="146" customFormat="1">
      <c r="B478" s="146" t="s">
        <v>1010</v>
      </c>
      <c r="C478" s="891"/>
      <c r="D478" s="891"/>
      <c r="E478" s="891"/>
      <c r="F478" s="891"/>
      <c r="G478" s="891"/>
      <c r="H478" s="891"/>
      <c r="I478" s="891"/>
      <c r="J478" s="891"/>
      <c r="K478" s="891"/>
      <c r="L478" s="891"/>
      <c r="M478" s="891"/>
      <c r="N478" s="892"/>
      <c r="O478" s="224">
        <v>6.9000000000000006E-2</v>
      </c>
      <c r="P478" s="224">
        <v>6.9000000000000006E-2</v>
      </c>
      <c r="Q478" s="224">
        <v>6.9000000000000006E-2</v>
      </c>
      <c r="R478" s="224">
        <v>6.9000000000000006E-2</v>
      </c>
      <c r="S478" s="224">
        <v>6.9000000000000006E-2</v>
      </c>
      <c r="T478" s="224">
        <v>6.9000000000000006E-2</v>
      </c>
    </row>
    <row r="479" spans="2:22" s="146" customFormat="1">
      <c r="B479" s="146" t="s">
        <v>1456</v>
      </c>
      <c r="C479" s="891"/>
      <c r="D479" s="891"/>
      <c r="E479" s="891"/>
      <c r="F479" s="891"/>
      <c r="G479" s="891"/>
      <c r="H479" s="891"/>
      <c r="I479" s="891"/>
      <c r="J479" s="891"/>
      <c r="K479" s="891"/>
      <c r="L479" s="891"/>
      <c r="M479" s="891"/>
      <c r="N479" s="892"/>
      <c r="O479" s="891">
        <f>AVERAGE(N476,O476)*O478*-1</f>
        <v>0</v>
      </c>
      <c r="P479" s="891">
        <f>AVERAGE(O476,P476)*P478*-1</f>
        <v>-256.0778181818182</v>
      </c>
      <c r="Q479" s="891">
        <f t="shared" ref="Q479:T479" si="225">AVERAGE(P476,Q476)*Q478*-1</f>
        <v>-486.54785454545458</v>
      </c>
      <c r="R479" s="891">
        <f t="shared" si="225"/>
        <v>-435.33229090909094</v>
      </c>
      <c r="S479" s="891">
        <f t="shared" si="225"/>
        <v>-384.1167272727273</v>
      </c>
      <c r="T479" s="891">
        <f t="shared" si="225"/>
        <v>-332.90116363636366</v>
      </c>
    </row>
    <row r="480" spans="2:22" s="146" customFormat="1">
      <c r="C480" s="891"/>
      <c r="D480" s="891"/>
      <c r="E480" s="891"/>
      <c r="F480" s="891"/>
      <c r="G480" s="891"/>
      <c r="H480" s="891"/>
      <c r="I480" s="891"/>
      <c r="J480" s="891"/>
      <c r="K480" s="891"/>
      <c r="L480" s="891"/>
      <c r="M480" s="891"/>
      <c r="N480" s="892"/>
      <c r="O480" s="892"/>
      <c r="P480" s="891"/>
      <c r="Q480" s="891"/>
      <c r="R480" s="891"/>
      <c r="S480" s="891"/>
      <c r="T480" s="891"/>
    </row>
    <row r="481" spans="2:22" s="146" customFormat="1">
      <c r="B481" s="147" t="s">
        <v>1069</v>
      </c>
      <c r="C481" s="891"/>
      <c r="D481" s="891"/>
      <c r="E481" s="891"/>
      <c r="F481" s="891"/>
      <c r="G481" s="891"/>
      <c r="H481" s="891"/>
      <c r="I481" s="891"/>
      <c r="J481" s="891"/>
      <c r="K481" s="891"/>
      <c r="L481" s="891"/>
      <c r="M481" s="891"/>
      <c r="N481" s="892"/>
      <c r="O481" s="892"/>
      <c r="P481" s="891"/>
      <c r="Q481" s="891"/>
      <c r="R481" s="891"/>
      <c r="S481" s="891"/>
      <c r="T481" s="891"/>
    </row>
    <row r="482" spans="2:22" s="146" customFormat="1">
      <c r="B482" s="146" t="s">
        <v>973</v>
      </c>
      <c r="C482" s="891"/>
      <c r="D482" s="891"/>
      <c r="E482" s="891"/>
      <c r="F482" s="891"/>
      <c r="G482" s="891"/>
      <c r="H482" s="891"/>
      <c r="I482" s="891"/>
      <c r="J482" s="891"/>
      <c r="K482" s="891"/>
      <c r="L482" s="891"/>
      <c r="M482" s="891"/>
      <c r="N482" s="891">
        <f>I483</f>
        <v>1191.8</v>
      </c>
      <c r="O482" s="891">
        <f>N483</f>
        <v>1541.9479999999999</v>
      </c>
      <c r="P482" s="891">
        <f t="shared" ref="P482:T482" ca="1" si="226">O483</f>
        <v>1541.9480000000003</v>
      </c>
      <c r="Q482" s="891">
        <f t="shared" ca="1" si="226"/>
        <v>1541.9480000000021</v>
      </c>
      <c r="R482" s="891">
        <f t="shared" ca="1" si="226"/>
        <v>1541.9480000000003</v>
      </c>
      <c r="S482" s="891">
        <f t="shared" ca="1" si="226"/>
        <v>1541.9480000000003</v>
      </c>
      <c r="T482" s="891">
        <f t="shared" ca="1" si="226"/>
        <v>1541.9480000000003</v>
      </c>
    </row>
    <row r="483" spans="2:22" s="146" customFormat="1">
      <c r="B483" s="146" t="s">
        <v>976</v>
      </c>
      <c r="C483" s="891"/>
      <c r="D483" s="891"/>
      <c r="E483" s="891"/>
      <c r="F483" s="891"/>
      <c r="G483" s="891"/>
      <c r="H483" s="891"/>
      <c r="I483" s="892">
        <f>I505</f>
        <v>1191.8</v>
      </c>
      <c r="J483" s="891"/>
      <c r="K483" s="891"/>
      <c r="L483" s="891"/>
      <c r="M483" s="891"/>
      <c r="N483" s="892">
        <f>N505</f>
        <v>1541.9479999999999</v>
      </c>
      <c r="O483" s="892">
        <f t="shared" ref="O483:T483" ca="1" si="227">O505</f>
        <v>1541.9480000000003</v>
      </c>
      <c r="P483" s="892">
        <f t="shared" ca="1" si="227"/>
        <v>1541.9480000000021</v>
      </c>
      <c r="Q483" s="892">
        <f t="shared" ca="1" si="227"/>
        <v>1541.9480000000003</v>
      </c>
      <c r="R483" s="892">
        <f t="shared" ca="1" si="227"/>
        <v>1541.9480000000003</v>
      </c>
      <c r="S483" s="892">
        <f t="shared" ca="1" si="227"/>
        <v>1541.9480000000003</v>
      </c>
      <c r="T483" s="892">
        <f t="shared" ca="1" si="227"/>
        <v>1541.9480000000003</v>
      </c>
    </row>
    <row r="484" spans="2:22" s="146" customFormat="1">
      <c r="B484" s="146" t="s">
        <v>1457</v>
      </c>
      <c r="C484" s="891"/>
      <c r="D484" s="891"/>
      <c r="E484" s="891"/>
      <c r="F484" s="891"/>
      <c r="G484" s="891"/>
      <c r="H484" s="891"/>
      <c r="I484" s="891"/>
      <c r="J484" s="891"/>
      <c r="K484" s="891"/>
      <c r="L484" s="891"/>
      <c r="M484" s="891"/>
      <c r="N484" s="892">
        <f>AVERAGE(N482,N483)</f>
        <v>1366.8739999999998</v>
      </c>
      <c r="O484" s="892">
        <f ca="1">AVERAGE(O482,O483)</f>
        <v>1541.9480000000001</v>
      </c>
      <c r="P484" s="892">
        <f t="shared" ref="P484:T484" ca="1" si="228">AVERAGE(P482,P483)</f>
        <v>1541.9480000000012</v>
      </c>
      <c r="Q484" s="892">
        <f t="shared" ca="1" si="228"/>
        <v>1541.9480000000012</v>
      </c>
      <c r="R484" s="892">
        <f t="shared" ca="1" si="228"/>
        <v>1541.9480000000003</v>
      </c>
      <c r="S484" s="892">
        <f t="shared" ca="1" si="228"/>
        <v>1541.9480000000003</v>
      </c>
      <c r="T484" s="892">
        <f t="shared" ca="1" si="228"/>
        <v>1541.9480000000003</v>
      </c>
    </row>
    <row r="485" spans="2:22" s="146" customFormat="1">
      <c r="C485" s="891"/>
      <c r="D485" s="891"/>
      <c r="E485" s="891"/>
      <c r="F485" s="891"/>
      <c r="G485" s="891"/>
      <c r="H485" s="891"/>
      <c r="I485" s="891"/>
      <c r="J485" s="891"/>
      <c r="K485" s="891"/>
      <c r="L485" s="891"/>
      <c r="M485" s="891"/>
      <c r="N485" s="892"/>
      <c r="O485" s="892"/>
      <c r="P485" s="891"/>
      <c r="Q485" s="891"/>
      <c r="R485" s="891"/>
      <c r="S485" s="891"/>
      <c r="T485" s="891"/>
    </row>
    <row r="486" spans="2:22" s="146" customFormat="1">
      <c r="B486" s="146" t="s">
        <v>1458</v>
      </c>
      <c r="C486" s="891"/>
      <c r="D486" s="891"/>
      <c r="E486" s="891"/>
      <c r="F486" s="891"/>
      <c r="G486" s="891"/>
      <c r="H486" s="891"/>
      <c r="I486" s="891"/>
      <c r="J486" s="891"/>
      <c r="K486" s="891"/>
      <c r="L486" s="891"/>
      <c r="M486" s="891"/>
      <c r="N486" s="170"/>
      <c r="O486" s="224">
        <v>5.5E-2</v>
      </c>
      <c r="P486" s="224">
        <v>5.5E-2</v>
      </c>
      <c r="Q486" s="224">
        <v>5.5E-2</v>
      </c>
      <c r="R486" s="224">
        <v>5.5E-2</v>
      </c>
      <c r="S486" s="224">
        <v>5.5E-2</v>
      </c>
      <c r="T486" s="224">
        <v>5.5E-2</v>
      </c>
    </row>
    <row r="487" spans="2:22" s="146" customFormat="1">
      <c r="B487" s="146" t="s">
        <v>355</v>
      </c>
      <c r="C487" s="891"/>
      <c r="D487" s="891"/>
      <c r="E487" s="891"/>
      <c r="F487" s="891"/>
      <c r="G487" s="891"/>
      <c r="H487" s="891"/>
      <c r="I487" s="891"/>
      <c r="J487" s="891"/>
      <c r="K487" s="891"/>
      <c r="L487" s="891"/>
      <c r="M487" s="891"/>
      <c r="N487" s="892">
        <f>N358</f>
        <v>113.672</v>
      </c>
      <c r="O487" s="892">
        <f ca="1">O486*O484</f>
        <v>84.807140000000004</v>
      </c>
      <c r="P487" s="892">
        <f t="shared" ref="P487:T487" ca="1" si="229">P486*P484</f>
        <v>84.807140000000075</v>
      </c>
      <c r="Q487" s="892">
        <f t="shared" ca="1" si="229"/>
        <v>84.807140000000075</v>
      </c>
      <c r="R487" s="892">
        <f t="shared" ca="1" si="229"/>
        <v>84.807140000000018</v>
      </c>
      <c r="S487" s="892">
        <f t="shared" ca="1" si="229"/>
        <v>84.807140000000018</v>
      </c>
      <c r="T487" s="892">
        <f t="shared" ca="1" si="229"/>
        <v>84.807140000000018</v>
      </c>
    </row>
    <row r="488" spans="2:22" s="146" customFormat="1">
      <c r="C488" s="891"/>
      <c r="D488" s="891"/>
      <c r="E488" s="891"/>
      <c r="F488" s="891"/>
      <c r="G488" s="891"/>
      <c r="H488" s="891"/>
      <c r="I488" s="891"/>
      <c r="J488" s="891"/>
      <c r="K488" s="891"/>
      <c r="L488" s="891"/>
      <c r="M488" s="891"/>
      <c r="N488" s="892"/>
      <c r="O488" s="892"/>
      <c r="P488" s="891"/>
      <c r="Q488" s="891"/>
      <c r="R488" s="891"/>
      <c r="S488" s="891"/>
      <c r="T488" s="891"/>
    </row>
    <row r="489" spans="2:22" s="146" customFormat="1">
      <c r="N489" s="147"/>
      <c r="O489" s="147"/>
    </row>
    <row r="490" spans="2:22" s="146" customFormat="1">
      <c r="B490" s="249" t="s">
        <v>150</v>
      </c>
      <c r="N490" s="892"/>
      <c r="O490" s="892"/>
      <c r="P490" s="892"/>
      <c r="Q490" s="892"/>
      <c r="R490" s="892"/>
      <c r="S490" s="892"/>
      <c r="T490" s="892"/>
    </row>
    <row r="491" spans="2:22" s="146" customFormat="1">
      <c r="N491" s="147"/>
      <c r="O491" s="892"/>
      <c r="P491" s="892"/>
      <c r="Q491" s="892"/>
      <c r="R491" s="892"/>
      <c r="S491" s="892"/>
      <c r="T491" s="892"/>
    </row>
    <row r="492" spans="2:22" s="181" customFormat="1">
      <c r="B492" s="1244" t="s">
        <v>1397</v>
      </c>
      <c r="C492" s="215"/>
      <c r="D492" s="215"/>
      <c r="E492" s="215"/>
      <c r="F492" s="215"/>
      <c r="G492" s="215"/>
      <c r="H492" s="215"/>
      <c r="I492" s="1245"/>
      <c r="J492" s="215"/>
      <c r="K492" s="215"/>
      <c r="L492" s="215"/>
      <c r="M492" s="215"/>
      <c r="N492" s="1245"/>
      <c r="O492" s="1245"/>
      <c r="P492" s="1245"/>
      <c r="Q492" s="1245"/>
      <c r="R492" s="1245"/>
      <c r="S492" s="1245"/>
      <c r="T492" s="1245"/>
    </row>
    <row r="493" spans="2:22" s="146" customFormat="1">
      <c r="B493" s="215" t="s">
        <v>1070</v>
      </c>
      <c r="C493" s="215"/>
      <c r="D493" s="215"/>
      <c r="E493" s="215"/>
      <c r="F493" s="215"/>
      <c r="G493" s="215"/>
      <c r="H493" s="215"/>
      <c r="I493" s="1228">
        <f>I455</f>
        <v>21233.440000000002</v>
      </c>
      <c r="J493" s="1228"/>
      <c r="K493" s="1228"/>
      <c r="L493" s="1228"/>
      <c r="M493" s="1228"/>
      <c r="N493" s="1228">
        <f t="shared" ref="N493:T493" si="230">N455</f>
        <v>19414.328999999998</v>
      </c>
      <c r="O493" s="1228">
        <f t="shared" ca="1" si="230"/>
        <v>18285.324604561123</v>
      </c>
      <c r="P493" s="1228">
        <f t="shared" ca="1" si="230"/>
        <v>17675.349058589883</v>
      </c>
      <c r="Q493" s="1228">
        <f t="shared" ca="1" si="230"/>
        <v>17116.49304214248</v>
      </c>
      <c r="R493" s="1228">
        <f t="shared" ca="1" si="230"/>
        <v>14961.944444969533</v>
      </c>
      <c r="S493" s="1228">
        <f t="shared" ca="1" si="230"/>
        <v>12266.241959862327</v>
      </c>
      <c r="T493" s="1228">
        <f t="shared" ca="1" si="230"/>
        <v>9265.1159649149413</v>
      </c>
      <c r="V493" s="146" t="s">
        <v>1435</v>
      </c>
    </row>
    <row r="494" spans="2:22" s="146" customFormat="1">
      <c r="B494" s="215" t="s">
        <v>1069</v>
      </c>
      <c r="C494" s="215"/>
      <c r="D494" s="215"/>
      <c r="E494" s="215"/>
      <c r="F494" s="215"/>
      <c r="G494" s="215"/>
      <c r="H494" s="215"/>
      <c r="I494" s="1228">
        <f>I701+I738</f>
        <v>1191.8</v>
      </c>
      <c r="J494" s="1228"/>
      <c r="K494" s="1228"/>
      <c r="L494" s="1228"/>
      <c r="M494" s="1228"/>
      <c r="N494" s="1228">
        <f>N701+N738</f>
        <v>1541.9479999999999</v>
      </c>
      <c r="O494" s="1228">
        <f ca="1">O493-O495</f>
        <v>1541.9480000000003</v>
      </c>
      <c r="P494" s="1228">
        <f ca="1">P493-P495</f>
        <v>1541.9480000000021</v>
      </c>
      <c r="Q494" s="1228">
        <f t="shared" ref="Q494:T494" ca="1" si="231">Q493-Q495</f>
        <v>1541.9480000000003</v>
      </c>
      <c r="R494" s="1228">
        <f t="shared" ca="1" si="231"/>
        <v>1541.9480000000003</v>
      </c>
      <c r="S494" s="1228">
        <f t="shared" ca="1" si="231"/>
        <v>1541.9480000000003</v>
      </c>
      <c r="T494" s="1228">
        <f t="shared" ca="1" si="231"/>
        <v>1541.9480000000003</v>
      </c>
    </row>
    <row r="495" spans="2:22" s="146" customFormat="1">
      <c r="B495" s="1229" t="s">
        <v>1396</v>
      </c>
      <c r="C495" s="1246"/>
      <c r="D495" s="1246"/>
      <c r="E495" s="1246"/>
      <c r="F495" s="1246"/>
      <c r="G495" s="1246"/>
      <c r="H495" s="1246"/>
      <c r="I495" s="1230">
        <f>I493-I494</f>
        <v>20041.640000000003</v>
      </c>
      <c r="J495" s="1230"/>
      <c r="K495" s="1230"/>
      <c r="L495" s="1230"/>
      <c r="M495" s="1230"/>
      <c r="N495" s="1230">
        <f t="shared" ref="N495" si="232">N493-N494</f>
        <v>17872.380999999998</v>
      </c>
      <c r="O495" s="1230">
        <f ca="1">N495-O496</f>
        <v>16743.376604561123</v>
      </c>
      <c r="P495" s="1230">
        <f t="shared" ref="P495:T495" ca="1" si="233">O495-P496</f>
        <v>16133.401058589881</v>
      </c>
      <c r="Q495" s="1230">
        <f t="shared" ca="1" si="233"/>
        <v>15574.545042142479</v>
      </c>
      <c r="R495" s="1230">
        <f t="shared" ca="1" si="233"/>
        <v>13419.996444969533</v>
      </c>
      <c r="S495" s="1230">
        <f t="shared" ca="1" si="233"/>
        <v>10724.293959862327</v>
      </c>
      <c r="T495" s="1230">
        <f t="shared" ca="1" si="233"/>
        <v>7723.167964914941</v>
      </c>
    </row>
    <row r="496" spans="2:22" s="146" customFormat="1">
      <c r="B496" s="1244" t="s">
        <v>139</v>
      </c>
      <c r="C496" s="215"/>
      <c r="D496" s="215"/>
      <c r="E496" s="215"/>
      <c r="F496" s="215"/>
      <c r="G496" s="215"/>
      <c r="H496" s="215"/>
      <c r="I496" s="1245"/>
      <c r="J496" s="215"/>
      <c r="K496" s="215"/>
      <c r="L496" s="215"/>
      <c r="M496" s="215"/>
      <c r="N496" s="1245"/>
      <c r="O496" s="1245">
        <f t="shared" ref="O496:T496" ca="1" si="234">O428</f>
        <v>1129.0043954388748</v>
      </c>
      <c r="P496" s="1245">
        <f t="shared" ca="1" si="234"/>
        <v>609.97554597124133</v>
      </c>
      <c r="Q496" s="1245">
        <f t="shared" ca="1" si="234"/>
        <v>558.85601644740245</v>
      </c>
      <c r="R496" s="1245">
        <f t="shared" ca="1" si="234"/>
        <v>2154.5485971729463</v>
      </c>
      <c r="S496" s="1245">
        <f t="shared" ca="1" si="234"/>
        <v>2695.702485107206</v>
      </c>
      <c r="T496" s="1245">
        <f t="shared" ca="1" si="234"/>
        <v>3001.1259949473861</v>
      </c>
      <c r="V496" s="146" t="s">
        <v>1399</v>
      </c>
    </row>
    <row r="497" spans="2:20" s="146" customFormat="1">
      <c r="B497" s="215" t="s">
        <v>978</v>
      </c>
      <c r="C497" s="215"/>
      <c r="D497" s="215"/>
      <c r="E497" s="215"/>
      <c r="F497" s="215"/>
      <c r="G497" s="215"/>
      <c r="H497" s="215"/>
      <c r="I497" s="1228">
        <f>I465</f>
        <v>47695.66</v>
      </c>
      <c r="J497" s="1228"/>
      <c r="K497" s="1228"/>
      <c r="L497" s="1228"/>
      <c r="M497" s="1228"/>
      <c r="N497" s="1228">
        <f t="shared" ref="N497:T497" si="235">N465</f>
        <v>44780.28</v>
      </c>
      <c r="O497" s="1228">
        <f t="shared" si="235"/>
        <v>41525.435120838105</v>
      </c>
      <c r="P497" s="1228">
        <f t="shared" si="235"/>
        <v>37783.670761251575</v>
      </c>
      <c r="Q497" s="1228">
        <f t="shared" si="235"/>
        <v>33553.17612205875</v>
      </c>
      <c r="R497" s="1228">
        <f t="shared" si="235"/>
        <v>28804.690630751589</v>
      </c>
      <c r="S497" s="1228">
        <f t="shared" si="235"/>
        <v>23535.487560262914</v>
      </c>
      <c r="T497" s="1228">
        <f t="shared" si="235"/>
        <v>17718.332597218174</v>
      </c>
    </row>
    <row r="498" spans="2:20" s="146" customFormat="1">
      <c r="B498" s="1244" t="s">
        <v>150</v>
      </c>
      <c r="C498" s="215"/>
      <c r="D498" s="215"/>
      <c r="E498" s="215"/>
      <c r="F498" s="215"/>
      <c r="G498" s="215"/>
      <c r="H498" s="215"/>
      <c r="I498" s="1245">
        <f>I495+I497</f>
        <v>67737.3</v>
      </c>
      <c r="J498" s="1245"/>
      <c r="K498" s="1245"/>
      <c r="L498" s="1245"/>
      <c r="M498" s="1245"/>
      <c r="N498" s="1245">
        <f t="shared" ref="N498:T498" si="236">N495+N497</f>
        <v>62652.660999999993</v>
      </c>
      <c r="O498" s="1245">
        <f t="shared" ca="1" si="236"/>
        <v>58268.811725399224</v>
      </c>
      <c r="P498" s="1245">
        <f t="shared" ca="1" si="236"/>
        <v>53917.071819841454</v>
      </c>
      <c r="Q498" s="1245">
        <f t="shared" ca="1" si="236"/>
        <v>49127.721164201226</v>
      </c>
      <c r="R498" s="1245">
        <f t="shared" ca="1" si="236"/>
        <v>42224.687075721122</v>
      </c>
      <c r="S498" s="1245">
        <f t="shared" ca="1" si="236"/>
        <v>34259.781520125238</v>
      </c>
      <c r="T498" s="1245">
        <f t="shared" ca="1" si="236"/>
        <v>25441.500562133115</v>
      </c>
    </row>
    <row r="499" spans="2:20" s="146" customFormat="1">
      <c r="B499" s="1244"/>
      <c r="C499" s="215"/>
      <c r="D499" s="215"/>
      <c r="E499" s="215"/>
      <c r="F499" s="215"/>
      <c r="G499" s="215"/>
      <c r="H499" s="215"/>
      <c r="I499" s="1245"/>
      <c r="J499" s="215"/>
      <c r="K499" s="215"/>
      <c r="L499" s="215"/>
      <c r="M499" s="215"/>
      <c r="N499" s="1245"/>
      <c r="O499" s="1245"/>
      <c r="P499" s="1245"/>
      <c r="Q499" s="1245"/>
      <c r="R499" s="1245"/>
      <c r="S499" s="1245"/>
      <c r="T499" s="1245"/>
    </row>
    <row r="500" spans="2:20" s="146" customFormat="1">
      <c r="B500" s="215" t="s">
        <v>1294</v>
      </c>
      <c r="C500" s="215"/>
      <c r="D500" s="215"/>
      <c r="E500" s="215"/>
      <c r="F500" s="215"/>
      <c r="G500" s="215"/>
      <c r="H500" s="215"/>
      <c r="I500" s="1247">
        <f>(I494+I495)/I357</f>
        <v>-5.033801371779056</v>
      </c>
      <c r="J500" s="1247"/>
      <c r="K500" s="1247"/>
      <c r="L500" s="1247"/>
      <c r="M500" s="1247"/>
      <c r="N500" s="1247">
        <f t="shared" ref="N500:T500" si="237">(N494+N495)/N357</f>
        <v>-4.3817390609596236</v>
      </c>
      <c r="O500" s="1247">
        <f t="shared" ca="1" si="237"/>
        <v>-4.4158638019307892</v>
      </c>
      <c r="P500" s="1247">
        <f t="shared" ca="1" si="237"/>
        <v>-4.2792471831656149</v>
      </c>
      <c r="Q500" s="1247">
        <f t="shared" ca="1" si="237"/>
        <v>-4.1918025747927334</v>
      </c>
      <c r="R500" s="1247">
        <f t="shared" ca="1" si="237"/>
        <v>-4.076616616521969</v>
      </c>
      <c r="S500" s="1247">
        <f t="shared" ca="1" si="237"/>
        <v>-3.8934810688977333</v>
      </c>
      <c r="T500" s="1247">
        <f t="shared" ca="1" si="237"/>
        <v>-3.6072253897535953</v>
      </c>
    </row>
    <row r="501" spans="2:20" s="146" customFormat="1">
      <c r="B501" s="1248" t="s">
        <v>1071</v>
      </c>
      <c r="C501" s="1248"/>
      <c r="D501" s="1248"/>
      <c r="E501" s="1248"/>
      <c r="F501" s="1248"/>
      <c r="G501" s="1248"/>
      <c r="H501" s="1248"/>
      <c r="I501" s="1249">
        <f>I498/I346</f>
        <v>3.2109059111607321</v>
      </c>
      <c r="J501" s="1249"/>
      <c r="K501" s="1249"/>
      <c r="L501" s="1249"/>
      <c r="M501" s="1249"/>
      <c r="N501" s="1249">
        <f t="shared" ref="N501:T501" si="238">N498/N346</f>
        <v>2.7905435280245294</v>
      </c>
      <c r="O501" s="1249">
        <f t="shared" ca="1" si="238"/>
        <v>2.5282614995491022</v>
      </c>
      <c r="P501" s="1249">
        <f t="shared" ca="1" si="238"/>
        <v>2.2638826875578246</v>
      </c>
      <c r="Q501" s="1249">
        <f t="shared" ca="1" si="238"/>
        <v>1.9630762412484704</v>
      </c>
      <c r="R501" s="1249">
        <f t="shared" ca="1" si="238"/>
        <v>1.5878602364094891</v>
      </c>
      <c r="S501" s="1249">
        <f t="shared" ca="1" si="238"/>
        <v>1.246697067376922</v>
      </c>
      <c r="T501" s="1249">
        <f t="shared" ca="1" si="238"/>
        <v>0.89917199710009976</v>
      </c>
    </row>
    <row r="502" spans="2:20" s="146" customFormat="1">
      <c r="B502" s="181"/>
      <c r="C502" s="181"/>
      <c r="D502" s="181"/>
      <c r="E502" s="181"/>
      <c r="F502" s="181"/>
      <c r="G502" s="181"/>
      <c r="H502" s="181"/>
      <c r="I502" s="1089"/>
      <c r="J502" s="1089"/>
      <c r="K502" s="1089"/>
      <c r="L502" s="1089"/>
      <c r="M502" s="1089"/>
      <c r="N502" s="1089"/>
      <c r="O502" s="1089"/>
      <c r="P502" s="1089"/>
      <c r="Q502" s="1089"/>
      <c r="R502" s="1089"/>
      <c r="S502" s="1089"/>
      <c r="T502" s="1089"/>
    </row>
    <row r="503" spans="2:20" s="146" customFormat="1">
      <c r="B503" s="182" t="s">
        <v>1398</v>
      </c>
      <c r="C503" s="181"/>
      <c r="D503" s="181"/>
      <c r="E503" s="181"/>
      <c r="F503" s="181"/>
      <c r="G503" s="181"/>
      <c r="H503" s="181"/>
      <c r="I503" s="1089"/>
      <c r="J503" s="1089"/>
      <c r="K503" s="1089"/>
      <c r="L503" s="1089"/>
      <c r="M503" s="1089"/>
      <c r="N503" s="1089"/>
      <c r="O503" s="1089"/>
      <c r="P503" s="1089"/>
      <c r="Q503" s="1089"/>
      <c r="R503" s="1089"/>
      <c r="S503" s="1089"/>
      <c r="T503" s="1089"/>
    </row>
    <row r="504" spans="2:20" s="146" customFormat="1">
      <c r="B504" s="181" t="s">
        <v>1070</v>
      </c>
      <c r="C504" s="181"/>
      <c r="D504" s="181"/>
      <c r="E504" s="181"/>
      <c r="F504" s="181"/>
      <c r="G504" s="181"/>
      <c r="H504" s="181"/>
      <c r="I504" s="963"/>
      <c r="J504" s="963"/>
      <c r="K504" s="963"/>
      <c r="L504" s="963"/>
      <c r="M504" s="963"/>
      <c r="N504" s="963">
        <f>N455</f>
        <v>19414.328999999998</v>
      </c>
      <c r="O504" s="963">
        <f t="shared" ref="O504:T504" ca="1" si="239">O455</f>
        <v>18285.324604561123</v>
      </c>
      <c r="P504" s="963">
        <f t="shared" ca="1" si="239"/>
        <v>17675.349058589883</v>
      </c>
      <c r="Q504" s="963">
        <f t="shared" ca="1" si="239"/>
        <v>17116.49304214248</v>
      </c>
      <c r="R504" s="963">
        <f t="shared" ca="1" si="239"/>
        <v>14961.944444969533</v>
      </c>
      <c r="S504" s="963">
        <f t="shared" ca="1" si="239"/>
        <v>12266.241959862327</v>
      </c>
      <c r="T504" s="963">
        <f t="shared" ca="1" si="239"/>
        <v>9265.1159649149413</v>
      </c>
    </row>
    <row r="505" spans="2:20" s="146" customFormat="1">
      <c r="B505" s="181" t="s">
        <v>1069</v>
      </c>
      <c r="C505" s="181"/>
      <c r="D505" s="181"/>
      <c r="E505" s="181"/>
      <c r="F505" s="181"/>
      <c r="G505" s="181"/>
      <c r="H505" s="181"/>
      <c r="I505" s="963">
        <f>I701+I738</f>
        <v>1191.8</v>
      </c>
      <c r="J505" s="963"/>
      <c r="K505" s="963"/>
      <c r="L505" s="963"/>
      <c r="M505" s="963"/>
      <c r="N505" s="963">
        <f>N701+N738</f>
        <v>1541.9479999999999</v>
      </c>
      <c r="O505" s="963">
        <f ca="1">O504-O506</f>
        <v>1541.9480000000003</v>
      </c>
      <c r="P505" s="963">
        <f t="shared" ref="P505:T505" ca="1" si="240">P504-P506</f>
        <v>1541.9480000000021</v>
      </c>
      <c r="Q505" s="963">
        <f t="shared" ca="1" si="240"/>
        <v>1541.9480000000003</v>
      </c>
      <c r="R505" s="963">
        <f t="shared" ca="1" si="240"/>
        <v>1541.9480000000003</v>
      </c>
      <c r="S505" s="963">
        <f t="shared" ca="1" si="240"/>
        <v>1541.9480000000003</v>
      </c>
      <c r="T505" s="963">
        <f t="shared" ca="1" si="240"/>
        <v>1541.9480000000003</v>
      </c>
    </row>
    <row r="506" spans="2:20" s="146" customFormat="1">
      <c r="B506" s="1036" t="s">
        <v>1396</v>
      </c>
      <c r="C506" s="1268"/>
      <c r="D506" s="1268"/>
      <c r="E506" s="1268"/>
      <c r="F506" s="1268"/>
      <c r="G506" s="1268"/>
      <c r="H506" s="1268"/>
      <c r="I506" s="1273"/>
      <c r="J506" s="1273"/>
      <c r="K506" s="1273"/>
      <c r="L506" s="1273"/>
      <c r="M506" s="1273"/>
      <c r="N506" s="1158">
        <f>N504-N505</f>
        <v>17872.380999999998</v>
      </c>
      <c r="O506" s="1158">
        <f ca="1">N506-O507</f>
        <v>16743.376604561123</v>
      </c>
      <c r="P506" s="1158">
        <f t="shared" ref="P506" ca="1" si="241">O506-P507</f>
        <v>16133.401058589881</v>
      </c>
      <c r="Q506" s="1158">
        <f t="shared" ref="Q506" ca="1" si="242">P506-Q507</f>
        <v>15574.545042142479</v>
      </c>
      <c r="R506" s="1158">
        <f t="shared" ref="R506" ca="1" si="243">Q506-R507</f>
        <v>13419.996444969533</v>
      </c>
      <c r="S506" s="1158">
        <f t="shared" ref="S506" ca="1" si="244">R506-S507</f>
        <v>10724.293959862327</v>
      </c>
      <c r="T506" s="1158">
        <f t="shared" ref="T506" ca="1" si="245">S506-T507</f>
        <v>7723.167964914941</v>
      </c>
    </row>
    <row r="507" spans="2:20" s="146" customFormat="1">
      <c r="B507" s="182" t="s">
        <v>139</v>
      </c>
      <c r="C507" s="181"/>
      <c r="D507" s="181"/>
      <c r="E507" s="181"/>
      <c r="F507" s="181"/>
      <c r="G507" s="181"/>
      <c r="H507" s="181"/>
      <c r="I507" s="963"/>
      <c r="J507" s="963"/>
      <c r="K507" s="963"/>
      <c r="L507" s="963"/>
      <c r="M507" s="963"/>
      <c r="N507" s="963"/>
      <c r="O507" s="1269">
        <f ca="1">O428</f>
        <v>1129.0043954388748</v>
      </c>
      <c r="P507" s="1269">
        <f t="shared" ref="P507:T507" ca="1" si="246">P428</f>
        <v>609.97554597124133</v>
      </c>
      <c r="Q507" s="1269">
        <f t="shared" ca="1" si="246"/>
        <v>558.85601644740245</v>
      </c>
      <c r="R507" s="1269">
        <f t="shared" ca="1" si="246"/>
        <v>2154.5485971729463</v>
      </c>
      <c r="S507" s="1269">
        <f t="shared" ca="1" si="246"/>
        <v>2695.702485107206</v>
      </c>
      <c r="T507" s="1269">
        <f t="shared" ca="1" si="246"/>
        <v>3001.1259949473861</v>
      </c>
    </row>
    <row r="508" spans="2:20" s="146" customFormat="1">
      <c r="B508" s="181" t="s">
        <v>978</v>
      </c>
      <c r="C508" s="181"/>
      <c r="D508" s="181"/>
      <c r="E508" s="181"/>
      <c r="F508" s="181"/>
      <c r="G508" s="181"/>
      <c r="H508" s="181"/>
      <c r="I508" s="963"/>
      <c r="J508" s="963"/>
      <c r="K508" s="963"/>
      <c r="L508" s="963"/>
      <c r="M508" s="963"/>
      <c r="N508" s="963">
        <f>N465</f>
        <v>44780.28</v>
      </c>
      <c r="O508" s="963">
        <f t="shared" ref="O508:T508" si="247">O465</f>
        <v>41525.435120838105</v>
      </c>
      <c r="P508" s="963">
        <f t="shared" si="247"/>
        <v>37783.670761251575</v>
      </c>
      <c r="Q508" s="963">
        <f t="shared" si="247"/>
        <v>33553.17612205875</v>
      </c>
      <c r="R508" s="963">
        <f t="shared" si="247"/>
        <v>28804.690630751589</v>
      </c>
      <c r="S508" s="963">
        <f t="shared" si="247"/>
        <v>23535.487560262914</v>
      </c>
      <c r="T508" s="963">
        <f t="shared" si="247"/>
        <v>17718.332597218174</v>
      </c>
    </row>
    <row r="509" spans="2:20" s="146" customFormat="1">
      <c r="B509" s="181" t="s">
        <v>1442</v>
      </c>
      <c r="C509" s="181"/>
      <c r="D509" s="181"/>
      <c r="E509" s="181"/>
      <c r="F509" s="181"/>
      <c r="G509" s="181"/>
      <c r="H509" s="181"/>
      <c r="I509" s="963"/>
      <c r="J509" s="963"/>
      <c r="K509" s="963"/>
      <c r="L509" s="963"/>
      <c r="M509" s="963"/>
      <c r="N509" s="963">
        <f>N476</f>
        <v>0</v>
      </c>
      <c r="O509" s="963">
        <f t="shared" ref="O509:T509" si="248">O476</f>
        <v>0</v>
      </c>
      <c r="P509" s="963">
        <f t="shared" si="248"/>
        <v>7422.545454545454</v>
      </c>
      <c r="Q509" s="963">
        <f t="shared" si="248"/>
        <v>6680.2909090909088</v>
      </c>
      <c r="R509" s="963">
        <f t="shared" si="248"/>
        <v>5938.0363636363636</v>
      </c>
      <c r="S509" s="963">
        <f t="shared" si="248"/>
        <v>5195.7818181818184</v>
      </c>
      <c r="T509" s="963">
        <f t="shared" si="248"/>
        <v>4453.5272727272732</v>
      </c>
    </row>
    <row r="510" spans="2:20" s="146" customFormat="1">
      <c r="B510" s="182" t="s">
        <v>150</v>
      </c>
      <c r="C510" s="182"/>
      <c r="D510" s="182"/>
      <c r="E510" s="182"/>
      <c r="F510" s="182"/>
      <c r="G510" s="182"/>
      <c r="H510" s="182"/>
      <c r="I510" s="1269"/>
      <c r="J510" s="1269"/>
      <c r="K510" s="1269"/>
      <c r="L510" s="1269"/>
      <c r="M510" s="1269"/>
      <c r="N510" s="1269">
        <f>N506+N508+N509</f>
        <v>62652.660999999993</v>
      </c>
      <c r="O510" s="1269">
        <f t="shared" ref="O510:T510" ca="1" si="249">O506+O508+O509</f>
        <v>58268.811725399224</v>
      </c>
      <c r="P510" s="1269">
        <f t="shared" ca="1" si="249"/>
        <v>61339.61727438691</v>
      </c>
      <c r="Q510" s="1269">
        <f t="shared" ca="1" si="249"/>
        <v>55808.012073292135</v>
      </c>
      <c r="R510" s="1269">
        <f t="shared" ca="1" si="249"/>
        <v>48162.723439357484</v>
      </c>
      <c r="S510" s="1269">
        <f t="shared" ca="1" si="249"/>
        <v>39455.563338307053</v>
      </c>
      <c r="T510" s="1269">
        <f t="shared" ca="1" si="249"/>
        <v>29895.02783486039</v>
      </c>
    </row>
    <row r="511" spans="2:20" s="146" customFormat="1">
      <c r="B511" s="182"/>
      <c r="C511" s="181"/>
      <c r="D511" s="181"/>
      <c r="E511" s="181"/>
      <c r="F511" s="181"/>
      <c r="G511" s="181"/>
      <c r="H511" s="181"/>
      <c r="I511" s="1089"/>
      <c r="J511" s="1089"/>
      <c r="K511" s="1089"/>
      <c r="L511" s="1089"/>
      <c r="M511" s="1089"/>
      <c r="N511" s="1089"/>
      <c r="O511" s="1089"/>
      <c r="P511" s="1089"/>
      <c r="Q511" s="1089"/>
      <c r="R511" s="1089"/>
      <c r="S511" s="1089"/>
      <c r="T511" s="1089"/>
    </row>
    <row r="512" spans="2:20" s="146" customFormat="1">
      <c r="B512" s="181" t="s">
        <v>1294</v>
      </c>
      <c r="C512" s="181"/>
      <c r="D512" s="181"/>
      <c r="E512" s="181"/>
      <c r="F512" s="181"/>
      <c r="G512" s="181"/>
      <c r="H512" s="181"/>
      <c r="I512" s="1089"/>
      <c r="J512" s="1089"/>
      <c r="K512" s="1089"/>
      <c r="L512" s="1089"/>
      <c r="M512" s="1089"/>
      <c r="N512" s="1089"/>
      <c r="O512" s="1089"/>
      <c r="P512" s="1089"/>
      <c r="Q512" s="1089"/>
      <c r="R512" s="1089"/>
      <c r="S512" s="1089"/>
      <c r="T512" s="1089"/>
    </row>
    <row r="513" spans="2:28" s="146" customFormat="1">
      <c r="B513" s="1270" t="s">
        <v>1071</v>
      </c>
      <c r="C513" s="1270"/>
      <c r="D513" s="1270"/>
      <c r="E513" s="1270"/>
      <c r="F513" s="1270"/>
      <c r="G513" s="1270"/>
      <c r="H513" s="1270"/>
      <c r="I513" s="1271">
        <f>I510/I346</f>
        <v>0</v>
      </c>
      <c r="J513" s="1271"/>
      <c r="K513" s="1271"/>
      <c r="L513" s="1271"/>
      <c r="M513" s="1271"/>
      <c r="N513" s="1271">
        <f>N510/N346</f>
        <v>2.7905435280245294</v>
      </c>
      <c r="O513" s="1271">
        <f t="shared" ref="O513:T513" ca="1" si="250">O510/O346</f>
        <v>2.5282614995491022</v>
      </c>
      <c r="P513" s="1271">
        <f t="shared" ca="1" si="250"/>
        <v>2.5755422711551059</v>
      </c>
      <c r="Q513" s="1271">
        <f t="shared" ca="1" si="250"/>
        <v>2.2300114879380821</v>
      </c>
      <c r="R513" s="1271">
        <f t="shared" ca="1" si="250"/>
        <v>1.8111602174670929</v>
      </c>
      <c r="S513" s="1271">
        <f t="shared" ca="1" si="250"/>
        <v>1.435769083252227</v>
      </c>
      <c r="T513" s="1271">
        <f t="shared" ca="1" si="250"/>
        <v>1.0565717936324703</v>
      </c>
    </row>
    <row r="514" spans="2:28" s="146" customFormat="1">
      <c r="B514" s="181"/>
      <c r="C514" s="181"/>
      <c r="D514" s="181"/>
      <c r="E514" s="181"/>
      <c r="F514" s="181"/>
      <c r="G514" s="181"/>
      <c r="H514" s="181"/>
      <c r="I514" s="1089"/>
      <c r="J514" s="1089"/>
      <c r="K514" s="1089"/>
      <c r="L514" s="1089"/>
      <c r="M514" s="1089"/>
      <c r="N514" s="1089"/>
      <c r="O514" s="1089"/>
      <c r="P514" s="1089"/>
      <c r="Q514" s="1089"/>
      <c r="R514" s="1089"/>
      <c r="S514" s="1089"/>
      <c r="T514" s="1089"/>
    </row>
    <row r="515" spans="2:28" s="146" customFormat="1" outlineLevel="1">
      <c r="B515" s="1244" t="s">
        <v>1397</v>
      </c>
      <c r="C515" s="215"/>
      <c r="D515" s="215"/>
      <c r="E515" s="215"/>
      <c r="F515" s="215"/>
      <c r="G515" s="215"/>
      <c r="H515" s="215"/>
      <c r="I515" s="215"/>
      <c r="J515" s="215"/>
      <c r="K515" s="215"/>
      <c r="L515" s="215"/>
      <c r="M515" s="215"/>
      <c r="N515" s="1244"/>
      <c r="O515" s="1245"/>
      <c r="P515" s="1245"/>
      <c r="Q515" s="1245"/>
      <c r="R515" s="1245"/>
      <c r="S515" s="1245"/>
      <c r="T515" s="1245"/>
      <c r="X515" s="1243">
        <f>O4</f>
        <v>2025</v>
      </c>
      <c r="Y515" s="1243">
        <f>P4</f>
        <v>2026</v>
      </c>
      <c r="Z515" s="1243">
        <f>Q4</f>
        <v>2027</v>
      </c>
      <c r="AA515" s="1243">
        <f>R4</f>
        <v>2028</v>
      </c>
      <c r="AB515" s="1243">
        <f>S4</f>
        <v>2029</v>
      </c>
    </row>
    <row r="516" spans="2:28" s="146" customFormat="1" outlineLevel="1">
      <c r="B516" s="215" t="s">
        <v>1070</v>
      </c>
      <c r="C516" s="215"/>
      <c r="D516" s="215"/>
      <c r="E516" s="215"/>
      <c r="F516" s="215"/>
      <c r="G516" s="215"/>
      <c r="H516" s="215"/>
      <c r="I516" s="1228">
        <f>I699+I736</f>
        <v>21233.440000000002</v>
      </c>
      <c r="J516" s="215"/>
      <c r="K516" s="215"/>
      <c r="L516" s="215"/>
      <c r="M516" s="215"/>
      <c r="N516" s="1228">
        <f>N699+N736</f>
        <v>19414.328999999998</v>
      </c>
      <c r="O516" s="1228">
        <f t="shared" ref="O516:T516" ca="1" si="251">O455</f>
        <v>18285.324604561123</v>
      </c>
      <c r="P516" s="1228">
        <f t="shared" ca="1" si="251"/>
        <v>17675.349058589883</v>
      </c>
      <c r="Q516" s="1228">
        <f t="shared" ca="1" si="251"/>
        <v>17116.49304214248</v>
      </c>
      <c r="R516" s="1228">
        <f t="shared" ca="1" si="251"/>
        <v>14961.944444969533</v>
      </c>
      <c r="S516" s="1228">
        <f t="shared" ca="1" si="251"/>
        <v>12266.241959862327</v>
      </c>
      <c r="T516" s="1228">
        <f t="shared" ca="1" si="251"/>
        <v>9265.1159649149413</v>
      </c>
      <c r="W516" s="891"/>
      <c r="X516" s="891">
        <f ca="1">O516-N516</f>
        <v>-1129.0043954388748</v>
      </c>
      <c r="Y516" s="891">
        <f t="shared" ref="Y516:AB519" ca="1" si="252">P516-O516</f>
        <v>-609.97554597123963</v>
      </c>
      <c r="Z516" s="891">
        <f t="shared" ca="1" si="252"/>
        <v>-558.85601644740382</v>
      </c>
      <c r="AA516" s="891">
        <f t="shared" ca="1" si="252"/>
        <v>-2154.5485971729468</v>
      </c>
      <c r="AB516" s="891">
        <f t="shared" ca="1" si="252"/>
        <v>-2695.7024851072056</v>
      </c>
    </row>
    <row r="517" spans="2:28" s="146" customFormat="1" outlineLevel="1">
      <c r="B517" s="215" t="s">
        <v>978</v>
      </c>
      <c r="C517" s="215"/>
      <c r="D517" s="215"/>
      <c r="E517" s="215"/>
      <c r="F517" s="215"/>
      <c r="G517" s="215"/>
      <c r="H517" s="215"/>
      <c r="I517" s="1228">
        <f>I700+I737</f>
        <v>47695.66</v>
      </c>
      <c r="J517" s="215"/>
      <c r="K517" s="215"/>
      <c r="L517" s="215"/>
      <c r="M517" s="215"/>
      <c r="N517" s="1228">
        <f>N700+N737</f>
        <v>44780.28</v>
      </c>
      <c r="O517" s="1228">
        <f t="shared" ref="O517:T517" si="253">O465</f>
        <v>41525.435120838105</v>
      </c>
      <c r="P517" s="1228">
        <f t="shared" si="253"/>
        <v>37783.670761251575</v>
      </c>
      <c r="Q517" s="1228">
        <f t="shared" si="253"/>
        <v>33553.17612205875</v>
      </c>
      <c r="R517" s="1228">
        <f t="shared" si="253"/>
        <v>28804.690630751589</v>
      </c>
      <c r="S517" s="1228">
        <f t="shared" si="253"/>
        <v>23535.487560262914</v>
      </c>
      <c r="T517" s="1228">
        <f t="shared" si="253"/>
        <v>17718.332597218174</v>
      </c>
      <c r="W517" s="891"/>
      <c r="X517" s="891">
        <f t="shared" ref="X517:X519" si="254">O517-N517</f>
        <v>-3254.8448791618939</v>
      </c>
      <c r="Y517" s="891">
        <f t="shared" si="252"/>
        <v>-3741.7643595865302</v>
      </c>
      <c r="Z517" s="891">
        <f t="shared" si="252"/>
        <v>-4230.4946391928243</v>
      </c>
      <c r="AA517" s="891">
        <f t="shared" si="252"/>
        <v>-4748.4854913071613</v>
      </c>
      <c r="AB517" s="891">
        <f t="shared" si="252"/>
        <v>-5269.2030704886747</v>
      </c>
    </row>
    <row r="518" spans="2:28" s="146" customFormat="1" outlineLevel="1">
      <c r="B518" s="215" t="s">
        <v>1069</v>
      </c>
      <c r="C518" s="215"/>
      <c r="D518" s="215"/>
      <c r="E518" s="215"/>
      <c r="F518" s="215"/>
      <c r="G518" s="215"/>
      <c r="H518" s="215"/>
      <c r="I518" s="1228">
        <f>I701+I738</f>
        <v>1191.8</v>
      </c>
      <c r="J518" s="215"/>
      <c r="K518" s="215"/>
      <c r="L518" s="215"/>
      <c r="M518" s="215"/>
      <c r="N518" s="1228">
        <f>N701+N738</f>
        <v>1541.9479999999999</v>
      </c>
      <c r="O518" s="1228">
        <f ca="1">O516+O517-O519</f>
        <v>5496.4723703967538</v>
      </c>
      <c r="P518" s="1228">
        <f t="shared" ref="P518:T518" ca="1" si="255">P516+P517-P519</f>
        <v>9295.8916975893299</v>
      </c>
      <c r="Q518" s="1228">
        <f t="shared" ca="1" si="255"/>
        <v>12904.010743379768</v>
      </c>
      <c r="R518" s="1228">
        <f t="shared" ca="1" si="255"/>
        <v>16289.519035789112</v>
      </c>
      <c r="S518" s="1228">
        <f t="shared" ca="1" si="255"/>
        <v>19414.058031305616</v>
      </c>
      <c r="T518" s="1228">
        <f t="shared" ca="1" si="255"/>
        <v>22243.547113646513</v>
      </c>
      <c r="W518" s="891"/>
      <c r="X518" s="891">
        <f t="shared" ca="1" si="254"/>
        <v>3954.524370396754</v>
      </c>
      <c r="Y518" s="891">
        <f t="shared" ca="1" si="252"/>
        <v>3799.419327192576</v>
      </c>
      <c r="Z518" s="891">
        <f t="shared" ca="1" si="252"/>
        <v>3608.1190457904377</v>
      </c>
      <c r="AA518" s="891">
        <f t="shared" ca="1" si="252"/>
        <v>3385.508292409344</v>
      </c>
      <c r="AB518" s="891">
        <f t="shared" ca="1" si="252"/>
        <v>3124.5389955165047</v>
      </c>
    </row>
    <row r="519" spans="2:28" s="146" customFormat="1" outlineLevel="1">
      <c r="B519" s="1229" t="s">
        <v>1022</v>
      </c>
      <c r="C519" s="1246"/>
      <c r="D519" s="1246"/>
      <c r="E519" s="1246"/>
      <c r="F519" s="1246"/>
      <c r="G519" s="1246"/>
      <c r="H519" s="1246"/>
      <c r="I519" s="1230">
        <f>I516+I517-I518</f>
        <v>67737.3</v>
      </c>
      <c r="J519" s="1246"/>
      <c r="K519" s="1246"/>
      <c r="L519" s="1246"/>
      <c r="M519" s="1246"/>
      <c r="N519" s="1230">
        <f>N516+N517-N518</f>
        <v>62652.661</v>
      </c>
      <c r="O519" s="1230">
        <f t="shared" ref="O519:T519" ca="1" si="256">N519-O520</f>
        <v>54314.287355002474</v>
      </c>
      <c r="P519" s="1230">
        <f t="shared" ca="1" si="256"/>
        <v>46163.128122252128</v>
      </c>
      <c r="Q519" s="1230">
        <f t="shared" ca="1" si="256"/>
        <v>37765.658420821463</v>
      </c>
      <c r="R519" s="1230">
        <f t="shared" ca="1" si="256"/>
        <v>27477.116039932007</v>
      </c>
      <c r="S519" s="1230">
        <f t="shared" ca="1" si="256"/>
        <v>16387.671488819626</v>
      </c>
      <c r="T519" s="1230">
        <f t="shared" ca="1" si="256"/>
        <v>4739.9014484866038</v>
      </c>
      <c r="W519" s="891"/>
      <c r="X519" s="922">
        <f t="shared" ca="1" si="254"/>
        <v>-8338.3736449975258</v>
      </c>
      <c r="Y519" s="922">
        <f t="shared" ca="1" si="252"/>
        <v>-8151.1592327503458</v>
      </c>
      <c r="Z519" s="922">
        <f t="shared" ca="1" si="252"/>
        <v>-8397.4697014306657</v>
      </c>
      <c r="AA519" s="922">
        <f t="shared" ca="1" si="252"/>
        <v>-10288.542380889456</v>
      </c>
      <c r="AB519" s="922">
        <f t="shared" ca="1" si="252"/>
        <v>-11089.444551112381</v>
      </c>
    </row>
    <row r="520" spans="2:28" s="146" customFormat="1" outlineLevel="1">
      <c r="B520" s="1244" t="s">
        <v>1281</v>
      </c>
      <c r="C520" s="215"/>
      <c r="D520" s="215"/>
      <c r="E520" s="215"/>
      <c r="F520" s="215"/>
      <c r="G520" s="215"/>
      <c r="H520" s="215"/>
      <c r="I520" s="1245"/>
      <c r="J520" s="215"/>
      <c r="K520" s="215"/>
      <c r="L520" s="215"/>
      <c r="M520" s="215"/>
      <c r="N520" s="1245"/>
      <c r="O520" s="1245">
        <f t="shared" ref="O520:T520" ca="1" si="257">O428-O423</f>
        <v>8338.373644997524</v>
      </c>
      <c r="P520" s="1245">
        <f t="shared" ca="1" si="257"/>
        <v>8151.159232750344</v>
      </c>
      <c r="Q520" s="1245">
        <f t="shared" ca="1" si="257"/>
        <v>8397.4697014306639</v>
      </c>
      <c r="R520" s="1245">
        <f t="shared" ca="1" si="257"/>
        <v>10288.542380889457</v>
      </c>
      <c r="S520" s="1245">
        <f t="shared" ca="1" si="257"/>
        <v>11089.444551112381</v>
      </c>
      <c r="T520" s="1245">
        <f t="shared" ca="1" si="257"/>
        <v>11647.770040333022</v>
      </c>
      <c r="V520" s="146" t="s">
        <v>1323</v>
      </c>
    </row>
    <row r="521" spans="2:28" s="146" customFormat="1" outlineLevel="1">
      <c r="B521" s="1244"/>
      <c r="C521" s="215"/>
      <c r="D521" s="215"/>
      <c r="E521" s="215"/>
      <c r="F521" s="215"/>
      <c r="G521" s="215"/>
      <c r="H521" s="215"/>
      <c r="I521" s="1245"/>
      <c r="J521" s="215"/>
      <c r="K521" s="215"/>
      <c r="L521" s="215"/>
      <c r="M521" s="215"/>
      <c r="N521" s="1245"/>
      <c r="O521" s="1245"/>
      <c r="P521" s="1245"/>
      <c r="Q521" s="1245"/>
      <c r="R521" s="1245"/>
      <c r="S521" s="1245"/>
      <c r="T521" s="1245"/>
    </row>
    <row r="522" spans="2:28" s="146" customFormat="1" outlineLevel="1">
      <c r="B522" s="1244" t="s">
        <v>1434</v>
      </c>
      <c r="C522" s="215"/>
      <c r="D522" s="215"/>
      <c r="E522" s="215"/>
      <c r="F522" s="215"/>
      <c r="G522" s="215"/>
      <c r="H522" s="215"/>
      <c r="I522" s="1245"/>
      <c r="J522" s="215"/>
      <c r="K522" s="215"/>
      <c r="L522" s="215"/>
      <c r="M522" s="215"/>
      <c r="N522" s="1245">
        <f t="shared" ref="N522:T522" si="258">N516-N518</f>
        <v>17872.380999999998</v>
      </c>
      <c r="O522" s="1245">
        <f t="shared" ca="1" si="258"/>
        <v>12788.852234164369</v>
      </c>
      <c r="P522" s="1245">
        <f t="shared" ca="1" si="258"/>
        <v>8379.4573610005536</v>
      </c>
      <c r="Q522" s="1245">
        <f t="shared" ca="1" si="258"/>
        <v>4212.4822987627122</v>
      </c>
      <c r="R522" s="1245">
        <f t="shared" ca="1" si="258"/>
        <v>-1327.5745908195786</v>
      </c>
      <c r="S522" s="1245">
        <f t="shared" ca="1" si="258"/>
        <v>-7147.8160714432888</v>
      </c>
      <c r="T522" s="1245">
        <f t="shared" ca="1" si="258"/>
        <v>-12978.431148731572</v>
      </c>
    </row>
    <row r="523" spans="2:28" s="146" customFormat="1" outlineLevel="1">
      <c r="B523" s="1244"/>
      <c r="C523" s="215"/>
      <c r="D523" s="215"/>
      <c r="E523" s="215"/>
      <c r="F523" s="215"/>
      <c r="G523" s="215"/>
      <c r="H523" s="215"/>
      <c r="I523" s="1245"/>
      <c r="J523" s="215"/>
      <c r="K523" s="215"/>
      <c r="L523" s="215"/>
      <c r="M523" s="215"/>
      <c r="N523" s="1245"/>
      <c r="O523" s="1245"/>
      <c r="P523" s="1245"/>
      <c r="Q523" s="1245"/>
      <c r="R523" s="1245"/>
      <c r="S523" s="1245"/>
      <c r="T523" s="1245"/>
    </row>
    <row r="524" spans="2:28" s="146" customFormat="1" outlineLevel="1">
      <c r="B524" s="215" t="s">
        <v>1294</v>
      </c>
      <c r="C524" s="215"/>
      <c r="D524" s="215"/>
      <c r="E524" s="215"/>
      <c r="F524" s="215"/>
      <c r="G524" s="215"/>
      <c r="H524" s="215"/>
      <c r="I524" s="1247">
        <f>(I516+I517)/I346</f>
        <v>3.2674000091676114</v>
      </c>
      <c r="J524" s="1247"/>
      <c r="K524" s="1247"/>
      <c r="L524" s="1247"/>
      <c r="M524" s="1247"/>
      <c r="N524" s="1247">
        <f t="shared" ref="N524:T524" si="259">(N516+N517)/N346</f>
        <v>2.8592217444525656</v>
      </c>
      <c r="O524" s="1247">
        <f t="shared" ca="1" si="259"/>
        <v>2.595166034707272</v>
      </c>
      <c r="P524" s="1247">
        <f t="shared" ca="1" si="259"/>
        <v>2.3286263626961659</v>
      </c>
      <c r="Q524" s="1247">
        <f t="shared" ca="1" si="259"/>
        <v>2.0246903648493491</v>
      </c>
      <c r="R524" s="1247">
        <f t="shared" ca="1" si="259"/>
        <v>1.6458452230458718</v>
      </c>
      <c r="S524" s="1247">
        <f t="shared" ca="1" si="259"/>
        <v>1.3028078177773141</v>
      </c>
      <c r="T524" s="1247">
        <f t="shared" ca="1" si="259"/>
        <v>0.95366864360090109</v>
      </c>
    </row>
    <row r="525" spans="2:28" s="146" customFormat="1" outlineLevel="1">
      <c r="B525" s="1248" t="s">
        <v>1071</v>
      </c>
      <c r="C525" s="1248"/>
      <c r="D525" s="1248"/>
      <c r="E525" s="1248"/>
      <c r="F525" s="1248"/>
      <c r="G525" s="1248"/>
      <c r="H525" s="1248"/>
      <c r="I525" s="1249">
        <f>I519/I346</f>
        <v>3.2109059111607321</v>
      </c>
      <c r="J525" s="1248"/>
      <c r="K525" s="1248"/>
      <c r="L525" s="1248"/>
      <c r="M525" s="1248"/>
      <c r="N525" s="1249">
        <f t="shared" ref="N525:T525" si="260">N519/N346</f>
        <v>2.7905435280245299</v>
      </c>
      <c r="O525" s="1249">
        <f t="shared" ca="1" si="260"/>
        <v>2.3566761965602545</v>
      </c>
      <c r="P525" s="1249">
        <f t="shared" ca="1" si="260"/>
        <v>1.9383082766193822</v>
      </c>
      <c r="Q525" s="1249">
        <f t="shared" ca="1" si="260"/>
        <v>1.5090638243371743</v>
      </c>
      <c r="R525" s="1249">
        <f t="shared" ca="1" si="260"/>
        <v>1.0332775206309159</v>
      </c>
      <c r="S525" s="1249">
        <f t="shared" ca="1" si="260"/>
        <v>0.59633952931796574</v>
      </c>
      <c r="T525" s="1249">
        <f t="shared" ca="1" si="260"/>
        <v>0.16752104071396071</v>
      </c>
    </row>
    <row r="526" spans="2:28" s="146" customFormat="1" outlineLevel="1">
      <c r="B526" s="147"/>
      <c r="I526" s="892"/>
      <c r="N526" s="892"/>
      <c r="O526" s="948">
        <f ca="1">O525-N525</f>
        <v>-0.43386733146427536</v>
      </c>
      <c r="P526" s="948">
        <f t="shared" ref="P526" ca="1" si="261">P525-O525</f>
        <v>-0.4183679199408723</v>
      </c>
      <c r="Q526" s="948">
        <f t="shared" ref="Q526" ca="1" si="262">Q525-P525</f>
        <v>-0.42924445228220787</v>
      </c>
      <c r="R526" s="948">
        <f t="shared" ref="R526" ca="1" si="263">R525-Q525</f>
        <v>-0.47578630370625841</v>
      </c>
      <c r="S526" s="948">
        <f t="shared" ref="S526" ca="1" si="264">S525-R525</f>
        <v>-0.43693799131295019</v>
      </c>
      <c r="T526" s="948">
        <f t="shared" ref="T526" ca="1" si="265">T525-S525</f>
        <v>-0.42881848860400507</v>
      </c>
    </row>
    <row r="527" spans="2:28" s="146" customFormat="1" outlineLevel="1">
      <c r="I527" s="948"/>
      <c r="N527" s="948"/>
      <c r="O527" s="948">
        <f ca="1">O501-N501</f>
        <v>-0.26228202847542725</v>
      </c>
      <c r="P527" s="948">
        <f t="shared" ref="P527:T527" ca="1" si="266">P501-O501</f>
        <v>-0.26437881199127755</v>
      </c>
      <c r="Q527" s="948">
        <f t="shared" ca="1" si="266"/>
        <v>-0.30080644630935427</v>
      </c>
      <c r="R527" s="948">
        <f t="shared" ca="1" si="266"/>
        <v>-0.37521600483898121</v>
      </c>
      <c r="S527" s="948">
        <f t="shared" ca="1" si="266"/>
        <v>-0.34116316903256716</v>
      </c>
      <c r="T527" s="948">
        <f t="shared" ca="1" si="266"/>
        <v>-0.34752507027682222</v>
      </c>
    </row>
    <row r="528" spans="2:28" s="146" customFormat="1" outlineLevel="1">
      <c r="B528" s="1244" t="s">
        <v>1406</v>
      </c>
      <c r="C528" s="215"/>
      <c r="D528" s="215"/>
      <c r="E528" s="215"/>
      <c r="F528" s="215"/>
      <c r="G528" s="215"/>
      <c r="H528" s="215"/>
      <c r="I528" s="1247"/>
      <c r="J528" s="215"/>
      <c r="K528" s="215"/>
      <c r="L528" s="215"/>
      <c r="M528" s="215"/>
      <c r="N528" s="1247"/>
      <c r="O528" s="1247"/>
      <c r="P528" s="1247"/>
      <c r="Q528" s="1247"/>
      <c r="R528" s="1247"/>
      <c r="S528" s="1247"/>
      <c r="T528" s="1247"/>
    </row>
    <row r="529" spans="2:20" s="146" customFormat="1" outlineLevel="1">
      <c r="B529" s="215" t="s">
        <v>1400</v>
      </c>
      <c r="C529" s="215"/>
      <c r="D529" s="215"/>
      <c r="E529" s="215"/>
      <c r="F529" s="215"/>
      <c r="G529" s="215"/>
      <c r="H529" s="215"/>
      <c r="I529" s="1247"/>
      <c r="J529" s="215"/>
      <c r="K529" s="215"/>
      <c r="L529" s="215"/>
      <c r="M529" s="215"/>
      <c r="N529" s="1228">
        <f>I519</f>
        <v>67737.3</v>
      </c>
      <c r="O529" s="1228">
        <f>N519</f>
        <v>62652.661</v>
      </c>
      <c r="P529" s="1228">
        <f ca="1">O533</f>
        <v>54314.287355002474</v>
      </c>
      <c r="Q529" s="1228">
        <f t="shared" ref="Q529:T529" ca="1" si="267">P533</f>
        <v>46163.128122252128</v>
      </c>
      <c r="R529" s="1228">
        <f t="shared" ca="1" si="267"/>
        <v>37765.658420821463</v>
      </c>
      <c r="S529" s="1228">
        <f t="shared" ca="1" si="267"/>
        <v>27477.116039932007</v>
      </c>
      <c r="T529" s="1228">
        <f t="shared" ca="1" si="267"/>
        <v>16387.671488819626</v>
      </c>
    </row>
    <row r="530" spans="2:20" s="146" customFormat="1" outlineLevel="1">
      <c r="B530" s="215" t="s">
        <v>1401</v>
      </c>
      <c r="C530" s="215"/>
      <c r="D530" s="215"/>
      <c r="E530" s="215"/>
      <c r="F530" s="215"/>
      <c r="G530" s="215"/>
      <c r="H530" s="215"/>
      <c r="I530" s="1247"/>
      <c r="J530" s="215"/>
      <c r="K530" s="215"/>
      <c r="L530" s="215"/>
      <c r="M530" s="215"/>
      <c r="N530" s="1228"/>
      <c r="O530" s="1228">
        <f t="shared" ref="O530:T530" ca="1" si="268">O428</f>
        <v>1129.0043954388748</v>
      </c>
      <c r="P530" s="1228">
        <f t="shared" ca="1" si="268"/>
        <v>609.97554597124133</v>
      </c>
      <c r="Q530" s="1228">
        <f t="shared" ca="1" si="268"/>
        <v>558.85601644740245</v>
      </c>
      <c r="R530" s="1228">
        <f t="shared" ca="1" si="268"/>
        <v>2154.5485971729463</v>
      </c>
      <c r="S530" s="1228">
        <f t="shared" ca="1" si="268"/>
        <v>2695.702485107206</v>
      </c>
      <c r="T530" s="1228">
        <f t="shared" ca="1" si="268"/>
        <v>3001.1259949473861</v>
      </c>
    </row>
    <row r="531" spans="2:20" s="146" customFormat="1" outlineLevel="1">
      <c r="B531" s="215" t="s">
        <v>1157</v>
      </c>
      <c r="C531" s="215"/>
      <c r="D531" s="215"/>
      <c r="E531" s="215"/>
      <c r="F531" s="215"/>
      <c r="G531" s="215"/>
      <c r="H531" s="215"/>
      <c r="I531" s="1247"/>
      <c r="J531" s="215"/>
      <c r="K531" s="215"/>
      <c r="L531" s="215"/>
      <c r="M531" s="215"/>
      <c r="N531" s="1228"/>
      <c r="O531" s="1228">
        <f t="shared" ref="O531:T531" si="269">-O463</f>
        <v>7209.3692495586492</v>
      </c>
      <c r="P531" s="1228">
        <f t="shared" si="269"/>
        <v>7541.1836867791026</v>
      </c>
      <c r="Q531" s="1228">
        <f t="shared" si="269"/>
        <v>7838.6136849832619</v>
      </c>
      <c r="R531" s="1228">
        <f t="shared" si="269"/>
        <v>8133.9937837165107</v>
      </c>
      <c r="S531" s="1228">
        <f t="shared" si="269"/>
        <v>8393.7420660051757</v>
      </c>
      <c r="T531" s="1228">
        <f t="shared" si="269"/>
        <v>8646.6440453856358</v>
      </c>
    </row>
    <row r="532" spans="2:20" s="146" customFormat="1" outlineLevel="1">
      <c r="B532" s="215" t="s">
        <v>1402</v>
      </c>
      <c r="C532" s="215"/>
      <c r="D532" s="215"/>
      <c r="E532" s="215"/>
      <c r="F532" s="215"/>
      <c r="G532" s="215"/>
      <c r="H532" s="215"/>
      <c r="I532" s="1247"/>
      <c r="J532" s="215"/>
      <c r="K532" s="215"/>
      <c r="L532" s="215"/>
      <c r="M532" s="215"/>
      <c r="N532" s="1228"/>
      <c r="O532" s="1228">
        <f ca="1">O530+O531</f>
        <v>8338.373644997524</v>
      </c>
      <c r="P532" s="1228">
        <f ca="1">P530+P531</f>
        <v>8151.159232750344</v>
      </c>
      <c r="Q532" s="1228">
        <f t="shared" ref="Q532:T532" ca="1" si="270">Q530+Q531</f>
        <v>8397.4697014306639</v>
      </c>
      <c r="R532" s="1228">
        <f t="shared" ca="1" si="270"/>
        <v>10288.542380889457</v>
      </c>
      <c r="S532" s="1228">
        <f t="shared" ca="1" si="270"/>
        <v>11089.444551112381</v>
      </c>
      <c r="T532" s="1228">
        <f t="shared" ca="1" si="270"/>
        <v>11647.770040333022</v>
      </c>
    </row>
    <row r="533" spans="2:20" s="146" customFormat="1" outlineLevel="1">
      <c r="B533" s="1229" t="s">
        <v>1403</v>
      </c>
      <c r="C533" s="1229"/>
      <c r="D533" s="1229"/>
      <c r="E533" s="1229"/>
      <c r="F533" s="1229"/>
      <c r="G533" s="1229"/>
      <c r="H533" s="1229"/>
      <c r="I533" s="1272"/>
      <c r="J533" s="1229"/>
      <c r="K533" s="1229"/>
      <c r="L533" s="1229"/>
      <c r="M533" s="1229"/>
      <c r="N533" s="1230"/>
      <c r="O533" s="1230">
        <f ca="1">O529-O532</f>
        <v>54314.287355002474</v>
      </c>
      <c r="P533" s="1230">
        <f ca="1">P529-P532</f>
        <v>46163.128122252128</v>
      </c>
      <c r="Q533" s="1230">
        <f t="shared" ref="Q533:T533" ca="1" si="271">Q529-Q532</f>
        <v>37765.658420821463</v>
      </c>
      <c r="R533" s="1230">
        <f t="shared" ca="1" si="271"/>
        <v>27477.116039932007</v>
      </c>
      <c r="S533" s="1230">
        <f t="shared" ca="1" si="271"/>
        <v>16387.671488819626</v>
      </c>
      <c r="T533" s="1230">
        <f t="shared" ca="1" si="271"/>
        <v>4739.9014484866038</v>
      </c>
    </row>
    <row r="534" spans="2:20" s="146" customFormat="1" outlineLevel="1">
      <c r="B534" s="215" t="s">
        <v>1306</v>
      </c>
      <c r="C534" s="215"/>
      <c r="D534" s="215"/>
      <c r="E534" s="215"/>
      <c r="F534" s="215"/>
      <c r="G534" s="215"/>
      <c r="H534" s="215"/>
      <c r="I534" s="1247"/>
      <c r="J534" s="215"/>
      <c r="K534" s="215"/>
      <c r="L534" s="215"/>
      <c r="M534" s="215"/>
      <c r="N534" s="1247"/>
      <c r="O534" s="1228">
        <f t="shared" ref="O534:T534" si="272">O465</f>
        <v>41525.435120838105</v>
      </c>
      <c r="P534" s="1228">
        <f t="shared" si="272"/>
        <v>37783.670761251575</v>
      </c>
      <c r="Q534" s="1228">
        <f t="shared" si="272"/>
        <v>33553.17612205875</v>
      </c>
      <c r="R534" s="1228">
        <f t="shared" si="272"/>
        <v>28804.690630751589</v>
      </c>
      <c r="S534" s="1228">
        <f t="shared" si="272"/>
        <v>23535.487560262914</v>
      </c>
      <c r="T534" s="1228">
        <f t="shared" si="272"/>
        <v>17718.332597218174</v>
      </c>
    </row>
    <row r="535" spans="2:20" s="146" customFormat="1" outlineLevel="1">
      <c r="B535" s="215" t="s">
        <v>1405</v>
      </c>
      <c r="C535" s="215"/>
      <c r="D535" s="215"/>
      <c r="E535" s="215"/>
      <c r="F535" s="215"/>
      <c r="G535" s="215"/>
      <c r="H535" s="215"/>
      <c r="I535" s="1247"/>
      <c r="J535" s="215"/>
      <c r="K535" s="215"/>
      <c r="L535" s="215"/>
      <c r="M535" s="215"/>
      <c r="N535" s="1228">
        <f>N455</f>
        <v>19414.328999999998</v>
      </c>
      <c r="O535" s="1228">
        <f>N535</f>
        <v>19414.328999999998</v>
      </c>
      <c r="P535" s="1228">
        <f>O535</f>
        <v>19414.328999999998</v>
      </c>
      <c r="Q535" s="1228">
        <f t="shared" ref="Q535:T535" si="273">P535</f>
        <v>19414.328999999998</v>
      </c>
      <c r="R535" s="1228">
        <f t="shared" si="273"/>
        <v>19414.328999999998</v>
      </c>
      <c r="S535" s="1228">
        <f t="shared" si="273"/>
        <v>19414.328999999998</v>
      </c>
      <c r="T535" s="1228">
        <f t="shared" si="273"/>
        <v>19414.328999999998</v>
      </c>
    </row>
    <row r="536" spans="2:20" s="146" customFormat="1" outlineLevel="1">
      <c r="B536" s="215" t="s">
        <v>1404</v>
      </c>
      <c r="C536" s="215"/>
      <c r="D536" s="215"/>
      <c r="E536" s="215"/>
      <c r="F536" s="215"/>
      <c r="G536" s="215"/>
      <c r="H536" s="215"/>
      <c r="I536" s="1228">
        <f>I701+I738</f>
        <v>1191.8</v>
      </c>
      <c r="J536" s="215"/>
      <c r="K536" s="215"/>
      <c r="L536" s="215"/>
      <c r="M536" s="215"/>
      <c r="N536" s="1228">
        <f>N701+N738</f>
        <v>1541.9479999999999</v>
      </c>
      <c r="O536" s="1245">
        <f ca="1">O534+O535-O533</f>
        <v>6625.4767658356286</v>
      </c>
      <c r="P536" s="1245">
        <f ca="1">P534+P535-P533</f>
        <v>11034.871638999444</v>
      </c>
      <c r="Q536" s="1245">
        <f t="shared" ref="Q536:T536" ca="1" si="274">Q534+Q535-Q533</f>
        <v>15201.846701237286</v>
      </c>
      <c r="R536" s="1245">
        <f t="shared" ca="1" si="274"/>
        <v>20741.90359081958</v>
      </c>
      <c r="S536" s="1245">
        <f t="shared" ca="1" si="274"/>
        <v>26562.14507144329</v>
      </c>
      <c r="T536" s="1245">
        <f t="shared" ca="1" si="274"/>
        <v>32392.76014873157</v>
      </c>
    </row>
    <row r="537" spans="2:20" s="146" customFormat="1" outlineLevel="1">
      <c r="I537" s="948"/>
      <c r="N537" s="948"/>
      <c r="O537" s="948"/>
      <c r="P537" s="948"/>
      <c r="Q537" s="948"/>
      <c r="R537" s="948"/>
      <c r="S537" s="948"/>
      <c r="T537" s="948"/>
    </row>
    <row r="538" spans="2:20" s="146" customFormat="1" outlineLevel="1">
      <c r="B538" s="1236" t="s">
        <v>1298</v>
      </c>
      <c r="C538" s="1237"/>
      <c r="D538" s="1237"/>
      <c r="E538" s="1237"/>
      <c r="F538" s="1237"/>
      <c r="G538" s="1237"/>
      <c r="H538" s="1237"/>
      <c r="I538" s="1238"/>
      <c r="J538" s="1237"/>
      <c r="K538" s="1237"/>
      <c r="L538" s="1237"/>
      <c r="M538" s="1237"/>
      <c r="N538" s="1238"/>
      <c r="O538" s="1238"/>
      <c r="P538" s="1238"/>
      <c r="Q538" s="1238"/>
      <c r="R538" s="1238"/>
      <c r="S538" s="1238"/>
      <c r="T538" s="1238"/>
    </row>
    <row r="539" spans="2:20" s="146" customFormat="1" outlineLevel="1">
      <c r="B539" s="1237" t="s">
        <v>1299</v>
      </c>
      <c r="C539" s="1237"/>
      <c r="D539" s="1237"/>
      <c r="E539" s="1237"/>
      <c r="F539" s="1237"/>
      <c r="G539" s="1237"/>
      <c r="H539" s="1237"/>
      <c r="I539" s="1238"/>
      <c r="J539" s="1237"/>
      <c r="K539" s="1237"/>
      <c r="L539" s="1237"/>
      <c r="M539" s="1237"/>
      <c r="N539" s="1239">
        <f>-I519</f>
        <v>-67737.3</v>
      </c>
      <c r="O539" s="1239">
        <f t="shared" ref="O539:T539" si="275">-N519</f>
        <v>-62652.661</v>
      </c>
      <c r="P539" s="1239">
        <f t="shared" ca="1" si="275"/>
        <v>-54314.287355002474</v>
      </c>
      <c r="Q539" s="1239">
        <f t="shared" ca="1" si="275"/>
        <v>-46163.128122252128</v>
      </c>
      <c r="R539" s="1239">
        <f t="shared" ca="1" si="275"/>
        <v>-37765.658420821463</v>
      </c>
      <c r="S539" s="1239">
        <f t="shared" ca="1" si="275"/>
        <v>-27477.116039932007</v>
      </c>
      <c r="T539" s="1239">
        <f t="shared" ca="1" si="275"/>
        <v>-16387.671488819626</v>
      </c>
    </row>
    <row r="540" spans="2:20" s="146" customFormat="1" outlineLevel="1">
      <c r="B540" s="1237" t="s">
        <v>139</v>
      </c>
      <c r="C540" s="1237"/>
      <c r="D540" s="1237"/>
      <c r="E540" s="1237"/>
      <c r="F540" s="1237"/>
      <c r="G540" s="1237"/>
      <c r="H540" s="1237"/>
      <c r="I540" s="1238"/>
      <c r="J540" s="1237"/>
      <c r="K540" s="1237"/>
      <c r="L540" s="1237"/>
      <c r="M540" s="1237"/>
      <c r="N540" s="1239">
        <f t="shared" ref="N540:T540" si="276">N428</f>
        <v>834.82649646950335</v>
      </c>
      <c r="O540" s="1239">
        <f t="shared" ca="1" si="276"/>
        <v>1129.0043954388748</v>
      </c>
      <c r="P540" s="1239">
        <f t="shared" ca="1" si="276"/>
        <v>609.97554597124133</v>
      </c>
      <c r="Q540" s="1239">
        <f t="shared" ca="1" si="276"/>
        <v>558.85601644740245</v>
      </c>
      <c r="R540" s="1239">
        <f t="shared" ca="1" si="276"/>
        <v>2154.5485971729463</v>
      </c>
      <c r="S540" s="1239">
        <f t="shared" ca="1" si="276"/>
        <v>2695.702485107206</v>
      </c>
      <c r="T540" s="1239">
        <f t="shared" ca="1" si="276"/>
        <v>3001.1259949473861</v>
      </c>
    </row>
    <row r="541" spans="2:20" s="146" customFormat="1" outlineLevel="1">
      <c r="B541" s="1237" t="s">
        <v>1300</v>
      </c>
      <c r="C541" s="1237"/>
      <c r="D541" s="1237"/>
      <c r="E541" s="1237"/>
      <c r="F541" s="1237"/>
      <c r="G541" s="1237"/>
      <c r="H541" s="1237"/>
      <c r="I541" s="1238"/>
      <c r="J541" s="1237"/>
      <c r="K541" s="1237"/>
      <c r="L541" s="1237"/>
      <c r="M541" s="1237"/>
      <c r="N541" s="1239">
        <f t="shared" ref="N541:T541" si="277">2.5*N346</f>
        <v>56129.442500000005</v>
      </c>
      <c r="O541" s="1239">
        <f t="shared" si="277"/>
        <v>57617.469292427879</v>
      </c>
      <c r="P541" s="1239">
        <f t="shared" si="277"/>
        <v>59540.487804609671</v>
      </c>
      <c r="Q541" s="1239">
        <f t="shared" si="277"/>
        <v>62564.713651871651</v>
      </c>
      <c r="R541" s="1239">
        <f t="shared" si="277"/>
        <v>66480.484408376971</v>
      </c>
      <c r="S541" s="1239">
        <f t="shared" si="277"/>
        <v>68701.095110876791</v>
      </c>
      <c r="T541" s="1239">
        <f t="shared" si="277"/>
        <v>70735.912161922155</v>
      </c>
    </row>
    <row r="542" spans="2:20" s="146" customFormat="1" ht="13.5" outlineLevel="1" thickBot="1">
      <c r="B542" s="1240" t="s">
        <v>1301</v>
      </c>
      <c r="C542" s="1240"/>
      <c r="D542" s="1240"/>
      <c r="E542" s="1240"/>
      <c r="F542" s="1240"/>
      <c r="G542" s="1240"/>
      <c r="H542" s="1240"/>
      <c r="I542" s="1241"/>
      <c r="J542" s="1240"/>
      <c r="K542" s="1240"/>
      <c r="L542" s="1240"/>
      <c r="M542" s="1240"/>
      <c r="N542" s="1242">
        <f>SUM(N539:N541)</f>
        <v>-10773.031003530501</v>
      </c>
      <c r="O542" s="1242">
        <f t="shared" ref="O542:T542" ca="1" si="278">SUM(O539:O541)</f>
        <v>-3906.1873121332465</v>
      </c>
      <c r="P542" s="1242">
        <f t="shared" ca="1" si="278"/>
        <v>5836.1759955784364</v>
      </c>
      <c r="Q542" s="1242">
        <f t="shared" ca="1" si="278"/>
        <v>16960.441546066926</v>
      </c>
      <c r="R542" s="1242">
        <f t="shared" ca="1" si="278"/>
        <v>30869.374584728452</v>
      </c>
      <c r="S542" s="1242">
        <f t="shared" ca="1" si="278"/>
        <v>43919.68155605199</v>
      </c>
      <c r="T542" s="1242">
        <f t="shared" ca="1" si="278"/>
        <v>57349.366668049915</v>
      </c>
    </row>
    <row r="543" spans="2:20" s="146" customFormat="1" ht="13.5" thickTop="1">
      <c r="I543" s="948"/>
      <c r="N543" s="948"/>
      <c r="O543" s="948"/>
      <c r="P543" s="891"/>
      <c r="Q543" s="891"/>
      <c r="R543" s="891"/>
      <c r="S543" s="891"/>
      <c r="T543" s="891"/>
    </row>
    <row r="544" spans="2:20" s="146" customFormat="1">
      <c r="I544" s="948"/>
      <c r="N544" s="948"/>
      <c r="O544" s="948"/>
      <c r="P544" s="948"/>
      <c r="Q544" s="948"/>
      <c r="R544" s="948"/>
      <c r="S544" s="948"/>
      <c r="T544" s="948"/>
    </row>
    <row r="545" spans="1:23" s="146" customFormat="1">
      <c r="I545" s="948"/>
      <c r="N545" s="948"/>
      <c r="O545" s="948"/>
      <c r="P545" s="948"/>
      <c r="Q545" s="948"/>
      <c r="R545" s="948"/>
      <c r="S545" s="948"/>
      <c r="T545" s="948"/>
    </row>
    <row r="546" spans="1:23" s="146" customFormat="1">
      <c r="I546" s="948"/>
      <c r="N546" s="948"/>
      <c r="O546" s="948"/>
      <c r="P546" s="948"/>
      <c r="Q546" s="948"/>
      <c r="R546" s="948"/>
      <c r="S546" s="948"/>
      <c r="T546" s="948"/>
    </row>
    <row r="547" spans="1:23" s="146" customFormat="1">
      <c r="A547" s="146" t="s">
        <v>615</v>
      </c>
      <c r="B547" s="894" t="s">
        <v>1241</v>
      </c>
      <c r="C547" s="895"/>
      <c r="D547" s="895"/>
      <c r="E547" s="895"/>
      <c r="F547" s="895"/>
      <c r="G547" s="895"/>
      <c r="H547" s="895"/>
      <c r="I547" s="895"/>
      <c r="J547" s="895"/>
      <c r="K547" s="895"/>
      <c r="L547" s="895"/>
      <c r="M547" s="895"/>
      <c r="N547" s="894"/>
      <c r="O547" s="894"/>
      <c r="P547" s="895"/>
      <c r="Q547" s="895"/>
      <c r="R547" s="895"/>
      <c r="S547" s="895"/>
      <c r="T547" s="895"/>
    </row>
    <row r="548" spans="1:23" s="146" customFormat="1">
      <c r="N548" s="147"/>
      <c r="O548" s="147"/>
    </row>
    <row r="549" spans="1:23" s="146" customFormat="1">
      <c r="N549" s="147"/>
      <c r="O549" s="146" t="s">
        <v>1243</v>
      </c>
    </row>
    <row r="550" spans="1:23">
      <c r="A550" s="146" t="s">
        <v>615</v>
      </c>
      <c r="B550" s="249" t="s">
        <v>1092</v>
      </c>
      <c r="C550" s="953"/>
      <c r="D550" s="953"/>
      <c r="E550" s="953"/>
      <c r="F550" s="953"/>
      <c r="G550" s="953"/>
      <c r="H550" s="953"/>
      <c r="I550" s="953"/>
      <c r="J550" s="953"/>
      <c r="K550" s="953"/>
      <c r="L550" s="953"/>
      <c r="M550" s="953"/>
      <c r="N550" s="249" t="s">
        <v>1125</v>
      </c>
      <c r="O550" s="249" t="s">
        <v>1124</v>
      </c>
      <c r="P550" s="953"/>
      <c r="Q550" s="953"/>
      <c r="R550" s="953"/>
      <c r="S550" s="953"/>
      <c r="T550" s="953"/>
    </row>
    <row r="552" spans="1:23">
      <c r="B552" s="146" t="s">
        <v>687</v>
      </c>
      <c r="E552" s="891">
        <f>E612</f>
        <v>7547.3239999999996</v>
      </c>
      <c r="F552" s="891">
        <f t="shared" ref="F552:L552" si="279">F612</f>
        <v>8217.2030000000013</v>
      </c>
      <c r="G552" s="891">
        <f t="shared" si="279"/>
        <v>8103.2769999999991</v>
      </c>
      <c r="H552" s="891">
        <f t="shared" si="279"/>
        <v>8454.8470000000016</v>
      </c>
      <c r="I552" s="891">
        <f t="shared" si="279"/>
        <v>32322.651000000005</v>
      </c>
      <c r="J552" s="891">
        <f t="shared" si="279"/>
        <v>8438.2849999999999</v>
      </c>
      <c r="K552" s="891">
        <f t="shared" si="279"/>
        <v>8613.3120000000017</v>
      </c>
      <c r="L552" s="891">
        <f t="shared" si="279"/>
        <v>8309.8139999999985</v>
      </c>
      <c r="N552" s="891">
        <f t="shared" ref="N552:T552" si="280">N612</f>
        <v>34391.597000000002</v>
      </c>
      <c r="O552" s="891">
        <f>O612</f>
        <v>41495.908510024659</v>
      </c>
      <c r="P552" s="891">
        <f t="shared" si="280"/>
        <v>48717.819545967293</v>
      </c>
      <c r="Q552" s="891">
        <f t="shared" si="280"/>
        <v>50082.407782619586</v>
      </c>
      <c r="R552" s="891">
        <f t="shared" si="280"/>
        <v>51279.775198841642</v>
      </c>
      <c r="S552" s="891">
        <f t="shared" si="280"/>
        <v>52515.314727160716</v>
      </c>
      <c r="T552" s="891">
        <f t="shared" si="280"/>
        <v>53789.923919043686</v>
      </c>
      <c r="W552" s="891">
        <f>W612</f>
        <v>45385.516000000003</v>
      </c>
    </row>
    <row r="553" spans="1:23">
      <c r="B553" s="146" t="s">
        <v>2</v>
      </c>
      <c r="E553" s="891">
        <f>E618</f>
        <v>3583</v>
      </c>
      <c r="F553" s="891">
        <f t="shared" ref="F553:L553" si="281">F618</f>
        <v>4069</v>
      </c>
      <c r="G553" s="891">
        <f t="shared" si="281"/>
        <v>4103</v>
      </c>
      <c r="H553" s="891">
        <f t="shared" si="281"/>
        <v>4130</v>
      </c>
      <c r="I553" s="891">
        <f t="shared" si="281"/>
        <v>15885</v>
      </c>
      <c r="J553" s="891">
        <f t="shared" si="281"/>
        <v>4454</v>
      </c>
      <c r="K553" s="891">
        <f t="shared" si="281"/>
        <v>4503</v>
      </c>
      <c r="L553" s="891">
        <f t="shared" si="281"/>
        <v>4339</v>
      </c>
      <c r="N553" s="891">
        <f t="shared" ref="N553:T553" si="282">N618</f>
        <v>17879</v>
      </c>
      <c r="O553" s="891">
        <f t="shared" si="282"/>
        <v>20677.714631191488</v>
      </c>
      <c r="P553" s="891">
        <f t="shared" si="282"/>
        <v>23816.19512184387</v>
      </c>
      <c r="Q553" s="891">
        <f t="shared" si="282"/>
        <v>25025.885460748661</v>
      </c>
      <c r="R553" s="891">
        <f t="shared" si="282"/>
        <v>26592.193763350788</v>
      </c>
      <c r="S553" s="891">
        <f t="shared" si="282"/>
        <v>27480.438044350718</v>
      </c>
      <c r="T553" s="891">
        <f t="shared" si="282"/>
        <v>28294.364864768864</v>
      </c>
      <c r="W553" s="891">
        <f>W618</f>
        <v>22482.441999999999</v>
      </c>
    </row>
    <row r="554" spans="1:23">
      <c r="B554" s="146" t="s">
        <v>1047</v>
      </c>
      <c r="E554" s="891">
        <f>E623</f>
        <v>2737.9949999999999</v>
      </c>
      <c r="F554" s="891">
        <f t="shared" ref="F554:L554" si="283">F623</f>
        <v>2830.1390000000001</v>
      </c>
      <c r="G554" s="891">
        <f t="shared" si="283"/>
        <v>2956.7470000000012</v>
      </c>
      <c r="H554" s="891">
        <f t="shared" si="283"/>
        <v>2822.8769999999986</v>
      </c>
      <c r="I554" s="891">
        <f t="shared" si="283"/>
        <v>11347.758</v>
      </c>
      <c r="J554" s="891">
        <f t="shared" si="283"/>
        <v>3007.2190000000001</v>
      </c>
      <c r="K554" s="891">
        <f t="shared" si="283"/>
        <v>3166.6189999999997</v>
      </c>
      <c r="L554" s="891">
        <f t="shared" si="283"/>
        <v>2900.0280000000002</v>
      </c>
      <c r="N554" s="891">
        <f t="shared" ref="N554:T554" ca="1" si="284">N623</f>
        <v>12724.890890000001</v>
      </c>
      <c r="O554" s="891">
        <f>O623</f>
        <v>15353.486148709124</v>
      </c>
      <c r="P554" s="891">
        <f t="shared" si="284"/>
        <v>18025.593232007897</v>
      </c>
      <c r="Q554" s="891">
        <f t="shared" si="284"/>
        <v>18530.490879569246</v>
      </c>
      <c r="R554" s="891">
        <f t="shared" si="284"/>
        <v>18973.516823571408</v>
      </c>
      <c r="S554" s="891">
        <f t="shared" si="284"/>
        <v>19430.666449049466</v>
      </c>
      <c r="T554" s="891">
        <f t="shared" si="284"/>
        <v>19902.271850046163</v>
      </c>
      <c r="W554" s="891">
        <f>W623</f>
        <v>16820.708999999999</v>
      </c>
    </row>
    <row r="555" spans="1:23">
      <c r="B555" s="146" t="s">
        <v>77</v>
      </c>
      <c r="E555" s="891">
        <f>E553-E554</f>
        <v>845.00500000000011</v>
      </c>
      <c r="F555" s="891">
        <f t="shared" ref="F555:T555" si="285">F553-F554</f>
        <v>1238.8609999999999</v>
      </c>
      <c r="G555" s="891">
        <f t="shared" si="285"/>
        <v>1146.2529999999988</v>
      </c>
      <c r="H555" s="891">
        <f t="shared" si="285"/>
        <v>1307.1230000000014</v>
      </c>
      <c r="I555" s="891">
        <f t="shared" si="285"/>
        <v>4537.2420000000002</v>
      </c>
      <c r="J555" s="891">
        <f t="shared" si="285"/>
        <v>1446.7809999999999</v>
      </c>
      <c r="K555" s="891">
        <f t="shared" si="285"/>
        <v>1336.3810000000003</v>
      </c>
      <c r="L555" s="891">
        <f t="shared" si="285"/>
        <v>1438.9719999999998</v>
      </c>
      <c r="N555" s="891">
        <f t="shared" ca="1" si="285"/>
        <v>5154.1091099999994</v>
      </c>
      <c r="O555" s="891">
        <f t="shared" si="285"/>
        <v>5324.2284824823637</v>
      </c>
      <c r="P555" s="891">
        <f t="shared" si="285"/>
        <v>5790.6018898359725</v>
      </c>
      <c r="Q555" s="891">
        <f t="shared" si="285"/>
        <v>6495.3945811794147</v>
      </c>
      <c r="R555" s="891">
        <f t="shared" si="285"/>
        <v>7618.6769397793796</v>
      </c>
      <c r="S555" s="891">
        <f t="shared" si="285"/>
        <v>8049.7715953012521</v>
      </c>
      <c r="T555" s="891">
        <f t="shared" si="285"/>
        <v>8392.0930147227009</v>
      </c>
      <c r="W555" s="891">
        <f>W553-W554</f>
        <v>5661.7330000000002</v>
      </c>
    </row>
    <row r="556" spans="1:23" s="892" customFormat="1">
      <c r="A556" s="147"/>
      <c r="B556" s="147" t="s">
        <v>798</v>
      </c>
    </row>
    <row r="557" spans="1:23">
      <c r="B557" s="146" t="s">
        <v>173</v>
      </c>
      <c r="E557" s="891">
        <f>E628</f>
        <v>-655.048</v>
      </c>
      <c r="F557" s="891">
        <f t="shared" ref="F557:O557" si="286">F628</f>
        <v>-709.16499999999996</v>
      </c>
      <c r="G557" s="891">
        <f t="shared" si="286"/>
        <v>-739.47500000000014</v>
      </c>
      <c r="H557" s="891">
        <f t="shared" si="286"/>
        <v>-736.19499999999971</v>
      </c>
      <c r="I557" s="891">
        <f t="shared" si="286"/>
        <v>-2839.8829999999998</v>
      </c>
      <c r="J557" s="891">
        <f t="shared" si="286"/>
        <v>-742.48500000000001</v>
      </c>
      <c r="K557" s="891">
        <f t="shared" si="286"/>
        <v>-765.21300000000008</v>
      </c>
      <c r="L557" s="891">
        <f t="shared" si="286"/>
        <v>-741.04999999999984</v>
      </c>
      <c r="N557" s="891">
        <f t="shared" si="286"/>
        <v>-3032.5460000000003</v>
      </c>
      <c r="O557" s="891">
        <f t="shared" si="286"/>
        <v>-5687.105772669036</v>
      </c>
      <c r="W557" s="891">
        <f>W628</f>
        <v>-2031.0969999999998</v>
      </c>
    </row>
    <row r="558" spans="1:23">
      <c r="B558" s="146" t="s">
        <v>355</v>
      </c>
    </row>
    <row r="559" spans="1:23">
      <c r="B559" s="146" t="s">
        <v>501</v>
      </c>
    </row>
    <row r="560" spans="1:23">
      <c r="B560" s="147" t="s">
        <v>799</v>
      </c>
      <c r="E560" s="891">
        <f>E633</f>
        <v>47.819999999999936</v>
      </c>
      <c r="F560" s="891">
        <f t="shared" ref="F560:L560" si="287">F633</f>
        <v>35.860000000000127</v>
      </c>
      <c r="G560" s="891">
        <f t="shared" si="287"/>
        <v>40.446000000001277</v>
      </c>
      <c r="H560" s="891">
        <f t="shared" si="287"/>
        <v>-116.96800000000167</v>
      </c>
      <c r="I560" s="891">
        <f t="shared" si="287"/>
        <v>7.157999999999447</v>
      </c>
      <c r="J560" s="891">
        <f t="shared" si="287"/>
        <v>-27.099999999999909</v>
      </c>
      <c r="K560" s="891">
        <f t="shared" si="287"/>
        <v>89.967999999999847</v>
      </c>
      <c r="L560" s="891">
        <f t="shared" si="287"/>
        <v>-282.32000000000016</v>
      </c>
      <c r="W560" s="891">
        <f>W633</f>
        <v>1996.5579999999998</v>
      </c>
    </row>
    <row r="561" spans="2:23">
      <c r="B561" s="146" t="s">
        <v>809</v>
      </c>
      <c r="E561" s="891">
        <f>E638</f>
        <v>-33.601999999999975</v>
      </c>
      <c r="F561" s="891">
        <f t="shared" ref="F561:N561" si="288">F638</f>
        <v>-112.20700000000005</v>
      </c>
      <c r="G561" s="891">
        <f t="shared" si="288"/>
        <v>-86.165000000000077</v>
      </c>
      <c r="H561" s="891">
        <f t="shared" si="288"/>
        <v>-188.09499999999997</v>
      </c>
      <c r="I561" s="891">
        <f t="shared" si="288"/>
        <v>-420.06900000000007</v>
      </c>
      <c r="J561" s="891">
        <f t="shared" si="288"/>
        <v>-129.76600000000008</v>
      </c>
      <c r="K561" s="891">
        <f t="shared" si="288"/>
        <v>-171.40100000000007</v>
      </c>
      <c r="L561" s="891">
        <f t="shared" si="288"/>
        <v>-117.8349999999997</v>
      </c>
      <c r="N561" s="891">
        <f t="shared" si="288"/>
        <v>-579.59399999999994</v>
      </c>
      <c r="W561" s="891">
        <f>W638</f>
        <v>-912.79599999999982</v>
      </c>
    </row>
    <row r="562" spans="2:23">
      <c r="B562" s="147" t="s">
        <v>417</v>
      </c>
    </row>
    <row r="563" spans="2:23">
      <c r="B563" s="146" t="s">
        <v>1048</v>
      </c>
    </row>
    <row r="564" spans="2:23">
      <c r="B564" s="146" t="s">
        <v>1049</v>
      </c>
      <c r="E564" s="892">
        <f>E643</f>
        <v>204.17500000000007</v>
      </c>
      <c r="F564" s="892">
        <f t="shared" ref="F564:L564" si="289">F643</f>
        <v>453.34899999999999</v>
      </c>
      <c r="G564" s="892">
        <f t="shared" si="289"/>
        <v>361.05899999999986</v>
      </c>
      <c r="H564" s="892">
        <f t="shared" si="289"/>
        <v>265.86500000000007</v>
      </c>
      <c r="I564" s="892">
        <f t="shared" si="289"/>
        <v>1284.4479999999999</v>
      </c>
      <c r="J564" s="892">
        <f t="shared" si="289"/>
        <v>547.42999999999995</v>
      </c>
      <c r="K564" s="892">
        <f t="shared" si="289"/>
        <v>489.73500000000001</v>
      </c>
      <c r="L564" s="892">
        <f t="shared" si="289"/>
        <v>297.76700000000005</v>
      </c>
      <c r="M564" s="892"/>
      <c r="N564" s="892">
        <f t="shared" ref="N564" si="290">N641</f>
        <v>1847.6309999999999</v>
      </c>
      <c r="W564" s="892">
        <f>W643</f>
        <v>1083.796</v>
      </c>
    </row>
    <row r="567" spans="2:23">
      <c r="B567" s="147" t="s">
        <v>248</v>
      </c>
      <c r="D567" s="891">
        <f>D649</f>
        <v>0</v>
      </c>
      <c r="E567" s="891">
        <f t="shared" ref="E567:T567" si="291">E649</f>
        <v>1413</v>
      </c>
      <c r="F567" s="891">
        <f t="shared" si="291"/>
        <v>1743</v>
      </c>
      <c r="G567" s="891">
        <f t="shared" si="291"/>
        <v>2389</v>
      </c>
      <c r="H567" s="891">
        <f t="shared" si="291"/>
        <v>1613</v>
      </c>
      <c r="I567" s="891">
        <f t="shared" si="291"/>
        <v>7158</v>
      </c>
      <c r="J567" s="891">
        <f t="shared" si="291"/>
        <v>2057</v>
      </c>
      <c r="K567" s="891">
        <f t="shared" si="291"/>
        <v>2088</v>
      </c>
      <c r="L567" s="891">
        <f t="shared" si="291"/>
        <v>1504</v>
      </c>
      <c r="N567" s="891">
        <f t="shared" si="291"/>
        <v>7382</v>
      </c>
      <c r="O567" s="891">
        <f t="shared" si="291"/>
        <v>9119.1215112211376</v>
      </c>
      <c r="P567" s="891">
        <f t="shared" si="291"/>
        <v>10292.561657662129</v>
      </c>
      <c r="Q567" s="891">
        <f t="shared" si="291"/>
        <v>9516.3265233291695</v>
      </c>
      <c r="R567" s="891">
        <f t="shared" si="291"/>
        <v>8325.6603948013108</v>
      </c>
      <c r="S567" s="891">
        <f t="shared" si="291"/>
        <v>8374.7122289211238</v>
      </c>
      <c r="T567" s="891">
        <f t="shared" si="291"/>
        <v>8671.4778017999288</v>
      </c>
      <c r="W567" s="891">
        <f>W649</f>
        <v>8428.7999999999993</v>
      </c>
    </row>
    <row r="571" spans="2:23">
      <c r="B571" s="147" t="s">
        <v>1060</v>
      </c>
    </row>
    <row r="572" spans="2:23">
      <c r="B572" s="146" t="s">
        <v>88</v>
      </c>
      <c r="J572" s="170">
        <f t="shared" ref="J572:L573" si="292">IFERROR(J552/E552-1,"")</f>
        <v>0.11804992074011933</v>
      </c>
      <c r="K572" s="170">
        <f t="shared" si="292"/>
        <v>4.8204845371350835E-2</v>
      </c>
      <c r="L572" s="170">
        <f t="shared" si="292"/>
        <v>2.548808340132025E-2</v>
      </c>
      <c r="M572" s="170"/>
      <c r="N572" s="170">
        <f>IFERROR(N552/I552-1,"")</f>
        <v>6.4009168059884658E-2</v>
      </c>
      <c r="O572" s="170">
        <f t="shared" ref="O572:T573" si="293">IFERROR(O552/N552-1,"")</f>
        <v>0.20657114323666503</v>
      </c>
      <c r="P572" s="170">
        <f t="shared" si="293"/>
        <v>0.17403911121015581</v>
      </c>
      <c r="Q572" s="170">
        <f t="shared" si="293"/>
        <v>2.8010043334651957E-2</v>
      </c>
      <c r="R572" s="170">
        <f t="shared" si="293"/>
        <v>2.3907944310888052E-2</v>
      </c>
      <c r="S572" s="170">
        <f t="shared" si="293"/>
        <v>2.4094090185227346E-2</v>
      </c>
      <c r="T572" s="170">
        <f t="shared" si="293"/>
        <v>2.427119019480517E-2</v>
      </c>
      <c r="W572" s="170"/>
    </row>
    <row r="573" spans="2:23">
      <c r="B573" s="146" t="s">
        <v>1061</v>
      </c>
      <c r="J573" s="170">
        <f t="shared" si="292"/>
        <v>0.24309238068657546</v>
      </c>
      <c r="K573" s="170">
        <f t="shared" si="292"/>
        <v>0.10666011304988943</v>
      </c>
      <c r="L573" s="170">
        <f t="shared" si="292"/>
        <v>5.7518888618084407E-2</v>
      </c>
      <c r="M573" s="170"/>
      <c r="N573" s="170">
        <f>IFERROR(N553/I553-1,"")</f>
        <v>0.12552722694365759</v>
      </c>
      <c r="O573" s="170">
        <f t="shared" si="293"/>
        <v>0.15653641877014857</v>
      </c>
      <c r="P573" s="170">
        <f t="shared" si="293"/>
        <v>0.15178082039676255</v>
      </c>
      <c r="Q573" s="170">
        <f t="shared" si="293"/>
        <v>5.0792762349989307E-2</v>
      </c>
      <c r="R573" s="170">
        <f t="shared" si="293"/>
        <v>6.2587527824291112E-2</v>
      </c>
      <c r="S573" s="170">
        <f t="shared" si="293"/>
        <v>3.3402444676230658E-2</v>
      </c>
      <c r="T573" s="170">
        <f t="shared" si="293"/>
        <v>2.9618407796285773E-2</v>
      </c>
      <c r="W573" s="170"/>
    </row>
    <row r="574" spans="2:23">
      <c r="B574" s="146" t="s">
        <v>1062</v>
      </c>
      <c r="J574" s="170">
        <f>IFERROR(J564/E564-1,"")</f>
        <v>1.6811803599853055</v>
      </c>
      <c r="K574" s="170">
        <f t="shared" ref="K574:L574" si="294">IFERROR(K564/F564-1,"")</f>
        <v>8.0260461586989296E-2</v>
      </c>
      <c r="L574" s="170">
        <f t="shared" si="294"/>
        <v>-0.17529545032806226</v>
      </c>
      <c r="M574" s="170"/>
      <c r="N574" s="170">
        <f>IFERROR(N564/I564-1,"")</f>
        <v>0.43846305961782805</v>
      </c>
      <c r="O574" s="170">
        <f t="shared" ref="O574:T574" si="295">IFERROR(O564/N564-1,"")</f>
        <v>-1</v>
      </c>
      <c r="P574" s="170" t="str">
        <f t="shared" si="295"/>
        <v/>
      </c>
      <c r="Q574" s="170" t="str">
        <f t="shared" si="295"/>
        <v/>
      </c>
      <c r="R574" s="170" t="str">
        <f t="shared" si="295"/>
        <v/>
      </c>
      <c r="S574" s="170" t="str">
        <f t="shared" si="295"/>
        <v/>
      </c>
      <c r="T574" s="170" t="str">
        <f t="shared" si="295"/>
        <v/>
      </c>
      <c r="W574" s="170"/>
    </row>
    <row r="576" spans="2:23">
      <c r="B576" s="146" t="s">
        <v>4</v>
      </c>
      <c r="I576" s="170">
        <f>I553/I$552</f>
        <v>0.49145102609312574</v>
      </c>
      <c r="N576" s="170">
        <f t="shared" ref="N576:T576" si="296">N553/N$552</f>
        <v>0.51986536129741223</v>
      </c>
      <c r="O576" s="170">
        <f t="shared" si="296"/>
        <v>0.49830731206176931</v>
      </c>
      <c r="P576" s="170">
        <f t="shared" si="296"/>
        <v>0.48886003815035889</v>
      </c>
      <c r="Q576" s="170">
        <f t="shared" si="296"/>
        <v>0.49969413550108011</v>
      </c>
      <c r="R576" s="170">
        <f t="shared" si="296"/>
        <v>0.5185707944357657</v>
      </c>
      <c r="S576" s="170">
        <f t="shared" si="296"/>
        <v>0.52328426835339792</v>
      </c>
      <c r="T576" s="170">
        <f t="shared" si="296"/>
        <v>0.52601607891011681</v>
      </c>
      <c r="W576" s="170">
        <f>W553/W$552</f>
        <v>0.49536601060126756</v>
      </c>
    </row>
    <row r="577" spans="1:23">
      <c r="B577" s="146" t="s">
        <v>1063</v>
      </c>
      <c r="N577" s="170">
        <f>N564/N$552</f>
        <v>5.3723326660288555E-2</v>
      </c>
      <c r="O577" s="170">
        <f t="shared" ref="O577:T577" si="297">O564/O$552</f>
        <v>0</v>
      </c>
      <c r="P577" s="170">
        <f t="shared" si="297"/>
        <v>0</v>
      </c>
      <c r="Q577" s="170">
        <f t="shared" si="297"/>
        <v>0</v>
      </c>
      <c r="R577" s="170">
        <f t="shared" si="297"/>
        <v>0</v>
      </c>
      <c r="S577" s="170">
        <f t="shared" si="297"/>
        <v>0</v>
      </c>
      <c r="T577" s="170">
        <f t="shared" si="297"/>
        <v>0</v>
      </c>
      <c r="W577" s="170">
        <f>W564/W$552</f>
        <v>2.3879776975544355E-2</v>
      </c>
    </row>
    <row r="578" spans="1:23">
      <c r="B578" s="146" t="s">
        <v>162</v>
      </c>
      <c r="E578" s="170">
        <f>E567/E$552</f>
        <v>0.18721867512246726</v>
      </c>
      <c r="F578" s="170">
        <f t="shared" ref="F578:N578" si="298">F567/F$552</f>
        <v>0.21211597182155531</v>
      </c>
      <c r="G578" s="170">
        <f t="shared" si="298"/>
        <v>0.29481899730195577</v>
      </c>
      <c r="H578" s="170">
        <f t="shared" si="298"/>
        <v>0.19077814181616767</v>
      </c>
      <c r="I578" s="170">
        <f t="shared" si="298"/>
        <v>0.22145460779191653</v>
      </c>
      <c r="J578" s="170">
        <f t="shared" si="298"/>
        <v>0.24376991296217182</v>
      </c>
      <c r="K578" s="170">
        <f t="shared" si="298"/>
        <v>0.24241546109092527</v>
      </c>
      <c r="L578" s="170">
        <f t="shared" si="298"/>
        <v>0.18099081399415201</v>
      </c>
      <c r="M578" s="170"/>
      <c r="N578" s="170">
        <f t="shared" si="298"/>
        <v>0.21464545540005017</v>
      </c>
      <c r="O578" s="170">
        <f t="shared" ref="O578:T578" si="299">O567/O$552</f>
        <v>0.219759533859058</v>
      </c>
      <c r="P578" s="170">
        <f t="shared" si="299"/>
        <v>0.2112689310315021</v>
      </c>
      <c r="Q578" s="170">
        <f t="shared" si="299"/>
        <v>0.19001335887512341</v>
      </c>
      <c r="R578" s="170">
        <f t="shared" si="299"/>
        <v>0.16235758371634551</v>
      </c>
      <c r="S578" s="170">
        <f t="shared" si="299"/>
        <v>0.15947180879389752</v>
      </c>
      <c r="T578" s="170">
        <f t="shared" si="299"/>
        <v>0.16121007746452481</v>
      </c>
      <c r="W578" s="170">
        <f>W567/W$552</f>
        <v>0.1857156366802131</v>
      </c>
    </row>
    <row r="581" spans="1:23">
      <c r="A581" s="146" t="s">
        <v>615</v>
      </c>
      <c r="B581" s="147" t="s">
        <v>1045</v>
      </c>
    </row>
    <row r="583" spans="1:23">
      <c r="B583" s="146" t="s">
        <v>1070</v>
      </c>
      <c r="W583" s="891">
        <f>W654</f>
        <v>18729.629999999997</v>
      </c>
    </row>
    <row r="584" spans="1:23">
      <c r="B584" s="146" t="s">
        <v>978</v>
      </c>
      <c r="W584" s="891">
        <f>W659</f>
        <v>45331.37</v>
      </c>
    </row>
    <row r="585" spans="1:23">
      <c r="B585" s="146" t="s">
        <v>1069</v>
      </c>
      <c r="W585" s="891">
        <f>W666</f>
        <v>3938</v>
      </c>
    </row>
    <row r="587" spans="1:23" s="892" customFormat="1">
      <c r="A587" s="147"/>
      <c r="B587" s="147" t="s">
        <v>1019</v>
      </c>
      <c r="W587" s="892">
        <f>W583-W585</f>
        <v>14791.629999999997</v>
      </c>
    </row>
    <row r="588" spans="1:23">
      <c r="B588" s="919" t="s">
        <v>1072</v>
      </c>
      <c r="W588" s="891">
        <f>W584</f>
        <v>45331.37</v>
      </c>
    </row>
    <row r="589" spans="1:23" s="892" customFormat="1">
      <c r="A589" s="147"/>
      <c r="B589" s="147" t="s">
        <v>150</v>
      </c>
      <c r="W589" s="892">
        <f>W587+W588</f>
        <v>60123</v>
      </c>
    </row>
    <row r="590" spans="1:23">
      <c r="B590" s="146" t="s">
        <v>1071</v>
      </c>
      <c r="W590" s="918">
        <f>W589/W553</f>
        <v>2.6742201759043791</v>
      </c>
    </row>
    <row r="593" spans="1:23">
      <c r="A593" s="146" t="s">
        <v>615</v>
      </c>
      <c r="B593" s="147" t="s">
        <v>140</v>
      </c>
    </row>
    <row r="595" spans="1:23">
      <c r="B595" s="924" t="s">
        <v>2</v>
      </c>
      <c r="I595" s="891">
        <f>I553</f>
        <v>15885</v>
      </c>
      <c r="N595" s="891">
        <f t="shared" ref="N595:T595" si="300">N553</f>
        <v>17879</v>
      </c>
      <c r="O595" s="891">
        <f t="shared" si="300"/>
        <v>20677.714631191488</v>
      </c>
      <c r="P595" s="891">
        <f t="shared" si="300"/>
        <v>23816.19512184387</v>
      </c>
      <c r="Q595" s="891">
        <f t="shared" si="300"/>
        <v>25025.885460748661</v>
      </c>
      <c r="R595" s="891">
        <f t="shared" si="300"/>
        <v>26592.193763350788</v>
      </c>
      <c r="S595" s="891">
        <f t="shared" si="300"/>
        <v>27480.438044350718</v>
      </c>
      <c r="T595" s="891">
        <f t="shared" si="300"/>
        <v>28294.364864768864</v>
      </c>
    </row>
    <row r="596" spans="1:23">
      <c r="B596" s="924" t="s">
        <v>1073</v>
      </c>
      <c r="D596" s="914"/>
      <c r="I596" s="914">
        <f>'Balance Sheet and Cflow'!S258</f>
        <v>-2705.6169999999993</v>
      </c>
    </row>
    <row r="597" spans="1:23">
      <c r="B597" s="924" t="s">
        <v>1074</v>
      </c>
      <c r="I597" s="891">
        <f>-I13*I555</f>
        <v>-998.19324000000006</v>
      </c>
      <c r="N597" s="891">
        <f t="shared" ref="N597:T597" ca="1" si="301">-N13*N555</f>
        <v>-1133.9040041999999</v>
      </c>
      <c r="O597" s="891">
        <f t="shared" si="301"/>
        <v>-1171.33026614612</v>
      </c>
      <c r="P597" s="891">
        <f t="shared" si="301"/>
        <v>-1273.9324157639139</v>
      </c>
      <c r="Q597" s="891">
        <f t="shared" si="301"/>
        <v>-1428.9868078594711</v>
      </c>
      <c r="R597" s="891">
        <f t="shared" si="301"/>
        <v>-1676.1089267514635</v>
      </c>
      <c r="S597" s="891">
        <f t="shared" si="301"/>
        <v>-1770.9497509662754</v>
      </c>
      <c r="T597" s="891">
        <f t="shared" si="301"/>
        <v>-1846.2604632389941</v>
      </c>
    </row>
    <row r="598" spans="1:23">
      <c r="B598" s="924" t="s">
        <v>1029</v>
      </c>
      <c r="I598" s="891">
        <f>-I567</f>
        <v>-7158</v>
      </c>
      <c r="N598" s="891">
        <f>-N567</f>
        <v>-7382</v>
      </c>
      <c r="O598" s="891">
        <f t="shared" ref="O598:T598" si="302">-O567</f>
        <v>-9119.1215112211376</v>
      </c>
      <c r="P598" s="891">
        <f t="shared" si="302"/>
        <v>-10292.561657662129</v>
      </c>
      <c r="Q598" s="891">
        <f t="shared" si="302"/>
        <v>-9516.3265233291695</v>
      </c>
      <c r="R598" s="891">
        <f t="shared" si="302"/>
        <v>-8325.6603948013108</v>
      </c>
      <c r="S598" s="891">
        <f t="shared" si="302"/>
        <v>-8374.7122289211238</v>
      </c>
      <c r="T598" s="891">
        <f t="shared" si="302"/>
        <v>-8671.4778017999288</v>
      </c>
    </row>
    <row r="599" spans="1:23">
      <c r="B599" s="924" t="s">
        <v>501</v>
      </c>
    </row>
    <row r="600" spans="1:23">
      <c r="B600" s="925" t="s">
        <v>1075</v>
      </c>
      <c r="C600" s="922"/>
      <c r="D600" s="922"/>
      <c r="E600" s="922"/>
      <c r="F600" s="922"/>
      <c r="G600" s="922"/>
      <c r="H600" s="922"/>
      <c r="I600" s="922">
        <f>SUM(I595:I599)</f>
        <v>5023.1897600000011</v>
      </c>
      <c r="J600" s="922"/>
      <c r="K600" s="922"/>
      <c r="L600" s="922"/>
      <c r="M600" s="922"/>
      <c r="N600" s="922">
        <f ca="1">SUM(N595:N599)</f>
        <v>9363.0959957999985</v>
      </c>
      <c r="O600" s="922">
        <f t="shared" ref="O600:T600" si="303">SUM(O595:O599)</f>
        <v>10387.26285382423</v>
      </c>
      <c r="P600" s="922">
        <f t="shared" si="303"/>
        <v>12249.701048417828</v>
      </c>
      <c r="Q600" s="922">
        <f t="shared" si="303"/>
        <v>14080.572129560021</v>
      </c>
      <c r="R600" s="922">
        <f t="shared" si="303"/>
        <v>16590.424441798012</v>
      </c>
      <c r="S600" s="922">
        <f t="shared" si="303"/>
        <v>17334.776064463316</v>
      </c>
      <c r="T600" s="922">
        <f t="shared" si="303"/>
        <v>17776.626599729942</v>
      </c>
      <c r="W600" s="922"/>
    </row>
    <row r="601" spans="1:23">
      <c r="B601" s="924" t="s">
        <v>1076</v>
      </c>
    </row>
    <row r="602" spans="1:23">
      <c r="B602" s="924" t="s">
        <v>1077</v>
      </c>
    </row>
    <row r="603" spans="1:23">
      <c r="B603" s="924" t="s">
        <v>1078</v>
      </c>
    </row>
    <row r="604" spans="1:23">
      <c r="B604" s="925" t="s">
        <v>1079</v>
      </c>
      <c r="C604" s="922"/>
      <c r="D604" s="922"/>
      <c r="E604" s="922"/>
      <c r="F604" s="922"/>
      <c r="G604" s="922"/>
      <c r="H604" s="922"/>
      <c r="I604" s="922"/>
      <c r="J604" s="922"/>
      <c r="K604" s="922"/>
      <c r="L604" s="922"/>
      <c r="M604" s="922"/>
      <c r="N604" s="922"/>
      <c r="O604" s="922"/>
      <c r="P604" s="922"/>
      <c r="Q604" s="922"/>
      <c r="R604" s="922"/>
      <c r="S604" s="922"/>
      <c r="T604" s="922"/>
      <c r="W604" s="922"/>
    </row>
    <row r="606" spans="1:23">
      <c r="A606" s="146" t="s">
        <v>615</v>
      </c>
      <c r="B606" s="894" t="s">
        <v>1240</v>
      </c>
      <c r="C606" s="895"/>
      <c r="D606" s="895"/>
      <c r="E606" s="895"/>
      <c r="F606" s="895"/>
      <c r="G606" s="895"/>
      <c r="H606" s="895"/>
      <c r="I606" s="895"/>
      <c r="J606" s="895"/>
      <c r="K606" s="895"/>
      <c r="L606" s="895"/>
      <c r="M606" s="895"/>
      <c r="N606" s="895"/>
      <c r="O606" s="895"/>
      <c r="P606" s="895"/>
      <c r="Q606" s="895"/>
      <c r="R606" s="895"/>
      <c r="S606" s="895"/>
      <c r="T606" s="895"/>
      <c r="W606" s="895"/>
    </row>
    <row r="607" spans="1:23" outlineLevel="1"/>
    <row r="608" spans="1:23" outlineLevel="1">
      <c r="B608" s="147" t="s">
        <v>687</v>
      </c>
    </row>
    <row r="609" spans="1:23" outlineLevel="1">
      <c r="B609" s="146" t="s">
        <v>524</v>
      </c>
      <c r="E609" s="891">
        <f>E672</f>
        <v>7547.3239999999996</v>
      </c>
      <c r="F609" s="891">
        <f t="shared" ref="F609:H609" si="304">F672</f>
        <v>8217.2030000000013</v>
      </c>
      <c r="G609" s="891">
        <f t="shared" si="304"/>
        <v>8103.2769999999991</v>
      </c>
      <c r="H609" s="891">
        <f t="shared" si="304"/>
        <v>8454.8470000000016</v>
      </c>
      <c r="I609" s="891">
        <f>I672</f>
        <v>32322.651000000005</v>
      </c>
      <c r="J609" s="891">
        <f t="shared" ref="J609:T609" si="305">J672</f>
        <v>8438.2849999999999</v>
      </c>
      <c r="K609" s="891">
        <f t="shared" si="305"/>
        <v>8613.3120000000017</v>
      </c>
      <c r="L609" s="891">
        <f t="shared" si="305"/>
        <v>8309.8139999999985</v>
      </c>
      <c r="M609" s="891">
        <f>N609-L609-K609-J609</f>
        <v>9030.1860000000015</v>
      </c>
      <c r="N609" s="891">
        <f t="shared" si="305"/>
        <v>34391.597000000002</v>
      </c>
      <c r="O609" s="891">
        <f t="shared" si="305"/>
        <v>35587.496824788599</v>
      </c>
      <c r="P609" s="891">
        <f t="shared" si="305"/>
        <v>36573.570536637868</v>
      </c>
      <c r="Q609" s="891">
        <f t="shared" si="305"/>
        <v>37597.997832272042</v>
      </c>
      <c r="R609" s="891">
        <f t="shared" si="305"/>
        <v>38496.888670646891</v>
      </c>
      <c r="S609" s="891">
        <f t="shared" si="305"/>
        <v>39424.436178128111</v>
      </c>
      <c r="T609" s="891">
        <f t="shared" si="305"/>
        <v>40381.314166930417</v>
      </c>
      <c r="W609" s="891">
        <f>W672</f>
        <v>33816.258000000002</v>
      </c>
    </row>
    <row r="610" spans="1:23" outlineLevel="1">
      <c r="B610" s="146" t="s">
        <v>856</v>
      </c>
      <c r="N610" s="891">
        <f t="shared" ref="N610:T610" si="306">N711*N19</f>
        <v>0</v>
      </c>
      <c r="O610" s="891">
        <f t="shared" si="306"/>
        <v>5908.4116852360612</v>
      </c>
      <c r="P610" s="891">
        <f t="shared" si="306"/>
        <v>12144.249009329425</v>
      </c>
      <c r="Q610" s="891">
        <f t="shared" si="306"/>
        <v>12484.409950347546</v>
      </c>
      <c r="R610" s="891">
        <f t="shared" si="306"/>
        <v>12782.886528194753</v>
      </c>
      <c r="S610" s="891">
        <f t="shared" si="306"/>
        <v>13090.878549032604</v>
      </c>
      <c r="T610" s="891">
        <f t="shared" si="306"/>
        <v>13408.609752113271</v>
      </c>
      <c r="W610" s="891">
        <f>W711</f>
        <v>11569.258000000002</v>
      </c>
    </row>
    <row r="611" spans="1:23" outlineLevel="1">
      <c r="B611" s="146" t="s">
        <v>879</v>
      </c>
    </row>
    <row r="612" spans="1:23" s="892" customFormat="1" outlineLevel="1">
      <c r="A612" s="147"/>
      <c r="B612" s="147" t="s">
        <v>6</v>
      </c>
      <c r="E612" s="892">
        <f>SUM(E609:E610)</f>
        <v>7547.3239999999996</v>
      </c>
      <c r="F612" s="892">
        <f t="shared" ref="F612:M612" si="307">SUM(F609:F610)</f>
        <v>8217.2030000000013</v>
      </c>
      <c r="G612" s="892">
        <f t="shared" si="307"/>
        <v>8103.2769999999991</v>
      </c>
      <c r="H612" s="892">
        <f t="shared" si="307"/>
        <v>8454.8470000000016</v>
      </c>
      <c r="I612" s="892">
        <f t="shared" si="307"/>
        <v>32322.651000000005</v>
      </c>
      <c r="J612" s="892">
        <f t="shared" si="307"/>
        <v>8438.2849999999999</v>
      </c>
      <c r="K612" s="892">
        <f t="shared" si="307"/>
        <v>8613.3120000000017</v>
      </c>
      <c r="L612" s="892">
        <f t="shared" si="307"/>
        <v>8309.8139999999985</v>
      </c>
      <c r="M612" s="892">
        <f t="shared" si="307"/>
        <v>9030.1860000000015</v>
      </c>
      <c r="N612" s="892">
        <f>SUM(N609:N611)</f>
        <v>34391.597000000002</v>
      </c>
      <c r="O612" s="892">
        <f t="shared" ref="O612:T612" si="308">SUM(O609:O611)</f>
        <v>41495.908510024659</v>
      </c>
      <c r="P612" s="892">
        <f t="shared" si="308"/>
        <v>48717.819545967293</v>
      </c>
      <c r="Q612" s="892">
        <f t="shared" si="308"/>
        <v>50082.407782619586</v>
      </c>
      <c r="R612" s="892">
        <f t="shared" si="308"/>
        <v>51279.775198841642</v>
      </c>
      <c r="S612" s="892">
        <f t="shared" si="308"/>
        <v>52515.314727160716</v>
      </c>
      <c r="T612" s="892">
        <f t="shared" si="308"/>
        <v>53789.923919043686</v>
      </c>
      <c r="W612" s="892">
        <f>SUM(W609:W610)</f>
        <v>45385.516000000003</v>
      </c>
    </row>
    <row r="613" spans="1:23" outlineLevel="1"/>
    <row r="614" spans="1:23" outlineLevel="1">
      <c r="B614" s="147" t="s">
        <v>2</v>
      </c>
    </row>
    <row r="615" spans="1:23" outlineLevel="1">
      <c r="B615" s="146" t="s">
        <v>524</v>
      </c>
      <c r="E615" s="891">
        <f>E681</f>
        <v>3583</v>
      </c>
      <c r="F615" s="891">
        <f t="shared" ref="F615:H615" si="309">F681</f>
        <v>4069</v>
      </c>
      <c r="G615" s="891">
        <f t="shared" si="309"/>
        <v>4103</v>
      </c>
      <c r="H615" s="891">
        <f t="shared" si="309"/>
        <v>4130</v>
      </c>
      <c r="I615" s="891">
        <f>I681</f>
        <v>15885</v>
      </c>
      <c r="J615" s="891">
        <f t="shared" ref="J615:T615" si="310">J681</f>
        <v>4454</v>
      </c>
      <c r="K615" s="891">
        <f t="shared" si="310"/>
        <v>4503</v>
      </c>
      <c r="L615" s="891">
        <f t="shared" si="310"/>
        <v>4339</v>
      </c>
      <c r="M615" s="891">
        <f>N615-L615-K615-J615</f>
        <v>4583</v>
      </c>
      <c r="N615" s="891">
        <f t="shared" si="310"/>
        <v>17879</v>
      </c>
      <c r="O615" s="891">
        <f t="shared" si="310"/>
        <v>18399.161545411829</v>
      </c>
      <c r="P615" s="891">
        <f t="shared" si="310"/>
        <v>18945.54702009344</v>
      </c>
      <c r="Q615" s="891">
        <f t="shared" si="310"/>
        <v>19513.810610957211</v>
      </c>
      <c r="R615" s="891">
        <f t="shared" si="310"/>
        <v>20229.790081093579</v>
      </c>
      <c r="S615" s="891">
        <f t="shared" si="310"/>
        <v>20756.632903913796</v>
      </c>
      <c r="T615" s="891">
        <f t="shared" si="310"/>
        <v>21300.802403095364</v>
      </c>
      <c r="W615" s="891">
        <f>W681</f>
        <v>17426</v>
      </c>
    </row>
    <row r="616" spans="1:23" outlineLevel="1">
      <c r="B616" s="146" t="s">
        <v>856</v>
      </c>
      <c r="N616" s="891">
        <f t="shared" ref="N616:T616" si="311">N720*N19</f>
        <v>0</v>
      </c>
      <c r="O616" s="891">
        <f t="shared" si="311"/>
        <v>2369.2730857796605</v>
      </c>
      <c r="P616" s="891">
        <f t="shared" si="311"/>
        <v>4881.9881017504295</v>
      </c>
      <c r="Q616" s="891">
        <f t="shared" si="311"/>
        <v>5081.1548497914519</v>
      </c>
      <c r="R616" s="891">
        <f t="shared" si="311"/>
        <v>5330.463682257212</v>
      </c>
      <c r="S616" s="891">
        <f t="shared" si="311"/>
        <v>5589.8051404369226</v>
      </c>
      <c r="T616" s="891">
        <f t="shared" si="311"/>
        <v>5859.5624616735004</v>
      </c>
      <c r="W616" s="891">
        <f>W720</f>
        <v>5056.442</v>
      </c>
    </row>
    <row r="617" spans="1:23" outlineLevel="1">
      <c r="B617" s="146" t="s">
        <v>879</v>
      </c>
      <c r="O617" s="891">
        <f t="shared" ref="O617:T617" si="312">O100</f>
        <v>-90.720000000000027</v>
      </c>
      <c r="P617" s="891">
        <f t="shared" si="312"/>
        <v>-11.340000000000089</v>
      </c>
      <c r="Q617" s="891">
        <f t="shared" si="312"/>
        <v>430.91999999999996</v>
      </c>
      <c r="R617" s="891">
        <f t="shared" si="312"/>
        <v>1031.94</v>
      </c>
      <c r="S617" s="891">
        <f t="shared" si="312"/>
        <v>1134</v>
      </c>
      <c r="T617" s="891">
        <f t="shared" si="312"/>
        <v>1134</v>
      </c>
    </row>
    <row r="618" spans="1:23" s="892" customFormat="1" outlineLevel="1">
      <c r="A618" s="147"/>
      <c r="B618" s="147" t="s">
        <v>6</v>
      </c>
      <c r="E618" s="892">
        <f>SUM(E615:E617)</f>
        <v>3583</v>
      </c>
      <c r="F618" s="892">
        <f t="shared" ref="F618:L618" si="313">SUM(F615:F617)</f>
        <v>4069</v>
      </c>
      <c r="G618" s="892">
        <f t="shared" si="313"/>
        <v>4103</v>
      </c>
      <c r="H618" s="892">
        <f t="shared" si="313"/>
        <v>4130</v>
      </c>
      <c r="I618" s="892">
        <f t="shared" si="313"/>
        <v>15885</v>
      </c>
      <c r="J618" s="892">
        <f t="shared" si="313"/>
        <v>4454</v>
      </c>
      <c r="K618" s="892">
        <f t="shared" si="313"/>
        <v>4503</v>
      </c>
      <c r="L618" s="892">
        <f t="shared" si="313"/>
        <v>4339</v>
      </c>
      <c r="M618" s="892">
        <f t="shared" ref="M618" si="314">SUM(M615:M616)</f>
        <v>4583</v>
      </c>
      <c r="N618" s="892">
        <f t="shared" ref="N618" si="315">SUM(N615:N617)</f>
        <v>17879</v>
      </c>
      <c r="O618" s="892">
        <f t="shared" ref="O618" si="316">SUM(O615:O617)</f>
        <v>20677.714631191488</v>
      </c>
      <c r="P618" s="892">
        <f t="shared" ref="P618" si="317">SUM(P615:P617)</f>
        <v>23816.19512184387</v>
      </c>
      <c r="Q618" s="892">
        <f t="shared" ref="Q618" si="318">SUM(Q615:Q617)</f>
        <v>25025.885460748661</v>
      </c>
      <c r="R618" s="892">
        <f t="shared" ref="R618" si="319">SUM(R615:R617)</f>
        <v>26592.193763350788</v>
      </c>
      <c r="S618" s="892">
        <f t="shared" ref="S618" si="320">SUM(S615:S617)</f>
        <v>27480.438044350718</v>
      </c>
      <c r="T618" s="892">
        <f t="shared" ref="T618" si="321">SUM(T615:T617)</f>
        <v>28294.364864768864</v>
      </c>
      <c r="W618" s="892">
        <f>SUM(W615:W617)</f>
        <v>22482.441999999999</v>
      </c>
    </row>
    <row r="619" spans="1:23" outlineLevel="1">
      <c r="O619" s="955"/>
      <c r="P619" s="955"/>
    </row>
    <row r="620" spans="1:23" outlineLevel="1">
      <c r="B620" s="147" t="s">
        <v>581</v>
      </c>
      <c r="O620" s="955"/>
      <c r="P620" s="955"/>
    </row>
    <row r="621" spans="1:23" outlineLevel="1">
      <c r="B621" s="146" t="s">
        <v>524</v>
      </c>
      <c r="E621" s="891">
        <f>E682+E683</f>
        <v>2737.9949999999999</v>
      </c>
      <c r="F621" s="891">
        <f t="shared" ref="F621:H621" si="322">F682+F683</f>
        <v>2830.1390000000001</v>
      </c>
      <c r="G621" s="891">
        <f t="shared" si="322"/>
        <v>2956.7470000000012</v>
      </c>
      <c r="H621" s="891">
        <f t="shared" si="322"/>
        <v>2822.8769999999986</v>
      </c>
      <c r="I621" s="891">
        <f>I682+I683</f>
        <v>11347.758</v>
      </c>
      <c r="J621" s="891">
        <f t="shared" ref="J621:T621" si="323">J682+J683</f>
        <v>3007.2190000000001</v>
      </c>
      <c r="K621" s="891">
        <f t="shared" si="323"/>
        <v>3166.6189999999997</v>
      </c>
      <c r="L621" s="891">
        <f t="shared" si="323"/>
        <v>2900.0280000000002</v>
      </c>
      <c r="N621" s="891">
        <f t="shared" si="323"/>
        <v>12074.334999999999</v>
      </c>
      <c r="O621" s="891">
        <f t="shared" si="323"/>
        <v>11986.720528081381</v>
      </c>
      <c r="P621" s="891">
        <f t="shared" si="323"/>
        <v>11954.370055723004</v>
      </c>
      <c r="Q621" s="891">
        <f t="shared" si="323"/>
        <v>12016.163954547659</v>
      </c>
      <c r="R621" s="891">
        <f t="shared" si="323"/>
        <v>12127.771009911809</v>
      </c>
      <c r="S621" s="891">
        <f t="shared" si="323"/>
        <v>12272.990157544189</v>
      </c>
      <c r="T621" s="891">
        <f t="shared" si="323"/>
        <v>12448.141875385238</v>
      </c>
      <c r="W621" s="891">
        <f>W682+W683</f>
        <v>11896.742999999999</v>
      </c>
    </row>
    <row r="622" spans="1:23" outlineLevel="1">
      <c r="B622" s="146" t="s">
        <v>856</v>
      </c>
      <c r="W622" s="891">
        <f>W721+W722</f>
        <v>4923.9660000000003</v>
      </c>
    </row>
    <row r="623" spans="1:23" s="892" customFormat="1" outlineLevel="1">
      <c r="A623" s="147"/>
      <c r="B623" s="147" t="s">
        <v>6</v>
      </c>
      <c r="E623" s="892">
        <f>SUM(E621:E622)</f>
        <v>2737.9949999999999</v>
      </c>
      <c r="F623" s="892">
        <f t="shared" ref="F623:H623" si="324">SUM(F621:F622)</f>
        <v>2830.1390000000001</v>
      </c>
      <c r="G623" s="892">
        <f t="shared" si="324"/>
        <v>2956.7470000000012</v>
      </c>
      <c r="H623" s="892">
        <f t="shared" si="324"/>
        <v>2822.8769999999986</v>
      </c>
      <c r="I623" s="892">
        <f>SUM(I621:I622)</f>
        <v>11347.758</v>
      </c>
      <c r="J623" s="892">
        <f t="shared" ref="J623:L623" si="325">SUM(J621:J622)</f>
        <v>3007.2190000000001</v>
      </c>
      <c r="K623" s="892">
        <f t="shared" si="325"/>
        <v>3166.6189999999997</v>
      </c>
      <c r="L623" s="892">
        <f t="shared" si="325"/>
        <v>2900.0280000000002</v>
      </c>
      <c r="N623" s="892">
        <f t="shared" ref="N623:T623" ca="1" si="326">N552*N34</f>
        <v>12724.890890000001</v>
      </c>
      <c r="O623" s="892">
        <f t="shared" si="326"/>
        <v>15353.486148709124</v>
      </c>
      <c r="P623" s="892">
        <f t="shared" si="326"/>
        <v>18025.593232007897</v>
      </c>
      <c r="Q623" s="892">
        <f t="shared" si="326"/>
        <v>18530.490879569246</v>
      </c>
      <c r="R623" s="892">
        <f t="shared" si="326"/>
        <v>18973.516823571408</v>
      </c>
      <c r="S623" s="892">
        <f t="shared" si="326"/>
        <v>19430.666449049466</v>
      </c>
      <c r="T623" s="892">
        <f t="shared" si="326"/>
        <v>19902.271850046163</v>
      </c>
      <c r="W623" s="892">
        <f>SUM(W621:W622)</f>
        <v>16820.708999999999</v>
      </c>
    </row>
    <row r="624" spans="1:23" outlineLevel="1"/>
    <row r="625" spans="1:23" outlineLevel="1">
      <c r="B625" s="890" t="s">
        <v>96</v>
      </c>
    </row>
    <row r="626" spans="1:23" outlineLevel="1">
      <c r="B626" s="146" t="s">
        <v>524</v>
      </c>
      <c r="E626" s="891">
        <f>E688</f>
        <v>-655.048</v>
      </c>
      <c r="F626" s="891">
        <f t="shared" ref="F626:H626" si="327">F688</f>
        <v>-709.16499999999996</v>
      </c>
      <c r="G626" s="891">
        <f t="shared" si="327"/>
        <v>-739.47500000000014</v>
      </c>
      <c r="H626" s="891">
        <f t="shared" si="327"/>
        <v>-736.19499999999971</v>
      </c>
      <c r="I626" s="891">
        <f>I688</f>
        <v>-2839.8829999999998</v>
      </c>
      <c r="J626" s="891">
        <f t="shared" ref="J626:O626" si="328">J688</f>
        <v>-742.48500000000001</v>
      </c>
      <c r="K626" s="891">
        <f t="shared" si="328"/>
        <v>-765.21300000000008</v>
      </c>
      <c r="L626" s="891">
        <f t="shared" si="328"/>
        <v>-741.04999999999984</v>
      </c>
      <c r="N626" s="891">
        <f t="shared" si="328"/>
        <v>-3032.5460000000003</v>
      </c>
      <c r="O626" s="891">
        <f t="shared" si="328"/>
        <v>-2974.6599943577662</v>
      </c>
      <c r="W626" s="891">
        <f>W688</f>
        <v>-2984.9429999999998</v>
      </c>
    </row>
    <row r="627" spans="1:23" outlineLevel="1">
      <c r="B627" s="146" t="s">
        <v>856</v>
      </c>
      <c r="O627" s="944">
        <f>-O19*O41*O661</f>
        <v>-2712.4457783112698</v>
      </c>
      <c r="W627" s="891">
        <f>W728</f>
        <v>953.846</v>
      </c>
    </row>
    <row r="628" spans="1:23" s="892" customFormat="1" outlineLevel="1">
      <c r="A628" s="147"/>
      <c r="B628" s="147" t="s">
        <v>6</v>
      </c>
      <c r="E628" s="892">
        <f>SUM(E626:E627)</f>
        <v>-655.048</v>
      </c>
      <c r="F628" s="892">
        <f t="shared" ref="F628:H628" si="329">SUM(F626:F627)</f>
        <v>-709.16499999999996</v>
      </c>
      <c r="G628" s="892">
        <f t="shared" si="329"/>
        <v>-739.47500000000014</v>
      </c>
      <c r="H628" s="892">
        <f t="shared" si="329"/>
        <v>-736.19499999999971</v>
      </c>
      <c r="I628" s="892">
        <f>SUM(I626:I627)</f>
        <v>-2839.8829999999998</v>
      </c>
      <c r="J628" s="892">
        <f t="shared" ref="J628:L628" si="330">SUM(J626:J627)</f>
        <v>-742.48500000000001</v>
      </c>
      <c r="K628" s="892">
        <f t="shared" si="330"/>
        <v>-765.21300000000008</v>
      </c>
      <c r="L628" s="892">
        <f t="shared" si="330"/>
        <v>-741.04999999999984</v>
      </c>
      <c r="N628" s="892">
        <f>SUM(N626:N627)</f>
        <v>-3032.5460000000003</v>
      </c>
      <c r="O628" s="892">
        <f>SUM(O626:O627)</f>
        <v>-5687.105772669036</v>
      </c>
      <c r="P628" s="892">
        <f>P41*P661</f>
        <v>0</v>
      </c>
      <c r="W628" s="892">
        <f>SUM(W626:W627)</f>
        <v>-2031.0969999999998</v>
      </c>
    </row>
    <row r="629" spans="1:23" outlineLevel="1"/>
    <row r="630" spans="1:23" outlineLevel="1">
      <c r="B630" s="890" t="s">
        <v>999</v>
      </c>
    </row>
    <row r="631" spans="1:23" outlineLevel="1">
      <c r="B631" s="146" t="s">
        <v>524</v>
      </c>
      <c r="E631" s="891">
        <f t="shared" ref="E631:L631" si="331">E689</f>
        <v>47.819999999999936</v>
      </c>
      <c r="F631" s="891">
        <f t="shared" si="331"/>
        <v>35.860000000000127</v>
      </c>
      <c r="G631" s="891">
        <f t="shared" si="331"/>
        <v>40.446000000001277</v>
      </c>
      <c r="H631" s="891">
        <f t="shared" si="331"/>
        <v>-116.96800000000167</v>
      </c>
      <c r="I631" s="891">
        <f t="shared" si="331"/>
        <v>7.157999999999447</v>
      </c>
      <c r="J631" s="891">
        <f t="shared" si="331"/>
        <v>-27.099999999999909</v>
      </c>
      <c r="K631" s="891">
        <f t="shared" si="331"/>
        <v>89.967999999999847</v>
      </c>
      <c r="L631" s="891">
        <f t="shared" si="331"/>
        <v>-282.32000000000016</v>
      </c>
      <c r="N631" s="891">
        <f>N689</f>
        <v>-344.89400000000023</v>
      </c>
      <c r="O631" s="891">
        <f>O689</f>
        <v>-344.89400000000023</v>
      </c>
      <c r="W631" s="891">
        <f>W689</f>
        <v>2207.8939999999998</v>
      </c>
    </row>
    <row r="632" spans="1:23" outlineLevel="1">
      <c r="B632" s="146" t="s">
        <v>856</v>
      </c>
      <c r="W632" s="891">
        <f>W729</f>
        <v>-211.33600000000001</v>
      </c>
    </row>
    <row r="633" spans="1:23" outlineLevel="1">
      <c r="B633" s="147" t="s">
        <v>6</v>
      </c>
      <c r="E633" s="892">
        <f>SUM(E631:E632)</f>
        <v>47.819999999999936</v>
      </c>
      <c r="F633" s="892">
        <f t="shared" ref="F633:O633" si="332">SUM(F631:F632)</f>
        <v>35.860000000000127</v>
      </c>
      <c r="G633" s="892">
        <f t="shared" si="332"/>
        <v>40.446000000001277</v>
      </c>
      <c r="H633" s="892">
        <f t="shared" si="332"/>
        <v>-116.96800000000167</v>
      </c>
      <c r="I633" s="892">
        <f t="shared" si="332"/>
        <v>7.157999999999447</v>
      </c>
      <c r="J633" s="892">
        <f t="shared" si="332"/>
        <v>-27.099999999999909</v>
      </c>
      <c r="K633" s="892">
        <f t="shared" si="332"/>
        <v>89.967999999999847</v>
      </c>
      <c r="L633" s="892">
        <f t="shared" si="332"/>
        <v>-282.32000000000016</v>
      </c>
      <c r="M633" s="892"/>
      <c r="N633" s="892">
        <f t="shared" si="332"/>
        <v>-344.89400000000023</v>
      </c>
      <c r="O633" s="892">
        <f t="shared" si="332"/>
        <v>-344.89400000000023</v>
      </c>
      <c r="W633" s="892">
        <f>SUM(W631:W632)</f>
        <v>1996.5579999999998</v>
      </c>
    </row>
    <row r="634" spans="1:23" outlineLevel="1">
      <c r="B634" s="147"/>
    </row>
    <row r="635" spans="1:23" outlineLevel="1">
      <c r="B635" s="890" t="s">
        <v>97</v>
      </c>
    </row>
    <row r="636" spans="1:23" outlineLevel="1">
      <c r="B636" s="146" t="s">
        <v>524</v>
      </c>
      <c r="E636" s="891">
        <f>E691</f>
        <v>-33.601999999999975</v>
      </c>
      <c r="F636" s="891">
        <f t="shared" ref="F636:N636" si="333">F691</f>
        <v>-112.20700000000005</v>
      </c>
      <c r="G636" s="891">
        <f t="shared" si="333"/>
        <v>-86.165000000000077</v>
      </c>
      <c r="H636" s="891">
        <f t="shared" si="333"/>
        <v>-188.09499999999997</v>
      </c>
      <c r="I636" s="891">
        <f t="shared" si="333"/>
        <v>-420.06900000000007</v>
      </c>
      <c r="J636" s="891">
        <f t="shared" si="333"/>
        <v>-129.76600000000008</v>
      </c>
      <c r="K636" s="891">
        <f t="shared" si="333"/>
        <v>-171.40100000000007</v>
      </c>
      <c r="L636" s="891">
        <f t="shared" si="333"/>
        <v>-117.8349999999997</v>
      </c>
      <c r="N636" s="891">
        <f t="shared" si="333"/>
        <v>-579.59399999999994</v>
      </c>
      <c r="W636" s="891">
        <f>W691</f>
        <v>-607.09699999999975</v>
      </c>
    </row>
    <row r="637" spans="1:23" outlineLevel="1">
      <c r="B637" s="146" t="s">
        <v>856</v>
      </c>
      <c r="W637" s="891">
        <f>W730</f>
        <v>-305.69900000000007</v>
      </c>
    </row>
    <row r="638" spans="1:23" outlineLevel="1">
      <c r="B638" s="147" t="s">
        <v>6</v>
      </c>
      <c r="E638" s="892">
        <f>SUM(E636:E637)</f>
        <v>-33.601999999999975</v>
      </c>
      <c r="F638" s="892">
        <f t="shared" ref="F638:L638" si="334">SUM(F636:F637)</f>
        <v>-112.20700000000005</v>
      </c>
      <c r="G638" s="892">
        <f t="shared" si="334"/>
        <v>-86.165000000000077</v>
      </c>
      <c r="H638" s="892">
        <f t="shared" si="334"/>
        <v>-188.09499999999997</v>
      </c>
      <c r="I638" s="892">
        <f t="shared" si="334"/>
        <v>-420.06900000000007</v>
      </c>
      <c r="J638" s="892">
        <f t="shared" si="334"/>
        <v>-129.76600000000008</v>
      </c>
      <c r="K638" s="892">
        <f t="shared" si="334"/>
        <v>-171.40100000000007</v>
      </c>
      <c r="L638" s="892">
        <f t="shared" si="334"/>
        <v>-117.8349999999997</v>
      </c>
      <c r="M638" s="892"/>
      <c r="N638" s="892">
        <f t="shared" ref="N638" si="335">SUM(N636:N637)</f>
        <v>-579.59399999999994</v>
      </c>
      <c r="W638" s="892">
        <f>SUM(W636:W637)</f>
        <v>-912.79599999999982</v>
      </c>
    </row>
    <row r="639" spans="1:23" outlineLevel="1"/>
    <row r="640" spans="1:23" outlineLevel="1">
      <c r="B640" s="890" t="s">
        <v>111</v>
      </c>
    </row>
    <row r="641" spans="1:23" outlineLevel="1">
      <c r="B641" s="146" t="s">
        <v>524</v>
      </c>
      <c r="E641" s="891">
        <f t="shared" ref="E641:N641" si="336">E692</f>
        <v>204.17500000000007</v>
      </c>
      <c r="F641" s="891">
        <f t="shared" si="336"/>
        <v>453.34899999999999</v>
      </c>
      <c r="G641" s="891">
        <f t="shared" si="336"/>
        <v>361.05899999999986</v>
      </c>
      <c r="H641" s="891">
        <f t="shared" si="336"/>
        <v>265.86500000000007</v>
      </c>
      <c r="I641" s="891">
        <f t="shared" si="336"/>
        <v>1284.4479999999999</v>
      </c>
      <c r="J641" s="891">
        <f t="shared" si="336"/>
        <v>547.42999999999995</v>
      </c>
      <c r="K641" s="891">
        <f t="shared" si="336"/>
        <v>489.73500000000001</v>
      </c>
      <c r="L641" s="891">
        <f t="shared" si="336"/>
        <v>297.76700000000005</v>
      </c>
      <c r="N641" s="891">
        <f t="shared" si="336"/>
        <v>1847.6309999999999</v>
      </c>
      <c r="W641" s="891">
        <f>W692</f>
        <v>1600.797</v>
      </c>
    </row>
    <row r="642" spans="1:23" outlineLevel="1">
      <c r="B642" s="146" t="s">
        <v>856</v>
      </c>
      <c r="W642" s="891">
        <f>W731</f>
        <v>-517.00099999999998</v>
      </c>
    </row>
    <row r="643" spans="1:23" s="892" customFormat="1" outlineLevel="1">
      <c r="A643" s="147"/>
      <c r="B643" s="147" t="s">
        <v>6</v>
      </c>
      <c r="E643" s="892">
        <f t="shared" ref="E643" si="337">SUM(E641:E642)</f>
        <v>204.17500000000007</v>
      </c>
      <c r="F643" s="892">
        <f t="shared" ref="F643" si="338">SUM(F641:F642)</f>
        <v>453.34899999999999</v>
      </c>
      <c r="G643" s="892">
        <f t="shared" ref="G643" si="339">SUM(G641:G642)</f>
        <v>361.05899999999986</v>
      </c>
      <c r="H643" s="892">
        <f t="shared" ref="H643" si="340">SUM(H641:H642)</f>
        <v>265.86500000000007</v>
      </c>
      <c r="I643" s="892">
        <f t="shared" ref="I643" si="341">SUM(I641:I642)</f>
        <v>1284.4479999999999</v>
      </c>
      <c r="J643" s="892">
        <f t="shared" ref="J643" si="342">SUM(J641:J642)</f>
        <v>547.42999999999995</v>
      </c>
      <c r="K643" s="892">
        <f t="shared" ref="K643" si="343">SUM(K641:K642)</f>
        <v>489.73500000000001</v>
      </c>
      <c r="L643" s="892">
        <f t="shared" ref="L643" si="344">SUM(L641:L642)</f>
        <v>297.76700000000005</v>
      </c>
      <c r="N643" s="892">
        <f t="shared" ref="N643" si="345">SUM(N641:N642)</f>
        <v>1847.6309999999999</v>
      </c>
      <c r="W643" s="892">
        <f t="shared" ref="W643" si="346">SUM(W641:W642)</f>
        <v>1083.796</v>
      </c>
    </row>
    <row r="644" spans="1:23" outlineLevel="1"/>
    <row r="645" spans="1:23" outlineLevel="1">
      <c r="B645" s="147" t="s">
        <v>248</v>
      </c>
    </row>
    <row r="646" spans="1:23" outlineLevel="1">
      <c r="B646" s="146" t="s">
        <v>524</v>
      </c>
      <c r="E646" s="891">
        <f>E694</f>
        <v>1413</v>
      </c>
      <c r="F646" s="891">
        <f t="shared" ref="F646:L646" si="347">F694</f>
        <v>1743</v>
      </c>
      <c r="G646" s="891">
        <f t="shared" si="347"/>
        <v>2389</v>
      </c>
      <c r="H646" s="891">
        <f t="shared" si="347"/>
        <v>1613</v>
      </c>
      <c r="I646" s="891">
        <f t="shared" si="347"/>
        <v>7158</v>
      </c>
      <c r="J646" s="891">
        <f t="shared" si="347"/>
        <v>2057</v>
      </c>
      <c r="K646" s="891">
        <f t="shared" si="347"/>
        <v>2088</v>
      </c>
      <c r="L646" s="891">
        <f t="shared" si="347"/>
        <v>1504</v>
      </c>
      <c r="N646" s="891">
        <f t="shared" ref="N646:T646" si="348">N694</f>
        <v>7382</v>
      </c>
      <c r="O646" s="891">
        <f t="shared" si="348"/>
        <v>7829.2493014534921</v>
      </c>
      <c r="P646" s="891">
        <f t="shared" si="348"/>
        <v>8046.1855180603307</v>
      </c>
      <c r="Q646" s="891">
        <f t="shared" si="348"/>
        <v>8271.5595230998497</v>
      </c>
      <c r="R646" s="891">
        <f t="shared" si="348"/>
        <v>8469.3155075423165</v>
      </c>
      <c r="S646" s="891">
        <f t="shared" si="348"/>
        <v>8673.3759591881844</v>
      </c>
      <c r="T646" s="891">
        <f t="shared" si="348"/>
        <v>8883.8891167246911</v>
      </c>
      <c r="W646" s="891">
        <f>W694</f>
        <v>7262</v>
      </c>
    </row>
    <row r="647" spans="1:23" outlineLevel="1">
      <c r="B647" s="146" t="s">
        <v>856</v>
      </c>
      <c r="N647" s="891">
        <f t="shared" ref="N647:T647" si="349">N733*N19</f>
        <v>0</v>
      </c>
      <c r="O647" s="891">
        <f t="shared" si="349"/>
        <v>1097.0922097676455</v>
      </c>
      <c r="P647" s="891">
        <f t="shared" si="349"/>
        <v>2286.0661396017986</v>
      </c>
      <c r="Q647" s="891">
        <f t="shared" si="349"/>
        <v>2373.0970002293188</v>
      </c>
      <c r="R647" s="891">
        <f t="shared" si="349"/>
        <v>2453.2048872589944</v>
      </c>
      <c r="S647" s="891">
        <f t="shared" si="349"/>
        <v>2536.3362697329389</v>
      </c>
      <c r="T647" s="891">
        <f t="shared" si="349"/>
        <v>2622.5886850752381</v>
      </c>
      <c r="W647" s="891">
        <f>W733</f>
        <v>1166.8000000000002</v>
      </c>
    </row>
    <row r="648" spans="1:23" outlineLevel="1">
      <c r="B648" s="146" t="s">
        <v>879</v>
      </c>
      <c r="O648" s="891">
        <f t="shared" ref="O648:T648" si="350">-O102</f>
        <v>192.77999999999997</v>
      </c>
      <c r="P648" s="891">
        <f t="shared" si="350"/>
        <v>-39.689999999999941</v>
      </c>
      <c r="Q648" s="891">
        <f t="shared" si="350"/>
        <v>-1128.33</v>
      </c>
      <c r="R648" s="891">
        <f t="shared" si="350"/>
        <v>-2596.86</v>
      </c>
      <c r="S648" s="891">
        <f t="shared" si="350"/>
        <v>-2835</v>
      </c>
      <c r="T648" s="891">
        <f t="shared" si="350"/>
        <v>-2835</v>
      </c>
    </row>
    <row r="649" spans="1:23" outlineLevel="1">
      <c r="B649" s="147" t="s">
        <v>6</v>
      </c>
      <c r="E649" s="892">
        <f>SUM(E646:E648)</f>
        <v>1413</v>
      </c>
      <c r="F649" s="892">
        <f t="shared" ref="F649:L649" si="351">SUM(F646:F648)</f>
        <v>1743</v>
      </c>
      <c r="G649" s="892">
        <f t="shared" si="351"/>
        <v>2389</v>
      </c>
      <c r="H649" s="892">
        <f t="shared" si="351"/>
        <v>1613</v>
      </c>
      <c r="I649" s="892">
        <f t="shared" si="351"/>
        <v>7158</v>
      </c>
      <c r="J649" s="892">
        <f t="shared" si="351"/>
        <v>2057</v>
      </c>
      <c r="K649" s="892">
        <f t="shared" si="351"/>
        <v>2088</v>
      </c>
      <c r="L649" s="892">
        <f t="shared" si="351"/>
        <v>1504</v>
      </c>
      <c r="M649" s="892"/>
      <c r="N649" s="892">
        <f t="shared" ref="N649" si="352">SUM(N646:N648)</f>
        <v>7382</v>
      </c>
      <c r="O649" s="892">
        <f t="shared" ref="O649" si="353">SUM(O646:O648)</f>
        <v>9119.1215112211376</v>
      </c>
      <c r="P649" s="892">
        <f t="shared" ref="P649" si="354">SUM(P646:P648)</f>
        <v>10292.561657662129</v>
      </c>
      <c r="Q649" s="892">
        <f t="shared" ref="Q649" si="355">SUM(Q646:Q648)</f>
        <v>9516.3265233291695</v>
      </c>
      <c r="R649" s="892">
        <f t="shared" ref="R649" si="356">SUM(R646:R648)</f>
        <v>8325.6603948013108</v>
      </c>
      <c r="S649" s="892">
        <f t="shared" ref="S649" si="357">SUM(S646:S648)</f>
        <v>8374.7122289211238</v>
      </c>
      <c r="T649" s="892">
        <f t="shared" ref="T649" si="358">SUM(T646:T648)</f>
        <v>8671.4778017999288</v>
      </c>
      <c r="W649" s="892">
        <f>SUM(W646:W648)</f>
        <v>8428.7999999999993</v>
      </c>
    </row>
    <row r="650" spans="1:23" outlineLevel="1"/>
    <row r="651" spans="1:23" outlineLevel="1">
      <c r="A651" s="891"/>
      <c r="B651" s="147" t="s">
        <v>1070</v>
      </c>
    </row>
    <row r="652" spans="1:23" outlineLevel="1">
      <c r="A652" s="891"/>
      <c r="B652" s="146" t="s">
        <v>524</v>
      </c>
      <c r="L652" s="891">
        <f>L699</f>
        <v>12698</v>
      </c>
      <c r="O652" s="891">
        <f>O699</f>
        <v>35294.720518528193</v>
      </c>
      <c r="W652" s="891">
        <f>W699</f>
        <v>12698</v>
      </c>
    </row>
    <row r="653" spans="1:23" outlineLevel="1">
      <c r="A653" s="891"/>
      <c r="B653" s="146" t="s">
        <v>856</v>
      </c>
      <c r="L653" s="891">
        <f>L736</f>
        <v>6031.6299999999992</v>
      </c>
      <c r="O653" s="944">
        <f>L653</f>
        <v>6031.6299999999992</v>
      </c>
      <c r="W653" s="891">
        <f>W736</f>
        <v>6031.6299999999992</v>
      </c>
    </row>
    <row r="654" spans="1:23" outlineLevel="1">
      <c r="A654" s="891"/>
      <c r="B654" s="146" t="s">
        <v>6</v>
      </c>
      <c r="L654" s="891">
        <f>SUM(L652:L653)</f>
        <v>18729.629999999997</v>
      </c>
      <c r="O654" s="891">
        <f>SUM(O652:O653)</f>
        <v>41326.35051852819</v>
      </c>
      <c r="W654" s="891">
        <f>SUM(W652:W653)</f>
        <v>18729.629999999997</v>
      </c>
    </row>
    <row r="655" spans="1:23" outlineLevel="1"/>
    <row r="656" spans="1:23" outlineLevel="1">
      <c r="A656" s="891"/>
      <c r="B656" s="147" t="s">
        <v>978</v>
      </c>
    </row>
    <row r="657" spans="1:23" outlineLevel="1">
      <c r="A657" s="891"/>
      <c r="B657" s="146" t="s">
        <v>524</v>
      </c>
      <c r="L657" s="891">
        <f>L700</f>
        <v>33946</v>
      </c>
      <c r="O657" s="891">
        <f>O700</f>
        <v>37703.138758514135</v>
      </c>
      <c r="W657" s="891">
        <f>W700</f>
        <v>33946</v>
      </c>
    </row>
    <row r="658" spans="1:23" outlineLevel="1">
      <c r="A658" s="891"/>
      <c r="B658" s="146" t="s">
        <v>856</v>
      </c>
      <c r="L658" s="891">
        <f>L737</f>
        <v>11385.37</v>
      </c>
      <c r="O658" s="944">
        <f>L658</f>
        <v>11385.37</v>
      </c>
      <c r="W658" s="891">
        <f>W737</f>
        <v>11385.37</v>
      </c>
    </row>
    <row r="659" spans="1:23" outlineLevel="1">
      <c r="A659" s="891"/>
      <c r="B659" s="146" t="s">
        <v>6</v>
      </c>
      <c r="L659" s="891">
        <f>SUM(L657:L658)</f>
        <v>45331.37</v>
      </c>
      <c r="O659" s="891">
        <f>SUM(O657:O658)</f>
        <v>49088.508758514137</v>
      </c>
      <c r="W659" s="891">
        <f>SUM(W657:W658)</f>
        <v>45331.37</v>
      </c>
    </row>
    <row r="660" spans="1:23" outlineLevel="1"/>
    <row r="661" spans="1:23" outlineLevel="1">
      <c r="A661" s="891"/>
      <c r="B661" s="147" t="s">
        <v>1159</v>
      </c>
      <c r="L661" s="891">
        <f>L654+L659</f>
        <v>64061</v>
      </c>
      <c r="O661" s="891">
        <f>O654+O659</f>
        <v>90414.859277042327</v>
      </c>
    </row>
    <row r="662" spans="1:23" outlineLevel="1"/>
    <row r="663" spans="1:23" outlineLevel="1">
      <c r="A663" s="891"/>
      <c r="B663" s="147" t="s">
        <v>1069</v>
      </c>
    </row>
    <row r="664" spans="1:23" outlineLevel="1">
      <c r="A664" s="891"/>
      <c r="B664" s="146" t="s">
        <v>524</v>
      </c>
      <c r="L664" s="891">
        <f>L701</f>
        <v>1835</v>
      </c>
      <c r="O664" s="891">
        <f>O701</f>
        <v>1712.5161907578859</v>
      </c>
      <c r="W664" s="891">
        <f>W701</f>
        <v>1835</v>
      </c>
    </row>
    <row r="665" spans="1:23" outlineLevel="1">
      <c r="A665" s="891"/>
      <c r="B665" s="146" t="s">
        <v>856</v>
      </c>
      <c r="L665" s="891">
        <f>L738</f>
        <v>2103</v>
      </c>
      <c r="O665" s="944">
        <f>L665</f>
        <v>2103</v>
      </c>
      <c r="W665" s="891">
        <f>W738</f>
        <v>2103</v>
      </c>
    </row>
    <row r="666" spans="1:23" outlineLevel="1">
      <c r="B666" s="146" t="s">
        <v>6</v>
      </c>
      <c r="L666" s="891">
        <f>SUM(L664:L665)</f>
        <v>3938</v>
      </c>
      <c r="O666" s="891">
        <f>SUM(O664:O665)</f>
        <v>3815.5161907578859</v>
      </c>
      <c r="W666" s="891">
        <f>SUM(W664:W665)</f>
        <v>3938</v>
      </c>
    </row>
    <row r="668" spans="1:23">
      <c r="A668" s="146" t="s">
        <v>615</v>
      </c>
      <c r="B668" s="894" t="s">
        <v>1046</v>
      </c>
      <c r="C668" s="895"/>
      <c r="D668" s="895"/>
      <c r="E668" s="895"/>
      <c r="F668" s="895"/>
      <c r="G668" s="895"/>
      <c r="H668" s="895"/>
      <c r="I668" s="895"/>
      <c r="J668" s="895"/>
      <c r="K668" s="895"/>
      <c r="L668" s="895"/>
      <c r="M668" s="895"/>
      <c r="N668" s="895"/>
      <c r="O668" s="895"/>
      <c r="P668" s="895"/>
      <c r="Q668" s="895"/>
      <c r="R668" s="895"/>
      <c r="S668" s="895"/>
      <c r="T668" s="895"/>
      <c r="W668" s="895"/>
    </row>
    <row r="670" spans="1:23">
      <c r="A670" s="146" t="s">
        <v>615</v>
      </c>
      <c r="B670" s="249" t="s">
        <v>524</v>
      </c>
    </row>
    <row r="671" spans="1:23">
      <c r="B671" s="147"/>
    </row>
    <row r="672" spans="1:23" s="892" customFormat="1">
      <c r="A672" s="147"/>
      <c r="B672" s="889" t="s">
        <v>687</v>
      </c>
      <c r="E672" s="913">
        <f>'Income Statement'!CA236</f>
        <v>7547.3239999999996</v>
      </c>
      <c r="F672" s="913">
        <f>'Income Statement'!CB236</f>
        <v>8217.2030000000013</v>
      </c>
      <c r="G672" s="913">
        <f>'Income Statement'!CC236</f>
        <v>8103.2769999999991</v>
      </c>
      <c r="H672" s="913">
        <f>'Income Statement'!CD236</f>
        <v>8454.8470000000016</v>
      </c>
      <c r="I672" s="913">
        <f>'Income Statement'!CE236</f>
        <v>32322.651000000005</v>
      </c>
      <c r="J672" s="913">
        <f>'Income Statement'!CF236</f>
        <v>8438.2849999999999</v>
      </c>
      <c r="K672" s="913">
        <f>'Income Statement'!CG236</f>
        <v>8613.3120000000017</v>
      </c>
      <c r="L672" s="913">
        <f>'Income Statement'!CH236</f>
        <v>8309.8139999999985</v>
      </c>
      <c r="M672" s="913"/>
      <c r="N672" s="913">
        <f>'Income Statement'!CJ236</f>
        <v>34391.597000000002</v>
      </c>
      <c r="O672" s="1516">
        <v>35587.496824788599</v>
      </c>
      <c r="P672" s="1516">
        <v>36573.570536637868</v>
      </c>
      <c r="Q672" s="1516">
        <v>37597.997832272042</v>
      </c>
      <c r="R672" s="1516">
        <v>38496.888670646891</v>
      </c>
      <c r="S672" s="1516">
        <v>39424.436178128111</v>
      </c>
      <c r="T672" s="1516">
        <v>40381.314166930417</v>
      </c>
      <c r="W672" s="913">
        <f>SUM(J672:L672)+H672</f>
        <v>33816.258000000002</v>
      </c>
    </row>
    <row r="673" spans="1:23">
      <c r="B673" s="889" t="s">
        <v>796</v>
      </c>
      <c r="E673" s="914"/>
      <c r="F673" s="914"/>
      <c r="G673" s="914"/>
      <c r="H673" s="914"/>
      <c r="I673" s="914"/>
      <c r="J673" s="914"/>
      <c r="K673" s="914"/>
      <c r="L673" s="914"/>
      <c r="M673" s="914"/>
      <c r="N673" s="914"/>
      <c r="O673" s="923"/>
      <c r="P673" s="923"/>
      <c r="Q673" s="923"/>
      <c r="R673" s="923"/>
      <c r="S673" s="923"/>
      <c r="T673" s="923"/>
      <c r="W673" s="914"/>
    </row>
    <row r="674" spans="1:23">
      <c r="B674" s="767" t="s">
        <v>499</v>
      </c>
      <c r="E674" s="914">
        <f>'Income Statement'!CA240</f>
        <v>648.85599999999999</v>
      </c>
      <c r="F674" s="914">
        <f>'Income Statement'!CB240</f>
        <v>887.68000000000006</v>
      </c>
      <c r="G674" s="914">
        <f>'Income Statement'!CC240</f>
        <v>783.63599999999997</v>
      </c>
      <c r="H674" s="914">
        <f>'Income Statement'!CD240</f>
        <v>852.04799999999977</v>
      </c>
      <c r="I674" s="914">
        <f>'Income Statement'!CE240</f>
        <v>3172.22</v>
      </c>
      <c r="J674" s="914">
        <f>'Income Statement'!CF240</f>
        <v>764.08399999999995</v>
      </c>
      <c r="K674" s="914">
        <f>'Income Statement'!CG240</f>
        <v>822.63</v>
      </c>
      <c r="L674" s="914">
        <f>'Income Statement'!CH240</f>
        <v>692.7600000000001</v>
      </c>
      <c r="M674" s="914"/>
      <c r="N674" s="914">
        <f>'Income Statement'!CJ240</f>
        <v>3284.18</v>
      </c>
      <c r="O674" s="923">
        <v>3398.3808696651745</v>
      </c>
      <c r="P674" s="923">
        <v>3492.5446726133518</v>
      </c>
      <c r="Q674" s="923">
        <v>3590.3710002414596</v>
      </c>
      <c r="R674" s="923">
        <v>3676.2093901706598</v>
      </c>
      <c r="S674" s="923">
        <v>3764.7843107572112</v>
      </c>
      <c r="T674" s="923">
        <v>3856.1601068060177</v>
      </c>
      <c r="W674" s="914">
        <f t="shared" ref="W674:W684" si="359">SUM(J674:L674)+H674</f>
        <v>3131.5219999999999</v>
      </c>
    </row>
    <row r="675" spans="1:23">
      <c r="B675" s="767" t="s">
        <v>69</v>
      </c>
      <c r="E675" s="914">
        <f>'Income Statement'!CA241</f>
        <v>331.03899999999999</v>
      </c>
      <c r="F675" s="914">
        <f>'Income Statement'!CB241</f>
        <v>368.38</v>
      </c>
      <c r="G675" s="914">
        <f>'Income Statement'!CC241</f>
        <v>359.85900000000004</v>
      </c>
      <c r="H675" s="914">
        <f>'Income Statement'!CD241</f>
        <v>342.96399999999983</v>
      </c>
      <c r="I675" s="914">
        <f>'Income Statement'!CE241</f>
        <v>1402.2419999999997</v>
      </c>
      <c r="J675" s="914">
        <f>'Income Statement'!CF241</f>
        <v>357.553</v>
      </c>
      <c r="K675" s="914">
        <f>'Income Statement'!CG241</f>
        <v>460.96600000000001</v>
      </c>
      <c r="L675" s="914">
        <f>'Income Statement'!CH241</f>
        <v>438.51600000000008</v>
      </c>
      <c r="M675" s="914"/>
      <c r="N675" s="914">
        <f>'Income Statement'!CJ241</f>
        <v>1736.0740000000001</v>
      </c>
      <c r="O675" s="923">
        <v>1796.4425427117571</v>
      </c>
      <c r="P675" s="923">
        <v>1846.2191475383665</v>
      </c>
      <c r="Q675" s="923">
        <v>1897.9318258661804</v>
      </c>
      <c r="R675" s="923">
        <v>1732.3599901791101</v>
      </c>
      <c r="S675" s="923">
        <v>1774.0996280157649</v>
      </c>
      <c r="T675" s="923">
        <v>1817.1591375118687</v>
      </c>
      <c r="W675" s="914">
        <f t="shared" si="359"/>
        <v>1599.9989999999998</v>
      </c>
    </row>
    <row r="676" spans="1:23">
      <c r="B676" s="767" t="s">
        <v>70</v>
      </c>
      <c r="E676" s="914">
        <f>'Income Statement'!CA242</f>
        <v>565.40700000000004</v>
      </c>
      <c r="F676" s="914">
        <f>'Income Statement'!CB242</f>
        <v>613.25400000000002</v>
      </c>
      <c r="G676" s="914">
        <f>'Income Statement'!CC242</f>
        <v>625.90499999999986</v>
      </c>
      <c r="H676" s="914">
        <f>'Income Statement'!CD242</f>
        <v>650.2090000000004</v>
      </c>
      <c r="I676" s="914">
        <f>'Income Statement'!CE242</f>
        <v>2454.7750000000001</v>
      </c>
      <c r="J676" s="914">
        <f>'Income Statement'!CF242</f>
        <v>533.16099999999994</v>
      </c>
      <c r="K676" s="914">
        <f>'Income Statement'!CG242</f>
        <v>545.98100000000011</v>
      </c>
      <c r="L676" s="914">
        <f>'Income Statement'!CH242</f>
        <v>510.14</v>
      </c>
      <c r="M676" s="914"/>
      <c r="N676" s="914">
        <f>'Income Statement'!CJ242</f>
        <v>2094.192</v>
      </c>
      <c r="O676" s="923">
        <v>2313.1872936112591</v>
      </c>
      <c r="P676" s="923">
        <v>2377.2820848814613</v>
      </c>
      <c r="Q676" s="923">
        <v>2443.8698590976828</v>
      </c>
      <c r="R676" s="923">
        <v>2502.2977635920479</v>
      </c>
      <c r="S676" s="923">
        <v>2562.5883515783275</v>
      </c>
      <c r="T676" s="923">
        <v>2624.7854208504773</v>
      </c>
      <c r="W676" s="914">
        <f t="shared" si="359"/>
        <v>2239.4910000000004</v>
      </c>
    </row>
    <row r="677" spans="1:23">
      <c r="B677" s="767" t="s">
        <v>258</v>
      </c>
      <c r="E677" s="914">
        <f>'Income Statement'!CA243</f>
        <v>2335.9679999999998</v>
      </c>
      <c r="F677" s="914">
        <f>'Income Statement'!CB243</f>
        <v>2140.7280000000001</v>
      </c>
      <c r="G677" s="914">
        <f>'Income Statement'!CC243</f>
        <v>2181.0619999999999</v>
      </c>
      <c r="H677" s="914">
        <f>'Income Statement'!CD243</f>
        <v>2337.8880000000008</v>
      </c>
      <c r="I677" s="914">
        <f>'Income Statement'!CE243</f>
        <v>8995.6460000000006</v>
      </c>
      <c r="J677" s="914">
        <f>'Income Statement'!CF243</f>
        <v>2227.2489999999998</v>
      </c>
      <c r="K677" s="914">
        <f>'Income Statement'!CG243</f>
        <v>2173.79</v>
      </c>
      <c r="L677" s="914">
        <f>'Income Statement'!CH243</f>
        <v>2224.5370000000003</v>
      </c>
      <c r="M677" s="914"/>
      <c r="N677" s="914">
        <f>'Income Statement'!CJ243</f>
        <v>8942.3230000000003</v>
      </c>
      <c r="O677" s="923">
        <v>9217.6871146663289</v>
      </c>
      <c r="P677" s="923">
        <v>9436.5211945349583</v>
      </c>
      <c r="Q677" s="923">
        <v>9663.2405642899721</v>
      </c>
      <c r="R677" s="923">
        <v>9855.7718928930826</v>
      </c>
      <c r="S677" s="923">
        <v>10053.813313547349</v>
      </c>
      <c r="T677" s="923">
        <v>10257.450014496591</v>
      </c>
      <c r="W677" s="914">
        <f t="shared" si="359"/>
        <v>8963.4639999999999</v>
      </c>
    </row>
    <row r="678" spans="1:23">
      <c r="B678" s="767" t="s">
        <v>75</v>
      </c>
      <c r="E678" s="914">
        <f>'Income Statement'!CA244</f>
        <v>82.908000000000001</v>
      </c>
      <c r="F678" s="914">
        <f>'Income Statement'!CB244</f>
        <v>138.358</v>
      </c>
      <c r="G678" s="914">
        <f>'Income Statement'!CC244</f>
        <v>50.065999999999988</v>
      </c>
      <c r="H678" s="914">
        <f>'Income Statement'!CD244</f>
        <v>141.70800000000003</v>
      </c>
      <c r="I678" s="914">
        <f>'Income Statement'!CE244</f>
        <v>413.04</v>
      </c>
      <c r="J678" s="914">
        <f>'Income Statement'!CF244</f>
        <v>101.884</v>
      </c>
      <c r="K678" s="914">
        <f>'Income Statement'!CG244</f>
        <v>106.508</v>
      </c>
      <c r="L678" s="914">
        <f>'Income Statement'!CH244</f>
        <v>105.07299999999999</v>
      </c>
      <c r="M678" s="914"/>
      <c r="N678" s="914">
        <f>'Income Statement'!CJ244</f>
        <v>454.99</v>
      </c>
      <c r="O678" s="923">
        <v>462.63745872225178</v>
      </c>
      <c r="P678" s="923">
        <v>475.45641697629225</v>
      </c>
      <c r="Q678" s="923">
        <v>488.77397181953654</v>
      </c>
      <c r="R678" s="923">
        <v>500.45955271840955</v>
      </c>
      <c r="S678" s="923">
        <v>512.51767031566544</v>
      </c>
      <c r="T678" s="923">
        <v>524.95708417009541</v>
      </c>
      <c r="W678" s="914">
        <f t="shared" si="359"/>
        <v>455.173</v>
      </c>
    </row>
    <row r="679" spans="1:23">
      <c r="B679" s="767" t="s">
        <v>501</v>
      </c>
      <c r="E679" s="914">
        <f>'Income Statement'!CA245</f>
        <v>0.14599999999973079</v>
      </c>
      <c r="F679" s="914">
        <f>'Income Statement'!CB245</f>
        <v>-0.19699999999829743</v>
      </c>
      <c r="G679" s="914">
        <f>'Income Statement'!CC245</f>
        <v>-0.25100000000020373</v>
      </c>
      <c r="H679" s="914">
        <f>'Income Statement'!CD245</f>
        <v>3.0000000001564331E-2</v>
      </c>
      <c r="I679" s="914">
        <f>'Income Statement'!CE245</f>
        <v>-0.27199999999356805</v>
      </c>
      <c r="J679" s="914">
        <f>'Income Statement'!CF245</f>
        <v>0.35400000000026921</v>
      </c>
      <c r="K679" s="914">
        <f>'Income Statement'!CG245</f>
        <v>0.43700000000171713</v>
      </c>
      <c r="L679" s="914">
        <f>'Income Statement'!CH245</f>
        <v>-0.21200000000180808</v>
      </c>
      <c r="M679" s="914"/>
      <c r="N679" s="914">
        <f>'Income Statement'!CJ245</f>
        <v>0.83799999999973807</v>
      </c>
      <c r="O679" s="923">
        <v>0</v>
      </c>
      <c r="P679" s="923">
        <v>0</v>
      </c>
      <c r="Q679" s="923">
        <v>0</v>
      </c>
      <c r="R679" s="923">
        <v>0</v>
      </c>
      <c r="S679" s="923">
        <v>0</v>
      </c>
      <c r="T679" s="923">
        <v>0</v>
      </c>
      <c r="W679" s="914">
        <f t="shared" si="359"/>
        <v>0.60900000000174259</v>
      </c>
    </row>
    <row r="680" spans="1:23">
      <c r="B680" s="893" t="s">
        <v>76</v>
      </c>
      <c r="E680" s="914">
        <f>'Income Statement'!CA246</f>
        <v>3964.3239999999996</v>
      </c>
      <c r="F680" s="914">
        <f>'Income Statement'!CB246</f>
        <v>4148.2030000000013</v>
      </c>
      <c r="G680" s="914">
        <f>'Income Statement'!CC246</f>
        <v>4000.2769999999991</v>
      </c>
      <c r="H680" s="914">
        <f>'Income Statement'!CD246</f>
        <v>4324.8470000000016</v>
      </c>
      <c r="I680" s="914">
        <f>'Income Statement'!CE246</f>
        <v>16437.651000000005</v>
      </c>
      <c r="J680" s="914">
        <f>'Income Statement'!CF246</f>
        <v>3984.2849999999999</v>
      </c>
      <c r="K680" s="914">
        <f>'Income Statement'!CG246</f>
        <v>4110.3120000000017</v>
      </c>
      <c r="L680" s="914">
        <f>'Income Statement'!CH246</f>
        <v>3970.8139999999985</v>
      </c>
      <c r="M680" s="914"/>
      <c r="N680" s="914">
        <f>'Income Statement'!CJ246</f>
        <v>16512.597000000002</v>
      </c>
      <c r="O680" s="923">
        <v>17188.33527937677</v>
      </c>
      <c r="P680" s="923">
        <v>17628.023516544428</v>
      </c>
      <c r="Q680" s="923">
        <v>18084.187221314831</v>
      </c>
      <c r="R680" s="923">
        <v>18267.098589553312</v>
      </c>
      <c r="S680" s="923">
        <v>18667.803274214315</v>
      </c>
      <c r="T680" s="923">
        <v>19080.511763835053</v>
      </c>
      <c r="W680" s="914">
        <f t="shared" si="359"/>
        <v>16390.258000000002</v>
      </c>
    </row>
    <row r="681" spans="1:23" s="892" customFormat="1">
      <c r="A681" s="147"/>
      <c r="B681" s="889" t="s">
        <v>2</v>
      </c>
      <c r="E681" s="913">
        <f>'Income Statement'!CA248</f>
        <v>3583</v>
      </c>
      <c r="F681" s="913">
        <f>'Income Statement'!CB248</f>
        <v>4069</v>
      </c>
      <c r="G681" s="913">
        <f>'Income Statement'!CC248</f>
        <v>4103</v>
      </c>
      <c r="H681" s="913">
        <f>'Income Statement'!CD248</f>
        <v>4130</v>
      </c>
      <c r="I681" s="913">
        <f>'Income Statement'!CE248</f>
        <v>15885</v>
      </c>
      <c r="J681" s="913">
        <f>'Income Statement'!CF248</f>
        <v>4454</v>
      </c>
      <c r="K681" s="913">
        <f>'Income Statement'!CG248</f>
        <v>4503</v>
      </c>
      <c r="L681" s="913">
        <f>'Income Statement'!CH248</f>
        <v>4339</v>
      </c>
      <c r="M681" s="913"/>
      <c r="N681" s="913">
        <f>'Income Statement'!CJ248</f>
        <v>17879</v>
      </c>
      <c r="O681" s="1516">
        <v>18399.161545411829</v>
      </c>
      <c r="P681" s="1516">
        <v>18945.54702009344</v>
      </c>
      <c r="Q681" s="1516">
        <v>19513.810610957211</v>
      </c>
      <c r="R681" s="1516">
        <v>20229.790081093579</v>
      </c>
      <c r="S681" s="1516">
        <v>20756.632903913796</v>
      </c>
      <c r="T681" s="1516">
        <v>21300.802403095364</v>
      </c>
      <c r="W681" s="913">
        <f t="shared" si="359"/>
        <v>17426</v>
      </c>
    </row>
    <row r="682" spans="1:23">
      <c r="B682" s="767" t="s">
        <v>91</v>
      </c>
      <c r="E682" s="914">
        <f>'Income Statement'!CA252</f>
        <v>2737.9949999999999</v>
      </c>
      <c r="F682" s="914">
        <f>'Income Statement'!CB252</f>
        <v>2830.1390000000001</v>
      </c>
      <c r="G682" s="914">
        <f>'Income Statement'!CC252</f>
        <v>2956.7470000000012</v>
      </c>
      <c r="H682" s="914">
        <f>'Income Statement'!CD252</f>
        <v>2822.8769999999986</v>
      </c>
      <c r="I682" s="914">
        <f>'Income Statement'!CE252</f>
        <v>11347.758</v>
      </c>
      <c r="J682" s="914">
        <f>'Income Statement'!CF252</f>
        <v>3007.2190000000001</v>
      </c>
      <c r="K682" s="914">
        <f>'Income Statement'!CG252</f>
        <v>3166.6189999999997</v>
      </c>
      <c r="L682" s="914">
        <f>'Income Statement'!CH252</f>
        <v>2900.0280000000002</v>
      </c>
      <c r="M682" s="914"/>
      <c r="N682" s="914">
        <f>'Income Statement'!CJ252</f>
        <v>12074.334999999999</v>
      </c>
      <c r="O682" s="923">
        <v>11584.394678081382</v>
      </c>
      <c r="P682" s="923">
        <v>11552.044205723005</v>
      </c>
      <c r="Q682" s="923">
        <v>11576.725377274932</v>
      </c>
      <c r="R682" s="923">
        <v>11651.219705366355</v>
      </c>
      <c r="S682" s="923">
        <v>11759.326125726007</v>
      </c>
      <c r="T682" s="923">
        <v>11897.365116294328</v>
      </c>
      <c r="W682" s="914">
        <f t="shared" si="359"/>
        <v>11896.742999999999</v>
      </c>
    </row>
    <row r="683" spans="1:23">
      <c r="B683" s="767" t="s">
        <v>93</v>
      </c>
      <c r="E683" s="914">
        <f>'Income Statement'!CA253</f>
        <v>0</v>
      </c>
      <c r="F683" s="914">
        <f>'Income Statement'!CB253</f>
        <v>0</v>
      </c>
      <c r="G683" s="914">
        <f>'Income Statement'!CC253</f>
        <v>0</v>
      </c>
      <c r="H683" s="914">
        <f>'Income Statement'!CD253</f>
        <v>0</v>
      </c>
      <c r="I683" s="914">
        <f>'Income Statement'!CE253</f>
        <v>0</v>
      </c>
      <c r="J683" s="914">
        <f>'Income Statement'!CF253</f>
        <v>0</v>
      </c>
      <c r="K683" s="914">
        <f>'Income Statement'!CG253</f>
        <v>0</v>
      </c>
      <c r="L683" s="914">
        <f>'Income Statement'!CH253</f>
        <v>0</v>
      </c>
      <c r="M683" s="914"/>
      <c r="N683" s="914">
        <f>'Income Statement'!CJ253</f>
        <v>0</v>
      </c>
      <c r="O683" s="923">
        <v>402.32585</v>
      </c>
      <c r="P683" s="923">
        <v>402.32585</v>
      </c>
      <c r="Q683" s="923">
        <v>439.43857727272723</v>
      </c>
      <c r="R683" s="923">
        <v>476.55130454545451</v>
      </c>
      <c r="S683" s="923">
        <v>513.6640318181818</v>
      </c>
      <c r="T683" s="923">
        <v>550.77675909090908</v>
      </c>
      <c r="W683" s="914">
        <f t="shared" si="359"/>
        <v>0</v>
      </c>
    </row>
    <row r="684" spans="1:23" s="892" customFormat="1">
      <c r="A684" s="147"/>
      <c r="B684" s="889" t="s">
        <v>77</v>
      </c>
      <c r="E684" s="913">
        <f>'Income Statement'!CA257</f>
        <v>845.00500000000011</v>
      </c>
      <c r="F684" s="913">
        <f>'Income Statement'!CB257</f>
        <v>1238.8609999999999</v>
      </c>
      <c r="G684" s="913">
        <f>'Income Statement'!CC257</f>
        <v>1146.2529999999988</v>
      </c>
      <c r="H684" s="913">
        <f>'Income Statement'!CD257</f>
        <v>1307.1230000000014</v>
      </c>
      <c r="I684" s="913">
        <f>'Income Statement'!CE257</f>
        <v>4537.2420000000002</v>
      </c>
      <c r="J684" s="913">
        <f>'Income Statement'!CF257</f>
        <v>1446.7809999999999</v>
      </c>
      <c r="K684" s="913">
        <f>'Income Statement'!CG257</f>
        <v>1336.3810000000003</v>
      </c>
      <c r="L684" s="913">
        <f>'Income Statement'!CH257</f>
        <v>1438.9719999999998</v>
      </c>
      <c r="M684" s="913"/>
      <c r="N684" s="913">
        <f>'Income Statement'!CJ257</f>
        <v>5804.6650000000009</v>
      </c>
      <c r="O684" s="1516">
        <v>6412.4410173304477</v>
      </c>
      <c r="P684" s="1516">
        <v>6991.1769643704356</v>
      </c>
      <c r="Q684" s="1516">
        <v>7497.6466564095517</v>
      </c>
      <c r="R684" s="1516">
        <v>8102.0190711817704</v>
      </c>
      <c r="S684" s="1516">
        <v>8483.6427463696073</v>
      </c>
      <c r="T684" s="1516">
        <v>8852.6605277101262</v>
      </c>
      <c r="W684" s="913">
        <f t="shared" si="359"/>
        <v>5529.2570000000014</v>
      </c>
    </row>
    <row r="685" spans="1:23">
      <c r="B685" s="889" t="s">
        <v>798</v>
      </c>
      <c r="E685" s="914"/>
      <c r="F685" s="914"/>
      <c r="G685" s="914"/>
      <c r="H685" s="914"/>
      <c r="I685" s="914"/>
      <c r="J685" s="914"/>
      <c r="K685" s="914"/>
      <c r="L685" s="914"/>
      <c r="M685" s="914"/>
      <c r="N685" s="914"/>
      <c r="O685" s="923"/>
      <c r="P685" s="923"/>
      <c r="Q685" s="923"/>
      <c r="R685" s="923"/>
      <c r="S685" s="923"/>
      <c r="T685" s="923"/>
      <c r="W685" s="914"/>
    </row>
    <row r="686" spans="1:23">
      <c r="B686" s="962" t="s">
        <v>173</v>
      </c>
      <c r="D686" s="916">
        <v>-2777.3850000000002</v>
      </c>
      <c r="E686" s="916">
        <v>-682.32899999999995</v>
      </c>
      <c r="F686" s="916">
        <f>-1410.368-E686</f>
        <v>-728.03899999999999</v>
      </c>
      <c r="G686" s="916">
        <f>-2173.85-F686-E686</f>
        <v>-763.48199999999997</v>
      </c>
      <c r="H686" s="916">
        <f>-2939.979-G686-F686-E686</f>
        <v>-766.12899999999991</v>
      </c>
      <c r="I686" s="916">
        <v>-2939.9789999999998</v>
      </c>
      <c r="J686" s="916">
        <v>-758.15700000000004</v>
      </c>
      <c r="K686" s="916">
        <v>-781.79100000000005</v>
      </c>
      <c r="L686" s="916">
        <v>-766.26399999999978</v>
      </c>
      <c r="M686" s="914"/>
      <c r="N686" s="914">
        <f>-'Balance Sheet and Cflow'!T187</f>
        <v>-3112.8020000000001</v>
      </c>
      <c r="O686" s="923">
        <v>-3070.9090238682325</v>
      </c>
      <c r="P686" s="923">
        <v>-2968.7092337750842</v>
      </c>
      <c r="Q686" s="923">
        <v>-2901.4251843705065</v>
      </c>
      <c r="R686" s="923">
        <v>-2832.8215444542593</v>
      </c>
      <c r="S686" s="923">
        <v>-2760.3942445965422</v>
      </c>
      <c r="T686" s="923">
        <v>-2685.7003176651092</v>
      </c>
      <c r="W686" s="914"/>
    </row>
    <row r="687" spans="1:23">
      <c r="B687" s="962" t="s">
        <v>355</v>
      </c>
      <c r="D687" s="916">
        <v>111.718</v>
      </c>
      <c r="E687" s="916">
        <f>27.281</f>
        <v>27.280999999999999</v>
      </c>
      <c r="F687" s="916">
        <f>46.155-E687</f>
        <v>18.874000000000002</v>
      </c>
      <c r="G687" s="916">
        <f>70.162-F687-E687</f>
        <v>24.007000000000005</v>
      </c>
      <c r="H687" s="916">
        <f>100.096-G687-F687-E687</f>
        <v>29.933999999999997</v>
      </c>
      <c r="I687" s="916">
        <v>100.096</v>
      </c>
      <c r="J687" s="916">
        <v>15.672000000000001</v>
      </c>
      <c r="K687" s="916">
        <v>16.577999999999999</v>
      </c>
      <c r="L687" s="916">
        <v>25.213999999999995</v>
      </c>
      <c r="M687" s="914"/>
      <c r="N687" s="914">
        <f>'Balance Sheet and Cflow'!T189</f>
        <v>80.256</v>
      </c>
      <c r="O687" s="923">
        <v>96.249029510466457</v>
      </c>
      <c r="P687" s="923">
        <v>99.250109173554662</v>
      </c>
      <c r="Q687" s="923">
        <v>102.0153460496508</v>
      </c>
      <c r="R687" s="923">
        <v>104.66067187084165</v>
      </c>
      <c r="S687" s="923">
        <v>107.17274953062804</v>
      </c>
      <c r="T687" s="923">
        <v>109.76458253801432</v>
      </c>
      <c r="W687" s="914"/>
    </row>
    <row r="688" spans="1:23">
      <c r="B688" s="762" t="s">
        <v>96</v>
      </c>
      <c r="E688" s="914">
        <f>'Income Statement'!CA262</f>
        <v>-655.048</v>
      </c>
      <c r="F688" s="914">
        <f>'Income Statement'!CB262</f>
        <v>-709.16499999999996</v>
      </c>
      <c r="G688" s="914">
        <f>'Income Statement'!CC262</f>
        <v>-739.47500000000014</v>
      </c>
      <c r="H688" s="914">
        <f>'Income Statement'!CD262</f>
        <v>-736.19499999999971</v>
      </c>
      <c r="I688" s="914">
        <f>'Income Statement'!CE262</f>
        <v>-2839.8829999999998</v>
      </c>
      <c r="J688" s="914">
        <f>'Income Statement'!CF262</f>
        <v>-742.48500000000001</v>
      </c>
      <c r="K688" s="914">
        <f>'Income Statement'!CG262</f>
        <v>-765.21300000000008</v>
      </c>
      <c r="L688" s="914">
        <f>'Income Statement'!CH262</f>
        <v>-741.04999999999984</v>
      </c>
      <c r="M688" s="914"/>
      <c r="N688" s="914">
        <f>'Income Statement'!CJ262</f>
        <v>-3032.5460000000003</v>
      </c>
      <c r="O688" s="923">
        <v>-2974.6599943577662</v>
      </c>
      <c r="P688" s="923">
        <v>-2869.4591246015293</v>
      </c>
      <c r="Q688" s="923">
        <v>-2799.4098383208557</v>
      </c>
      <c r="R688" s="923">
        <v>-2728.1608725834176</v>
      </c>
      <c r="S688" s="923">
        <v>-2653.221495065914</v>
      </c>
      <c r="T688" s="923">
        <v>-2575.9357351270951</v>
      </c>
      <c r="W688" s="914">
        <f>SUM(J688:L688)+H688</f>
        <v>-2984.9429999999998</v>
      </c>
    </row>
    <row r="689" spans="1:23">
      <c r="B689" s="762" t="s">
        <v>501</v>
      </c>
      <c r="E689" s="914">
        <f t="shared" ref="E689:L689" si="360">E690-E688-E684</f>
        <v>47.819999999999936</v>
      </c>
      <c r="F689" s="914">
        <f t="shared" si="360"/>
        <v>35.860000000000127</v>
      </c>
      <c r="G689" s="914">
        <f t="shared" si="360"/>
        <v>40.446000000001277</v>
      </c>
      <c r="H689" s="914">
        <f t="shared" si="360"/>
        <v>-116.96800000000167</v>
      </c>
      <c r="I689" s="914">
        <f t="shared" si="360"/>
        <v>7.157999999999447</v>
      </c>
      <c r="J689" s="914">
        <f t="shared" si="360"/>
        <v>-27.099999999999909</v>
      </c>
      <c r="K689" s="914">
        <f t="shared" si="360"/>
        <v>89.967999999999847</v>
      </c>
      <c r="L689" s="914">
        <f t="shared" si="360"/>
        <v>-282.32000000000016</v>
      </c>
      <c r="M689" s="914"/>
      <c r="N689" s="914">
        <f t="shared" ref="N689" si="361">N690-N688-N684</f>
        <v>-344.89400000000023</v>
      </c>
      <c r="O689" s="923">
        <v>-344.89400000000023</v>
      </c>
      <c r="P689" s="923">
        <v>-344.89400000000114</v>
      </c>
      <c r="Q689" s="923">
        <v>-344.89400000000114</v>
      </c>
      <c r="R689" s="923">
        <v>-344.89400000000023</v>
      </c>
      <c r="S689" s="923">
        <v>-344.89400000000023</v>
      </c>
      <c r="T689" s="923">
        <v>-344.89400000000023</v>
      </c>
      <c r="W689" s="914">
        <f>SUM(J690:L690)+H690</f>
        <v>2207.8939999999998</v>
      </c>
    </row>
    <row r="690" spans="1:23" s="892" customFormat="1">
      <c r="A690" s="147"/>
      <c r="B690" s="890" t="s">
        <v>799</v>
      </c>
      <c r="E690" s="913">
        <f>'Income Statement'!CA266</f>
        <v>237.77700000000004</v>
      </c>
      <c r="F690" s="913">
        <f>'Income Statement'!CB266</f>
        <v>565.55600000000004</v>
      </c>
      <c r="G690" s="913">
        <f>'Income Statement'!CC266</f>
        <v>447.22399999999993</v>
      </c>
      <c r="H690" s="913">
        <f>'Income Statement'!CD266</f>
        <v>453.96000000000004</v>
      </c>
      <c r="I690" s="913">
        <f>'Income Statement'!CE266</f>
        <v>1704.5170000000001</v>
      </c>
      <c r="J690" s="913">
        <f>'Income Statement'!CF266</f>
        <v>677.19600000000003</v>
      </c>
      <c r="K690" s="913">
        <f>'Income Statement'!CG266</f>
        <v>661.13600000000008</v>
      </c>
      <c r="L690" s="913">
        <f>'Income Statement'!CH266</f>
        <v>415.60199999999975</v>
      </c>
      <c r="M690" s="913"/>
      <c r="N690" s="913">
        <f>'Income Statement'!CJ266</f>
        <v>2427.2249999999999</v>
      </c>
      <c r="O690" s="1516">
        <v>3092.8870229726808</v>
      </c>
      <c r="P690" s="1516">
        <v>3776.8238397689051</v>
      </c>
      <c r="Q690" s="1516">
        <v>4353.3428180886949</v>
      </c>
      <c r="R690" s="1516">
        <v>5028.9641985983526</v>
      </c>
      <c r="S690" s="1516">
        <v>5485.5272513036925</v>
      </c>
      <c r="T690" s="1516">
        <v>5931.8307925830304</v>
      </c>
      <c r="W690" s="913">
        <f>SUM(J689:L689)+H689</f>
        <v>-336.42000000000189</v>
      </c>
    </row>
    <row r="691" spans="1:23">
      <c r="B691" s="762" t="s">
        <v>809</v>
      </c>
      <c r="E691" s="914">
        <f>'Income Statement'!CA268</f>
        <v>-33.601999999999975</v>
      </c>
      <c r="F691" s="914">
        <f>'Income Statement'!CB268</f>
        <v>-112.20700000000005</v>
      </c>
      <c r="G691" s="914">
        <f>'Income Statement'!CC268</f>
        <v>-86.165000000000077</v>
      </c>
      <c r="H691" s="914">
        <f>'Income Statement'!CD268</f>
        <v>-188.09499999999997</v>
      </c>
      <c r="I691" s="914">
        <f>'Income Statement'!CE268</f>
        <v>-420.06900000000007</v>
      </c>
      <c r="J691" s="914">
        <f>'Income Statement'!CF268</f>
        <v>-129.76600000000008</v>
      </c>
      <c r="K691" s="914">
        <f>'Income Statement'!CG268</f>
        <v>-171.40100000000007</v>
      </c>
      <c r="L691" s="914">
        <f>'Income Statement'!CH268</f>
        <v>-117.8349999999997</v>
      </c>
      <c r="M691" s="914"/>
      <c r="N691" s="914">
        <f>'Income Statement'!CJ268</f>
        <v>-579.59399999999994</v>
      </c>
      <c r="O691" s="923">
        <v>-738.546595883294</v>
      </c>
      <c r="P691" s="923">
        <v>-901.86300676163899</v>
      </c>
      <c r="Q691" s="923">
        <v>-1039.5292473121772</v>
      </c>
      <c r="R691" s="923">
        <v>-1200.8600256352065</v>
      </c>
      <c r="S691" s="923">
        <v>-1309.882141825382</v>
      </c>
      <c r="T691" s="923">
        <v>-1416.4544022067873</v>
      </c>
      <c r="W691" s="914">
        <f>SUM(J691:L691)+H691</f>
        <v>-607.09699999999975</v>
      </c>
    </row>
    <row r="692" spans="1:23" s="892" customFormat="1">
      <c r="A692" s="147"/>
      <c r="B692" s="889" t="s">
        <v>1056</v>
      </c>
      <c r="E692" s="913">
        <f>'Income Statement'!CA271</f>
        <v>204.17500000000007</v>
      </c>
      <c r="F692" s="913">
        <f>'Income Statement'!CB271</f>
        <v>453.34899999999999</v>
      </c>
      <c r="G692" s="913">
        <f>'Income Statement'!CC271</f>
        <v>361.05899999999986</v>
      </c>
      <c r="H692" s="913">
        <f>'Income Statement'!CD271</f>
        <v>265.86500000000007</v>
      </c>
      <c r="I692" s="913">
        <f>'Income Statement'!CE271</f>
        <v>1284.4479999999999</v>
      </c>
      <c r="J692" s="913">
        <f>'Income Statement'!CF271</f>
        <v>547.42999999999995</v>
      </c>
      <c r="K692" s="913">
        <f>'Income Statement'!CG271</f>
        <v>489.73500000000001</v>
      </c>
      <c r="L692" s="913">
        <f>'Income Statement'!CH271</f>
        <v>297.76700000000005</v>
      </c>
      <c r="M692" s="913"/>
      <c r="N692" s="913">
        <f>'Income Statement'!CJ271</f>
        <v>1847.6309999999999</v>
      </c>
      <c r="O692" s="1516">
        <v>2354.340427089387</v>
      </c>
      <c r="P692" s="1516">
        <v>2874.960833007266</v>
      </c>
      <c r="Q692" s="1516">
        <v>3313.8135707765177</v>
      </c>
      <c r="R692" s="1516">
        <v>3828.1041729631461</v>
      </c>
      <c r="S692" s="1516">
        <v>4175.6451094783106</v>
      </c>
      <c r="T692" s="1516">
        <v>4515.3763903762429</v>
      </c>
      <c r="W692" s="913">
        <f>SUM(J692:L692)+H692</f>
        <v>1600.797</v>
      </c>
    </row>
    <row r="693" spans="1:23">
      <c r="E693" s="914"/>
      <c r="F693" s="914"/>
      <c r="G693" s="914"/>
      <c r="H693" s="914"/>
      <c r="I693" s="914"/>
      <c r="J693" s="914"/>
      <c r="K693" s="914"/>
      <c r="L693" s="914"/>
      <c r="M693" s="914"/>
      <c r="N693" s="914"/>
      <c r="O693" s="923"/>
      <c r="P693" s="923"/>
      <c r="Q693" s="923"/>
      <c r="R693" s="923"/>
      <c r="S693" s="923"/>
      <c r="T693" s="923"/>
      <c r="W693" s="914"/>
    </row>
    <row r="694" spans="1:23">
      <c r="B694" s="147" t="s">
        <v>248</v>
      </c>
      <c r="E694" s="913">
        <f>'Income Statement'!CA27</f>
        <v>1413</v>
      </c>
      <c r="F694" s="913">
        <f>'Income Statement'!CB27</f>
        <v>1743</v>
      </c>
      <c r="G694" s="913">
        <f>'Income Statement'!CC27</f>
        <v>2389</v>
      </c>
      <c r="H694" s="913">
        <f>'Income Statement'!CD27</f>
        <v>1613</v>
      </c>
      <c r="I694" s="913">
        <f>'Income Statement'!CE27</f>
        <v>7158</v>
      </c>
      <c r="J694" s="913">
        <f>'Income Statement'!CF27</f>
        <v>2057</v>
      </c>
      <c r="K694" s="913">
        <f>'Income Statement'!CG27</f>
        <v>2088</v>
      </c>
      <c r="L694" s="913">
        <f>'Income Statement'!CH27</f>
        <v>1504</v>
      </c>
      <c r="M694" s="913"/>
      <c r="N694" s="913">
        <f>'Income Statement'!CJ27</f>
        <v>7382</v>
      </c>
      <c r="O694" s="1516">
        <v>7829.2493014534921</v>
      </c>
      <c r="P694" s="1516">
        <v>8046.1855180603307</v>
      </c>
      <c r="Q694" s="1516">
        <v>8271.5595230998497</v>
      </c>
      <c r="R694" s="1516">
        <v>8469.3155075423165</v>
      </c>
      <c r="S694" s="1516">
        <v>8673.3759591881844</v>
      </c>
      <c r="T694" s="1516">
        <v>8883.8891167246911</v>
      </c>
      <c r="W694" s="913">
        <f>SUM(J694:L694)+H694</f>
        <v>7262</v>
      </c>
    </row>
    <row r="695" spans="1:23">
      <c r="E695" s="170">
        <f>E694/E672</f>
        <v>0.18721867512246726</v>
      </c>
      <c r="F695" s="170">
        <f t="shared" ref="F695:T695" si="362">F694/F672</f>
        <v>0.21211597182155531</v>
      </c>
      <c r="G695" s="170">
        <f t="shared" si="362"/>
        <v>0.29481899730195577</v>
      </c>
      <c r="H695" s="170">
        <f t="shared" si="362"/>
        <v>0.19077814181616767</v>
      </c>
      <c r="I695" s="170">
        <f t="shared" si="362"/>
        <v>0.22145460779191653</v>
      </c>
      <c r="J695" s="170">
        <f t="shared" si="362"/>
        <v>0.24376991296217182</v>
      </c>
      <c r="K695" s="170">
        <f t="shared" si="362"/>
        <v>0.24241546109092527</v>
      </c>
      <c r="L695" s="170">
        <f t="shared" si="362"/>
        <v>0.18099081399415201</v>
      </c>
      <c r="M695" s="170"/>
      <c r="N695" s="170">
        <f t="shared" si="362"/>
        <v>0.21464545540005017</v>
      </c>
      <c r="O695" s="170">
        <f t="shared" si="362"/>
        <v>0.22</v>
      </c>
      <c r="P695" s="170">
        <f t="shared" si="362"/>
        <v>0.22</v>
      </c>
      <c r="Q695" s="170">
        <f t="shared" si="362"/>
        <v>0.22</v>
      </c>
      <c r="R695" s="170">
        <f t="shared" si="362"/>
        <v>0.22</v>
      </c>
      <c r="S695" s="170">
        <f t="shared" si="362"/>
        <v>0.22</v>
      </c>
      <c r="T695" s="170">
        <f t="shared" si="362"/>
        <v>0.21999999999999997</v>
      </c>
      <c r="W695" s="170">
        <f>W694/W672</f>
        <v>0.21474877557416316</v>
      </c>
    </row>
    <row r="698" spans="1:23">
      <c r="B698" s="147" t="s">
        <v>790</v>
      </c>
    </row>
    <row r="699" spans="1:23">
      <c r="B699" s="146" t="s">
        <v>1070</v>
      </c>
      <c r="D699" s="891">
        <f>'Balance Sheet and Cflow'!R46</f>
        <v>12109.914999999999</v>
      </c>
      <c r="I699" s="891">
        <f>'Balance Sheet and Cflow'!S46</f>
        <v>10104.588</v>
      </c>
      <c r="L699" s="891">
        <v>12698</v>
      </c>
      <c r="N699" s="891">
        <f>'Balance Sheet and Cflow'!T197+'Balance Sheet and Cflow'!T198</f>
        <v>12493.376</v>
      </c>
      <c r="O699" s="891">
        <f>'Balance Sheet and Cflow'!V197+'Balance Sheet and Cflow'!V198</f>
        <v>35294.720518528193</v>
      </c>
      <c r="W699" s="891">
        <f>L699</f>
        <v>12698</v>
      </c>
    </row>
    <row r="700" spans="1:23">
      <c r="B700" s="146" t="s">
        <v>978</v>
      </c>
      <c r="D700" s="891">
        <f>'Balance Sheet and Cflow'!R27+'Balance Sheet and Cflow'!R32</f>
        <v>31849.858</v>
      </c>
      <c r="I700" s="891">
        <f>'Balance Sheet and Cflow'!S27+'Balance Sheet and Cflow'!S32</f>
        <v>35813.446000000004</v>
      </c>
      <c r="L700" s="891">
        <f>5774.59+28171.41</f>
        <v>33946</v>
      </c>
      <c r="N700" s="891">
        <f>'Balance Sheet and Cflow'!T201+'Balance Sheet and Cflow'!T202</f>
        <v>33594.637999999999</v>
      </c>
      <c r="O700" s="891">
        <f>'Balance Sheet and Cflow'!V201+'Balance Sheet and Cflow'!V202</f>
        <v>37703.138758514135</v>
      </c>
      <c r="W700" s="891">
        <f>L700</f>
        <v>33946</v>
      </c>
    </row>
    <row r="701" spans="1:23">
      <c r="B701" s="146" t="s">
        <v>1069</v>
      </c>
      <c r="D701" s="891">
        <f>-'Balance Sheet and Cflow'!R47</f>
        <v>5184.1130000000003</v>
      </c>
      <c r="I701" s="891">
        <f>-'Balance Sheet and Cflow'!S47</f>
        <v>966.02700000000004</v>
      </c>
      <c r="L701" s="891">
        <v>1835</v>
      </c>
      <c r="N701" s="891">
        <f>'Balance Sheet and Cflow'!T199</f>
        <v>1386.6369999999999</v>
      </c>
      <c r="O701" s="891">
        <f>'Balance Sheet and Cflow'!V199</f>
        <v>1712.5161907578859</v>
      </c>
      <c r="W701" s="891">
        <f>L701</f>
        <v>1835</v>
      </c>
    </row>
    <row r="702" spans="1:23">
      <c r="D702" s="891">
        <f>D699+D700-D701</f>
        <v>38775.660000000003</v>
      </c>
      <c r="I702" s="891">
        <f>I699+I700-I701</f>
        <v>44952.006999999998</v>
      </c>
      <c r="L702" s="891">
        <f>L699+L700-L701</f>
        <v>44809</v>
      </c>
      <c r="N702" s="891">
        <f>N699+N700-N701</f>
        <v>44701.376999999993</v>
      </c>
      <c r="O702" s="891">
        <f>O699+O700-O701</f>
        <v>71285.34308628444</v>
      </c>
    </row>
    <row r="703" spans="1:23">
      <c r="B703" s="146" t="s">
        <v>1157</v>
      </c>
    </row>
    <row r="705" spans="1:23">
      <c r="B705" s="146" t="s">
        <v>606</v>
      </c>
      <c r="D705" s="170">
        <f>-D686/(D699+D700)</f>
        <v>6.3180148814690196E-2</v>
      </c>
      <c r="I705" s="170">
        <f>-I686/(I699+I700)</f>
        <v>6.4026674138531275E-2</v>
      </c>
    </row>
    <row r="706" spans="1:23">
      <c r="B706" s="146" t="s">
        <v>1158</v>
      </c>
      <c r="D706" s="170">
        <f>D687/D701</f>
        <v>2.1550070378481334E-2</v>
      </c>
      <c r="I706" s="170">
        <f>I687/I701</f>
        <v>0.10361615151543384</v>
      </c>
    </row>
    <row r="709" spans="1:23">
      <c r="A709" s="146" t="s">
        <v>615</v>
      </c>
      <c r="B709" s="249" t="s">
        <v>856</v>
      </c>
    </row>
    <row r="711" spans="1:23" s="892" customFormat="1">
      <c r="A711" s="147"/>
      <c r="B711" s="889" t="s">
        <v>687</v>
      </c>
      <c r="D711" s="915">
        <v>11202.579</v>
      </c>
      <c r="E711" s="915">
        <v>2774.465592</v>
      </c>
      <c r="F711" s="915">
        <v>2787.367663</v>
      </c>
      <c r="G711" s="915">
        <f>8629.536-F711-E711</f>
        <v>3067.702745</v>
      </c>
      <c r="H711" s="915">
        <v>3026.172</v>
      </c>
      <c r="I711" s="915">
        <v>11655.708000000001</v>
      </c>
      <c r="J711" s="915">
        <v>2778.7750000000001</v>
      </c>
      <c r="K711" s="915">
        <v>2794.0590000000002</v>
      </c>
      <c r="L711" s="915">
        <v>2970.252</v>
      </c>
      <c r="M711" s="915"/>
      <c r="N711" s="915">
        <v>11419.725</v>
      </c>
      <c r="O711" s="892">
        <f t="shared" ref="O711:T711" si="363">N711*(1+O25)</f>
        <v>11816.823370472122</v>
      </c>
      <c r="P711" s="892">
        <f t="shared" si="363"/>
        <v>12144.249009329425</v>
      </c>
      <c r="Q711" s="892">
        <f t="shared" si="363"/>
        <v>12484.409950347546</v>
      </c>
      <c r="R711" s="892">
        <f t="shared" si="363"/>
        <v>12782.886528194753</v>
      </c>
      <c r="S711" s="892">
        <f t="shared" si="363"/>
        <v>13090.878549032604</v>
      </c>
      <c r="T711" s="892">
        <f t="shared" si="363"/>
        <v>13408.609752113271</v>
      </c>
      <c r="W711" s="892">
        <f>SUM(J711:L711)+H711</f>
        <v>11569.258000000002</v>
      </c>
    </row>
    <row r="712" spans="1:23">
      <c r="B712" s="889" t="s">
        <v>796</v>
      </c>
    </row>
    <row r="713" spans="1:23">
      <c r="B713" s="767" t="s">
        <v>499</v>
      </c>
    </row>
    <row r="714" spans="1:23">
      <c r="B714" s="767" t="s">
        <v>69</v>
      </c>
    </row>
    <row r="715" spans="1:23">
      <c r="B715" s="767" t="s">
        <v>70</v>
      </c>
    </row>
    <row r="716" spans="1:23">
      <c r="B716" s="767" t="s">
        <v>258</v>
      </c>
    </row>
    <row r="717" spans="1:23">
      <c r="B717" s="767" t="s">
        <v>75</v>
      </c>
    </row>
    <row r="718" spans="1:23">
      <c r="B718" s="767" t="s">
        <v>501</v>
      </c>
    </row>
    <row r="719" spans="1:23">
      <c r="B719" s="893" t="s">
        <v>76</v>
      </c>
    </row>
    <row r="720" spans="1:23" s="892" customFormat="1">
      <c r="A720" s="147"/>
      <c r="B720" s="889" t="s">
        <v>2</v>
      </c>
      <c r="D720" s="915">
        <f>D711-10579.457+4401.421</f>
        <v>5024.5429999999997</v>
      </c>
      <c r="E720" s="915">
        <v>1257.80385</v>
      </c>
      <c r="F720" s="915">
        <v>1229.1776400000001</v>
      </c>
      <c r="G720" s="915">
        <v>1368.47351</v>
      </c>
      <c r="H720" s="915">
        <v>1355.5540000000001</v>
      </c>
      <c r="I720" s="915">
        <v>5211.009</v>
      </c>
      <c r="J720" s="915">
        <v>1240.9449999999999</v>
      </c>
      <c r="K720" s="915">
        <v>1250.3720000000001</v>
      </c>
      <c r="L720" s="915">
        <v>1209.5709999999999</v>
      </c>
      <c r="M720" s="915"/>
      <c r="N720" s="915">
        <v>4572.777</v>
      </c>
      <c r="O720" s="892">
        <f t="shared" ref="O720:T720" si="364">O711*O29</f>
        <v>4738.546171559321</v>
      </c>
      <c r="P720" s="892">
        <f t="shared" si="364"/>
        <v>4881.9881017504295</v>
      </c>
      <c r="Q720" s="892">
        <f t="shared" si="364"/>
        <v>5081.1548497914519</v>
      </c>
      <c r="R720" s="892">
        <f t="shared" si="364"/>
        <v>5330.463682257212</v>
      </c>
      <c r="S720" s="892">
        <f t="shared" si="364"/>
        <v>5589.8051404369226</v>
      </c>
      <c r="T720" s="892">
        <f t="shared" si="364"/>
        <v>5859.5624616735004</v>
      </c>
      <c r="W720" s="892">
        <f>SUM(J720:L720)+H720</f>
        <v>5056.442</v>
      </c>
    </row>
    <row r="721" spans="1:23">
      <c r="B721" s="767" t="s">
        <v>91</v>
      </c>
      <c r="E721" s="916">
        <v>1090.0934030000001</v>
      </c>
      <c r="F721" s="916">
        <v>1157.6554639999999</v>
      </c>
      <c r="G721" s="916">
        <v>1145.018133</v>
      </c>
      <c r="H721" s="916">
        <v>1080.8710000000001</v>
      </c>
      <c r="I721" s="916">
        <v>4473.6379999999999</v>
      </c>
      <c r="J721" s="916">
        <v>1131.3610000000001</v>
      </c>
      <c r="K721" s="916">
        <v>1210.9290000000001</v>
      </c>
      <c r="L721" s="916">
        <v>1372.4960000000001</v>
      </c>
      <c r="M721" s="916"/>
      <c r="N721" s="916">
        <v>4753.3069999999998</v>
      </c>
      <c r="W721" s="891">
        <f>SUM(J721:L721)+H721</f>
        <v>4795.6570000000002</v>
      </c>
    </row>
    <row r="722" spans="1:23">
      <c r="B722" s="767" t="s">
        <v>93</v>
      </c>
      <c r="E722" s="916">
        <v>29.428279</v>
      </c>
      <c r="F722" s="916">
        <v>33.003914999999999</v>
      </c>
      <c r="G722" s="916">
        <v>34.163806000000001</v>
      </c>
      <c r="H722" s="916">
        <v>32.018000000000001</v>
      </c>
      <c r="I722" s="916">
        <v>128.614</v>
      </c>
      <c r="J722" s="916">
        <v>32.235999999999997</v>
      </c>
      <c r="K722" s="916">
        <v>32.030999999999999</v>
      </c>
      <c r="L722" s="916">
        <v>32.024000000000001</v>
      </c>
      <c r="M722" s="916"/>
      <c r="N722" s="916">
        <v>128.81899999999999</v>
      </c>
      <c r="W722" s="891">
        <f>SUM(J722:L722)+H722</f>
        <v>128.309</v>
      </c>
    </row>
    <row r="723" spans="1:23" s="892" customFormat="1">
      <c r="A723" s="147"/>
      <c r="B723" s="889" t="s">
        <v>77</v>
      </c>
      <c r="D723" s="915">
        <f>D720-4401.421</f>
        <v>623.12199999999939</v>
      </c>
      <c r="E723" s="915">
        <v>138.28217000000001</v>
      </c>
      <c r="F723" s="915">
        <v>38.518259999999998</v>
      </c>
      <c r="G723" s="915">
        <v>189.29157000000001</v>
      </c>
      <c r="H723" s="915">
        <v>242.66499999999999</v>
      </c>
      <c r="I723" s="915">
        <v>608.75699999999995</v>
      </c>
      <c r="J723" s="915">
        <v>77.347999999999999</v>
      </c>
      <c r="K723" s="915">
        <v>7.4119999999999999</v>
      </c>
      <c r="L723" s="915">
        <v>-194.94900000000001</v>
      </c>
      <c r="M723" s="915"/>
      <c r="N723" s="915">
        <v>-309.34899999999999</v>
      </c>
      <c r="W723" s="892">
        <f>SUM(J723:L723)+H723</f>
        <v>132.476</v>
      </c>
    </row>
    <row r="724" spans="1:23">
      <c r="B724" s="889" t="s">
        <v>798</v>
      </c>
    </row>
    <row r="725" spans="1:23">
      <c r="B725" s="962" t="s">
        <v>173</v>
      </c>
      <c r="D725" s="916">
        <v>-1048.163</v>
      </c>
      <c r="E725" s="916">
        <v>-269.96600000000001</v>
      </c>
      <c r="F725" s="891">
        <f>-585.965-E725</f>
        <v>-315.99900000000002</v>
      </c>
      <c r="G725" s="891">
        <f>-926.627-F725-E725</f>
        <v>-340.66199999999992</v>
      </c>
      <c r="H725" s="891">
        <f>I725-G725-F725-E725</f>
        <v>-351.56600000000003</v>
      </c>
      <c r="I725" s="916">
        <v>-1278.193</v>
      </c>
      <c r="J725" s="916">
        <v>-318.67599999999999</v>
      </c>
      <c r="K725" s="916">
        <f>-601.217-J725</f>
        <v>-282.541</v>
      </c>
      <c r="L725" s="916">
        <f>-974.716-K725-J725</f>
        <v>-373.49899999999997</v>
      </c>
      <c r="M725" s="916"/>
      <c r="N725" s="916">
        <v>-1317.934</v>
      </c>
    </row>
    <row r="726" spans="1:23">
      <c r="B726" s="962" t="s">
        <v>355</v>
      </c>
      <c r="D726" s="916">
        <v>5.0380000000000003</v>
      </c>
      <c r="E726" s="891">
        <v>0.65500000000000003</v>
      </c>
      <c r="F726" s="891">
        <f>1.789-E726</f>
        <v>1.1339999999999999</v>
      </c>
      <c r="G726" s="891">
        <f>2.526-F726-E726</f>
        <v>0.73699999999999988</v>
      </c>
      <c r="H726" s="891">
        <f>I726-G726-F726-E726</f>
        <v>2.0499999999999998</v>
      </c>
      <c r="I726" s="916">
        <v>4.5759999999999996</v>
      </c>
      <c r="J726" s="916">
        <v>1.1930000000000001</v>
      </c>
      <c r="K726" s="916">
        <f>13.835-J726</f>
        <v>12.642000000000001</v>
      </c>
      <c r="L726" s="916">
        <f>26.574-K726-J726</f>
        <v>12.739000000000001</v>
      </c>
      <c r="M726" s="916"/>
      <c r="N726" s="916">
        <v>33.415999999999997</v>
      </c>
    </row>
    <row r="727" spans="1:23">
      <c r="B727" s="762" t="s">
        <v>96</v>
      </c>
      <c r="D727" s="963">
        <f>SUM(D725:D726)</f>
        <v>-1043.125</v>
      </c>
      <c r="E727" s="963">
        <f>SUM(E725:E726)</f>
        <v>-269.31100000000004</v>
      </c>
      <c r="F727" s="963">
        <f t="shared" ref="F727:I727" si="365">SUM(F725:F726)</f>
        <v>-314.86500000000001</v>
      </c>
      <c r="G727" s="963">
        <f t="shared" si="365"/>
        <v>-339.9249999999999</v>
      </c>
      <c r="H727" s="963">
        <f t="shared" si="365"/>
        <v>-349.51600000000002</v>
      </c>
      <c r="I727" s="963">
        <f t="shared" si="365"/>
        <v>-1273.617</v>
      </c>
      <c r="J727" s="963">
        <f t="shared" ref="J727:N727" si="366">SUM(J725:J726)</f>
        <v>-317.483</v>
      </c>
      <c r="K727" s="963">
        <f t="shared" si="366"/>
        <v>-269.899</v>
      </c>
      <c r="L727" s="963">
        <f t="shared" si="366"/>
        <v>-360.76</v>
      </c>
      <c r="M727" s="963">
        <f t="shared" si="366"/>
        <v>0</v>
      </c>
      <c r="N727" s="963">
        <f t="shared" si="366"/>
        <v>-1284.518</v>
      </c>
    </row>
    <row r="728" spans="1:23">
      <c r="B728" s="762" t="s">
        <v>501</v>
      </c>
      <c r="D728" s="891">
        <f>D729-D726-D725-D723</f>
        <v>1496.4790000000007</v>
      </c>
      <c r="E728" s="891">
        <f t="shared" ref="E728:I728" si="367">E729-E726-E725-E723</f>
        <v>-117.05517</v>
      </c>
      <c r="F728" s="891">
        <f t="shared" si="367"/>
        <v>121.01274000000004</v>
      </c>
      <c r="G728" s="891">
        <f t="shared" si="367"/>
        <v>-92.942570000000103</v>
      </c>
      <c r="H728" s="891">
        <f t="shared" si="367"/>
        <v>838.98400000000015</v>
      </c>
      <c r="I728" s="891">
        <f t="shared" si="367"/>
        <v>749.99900000000014</v>
      </c>
      <c r="J728" s="891">
        <f t="shared" ref="J728:N728" si="368">J729-J726-J725-J723</f>
        <v>45.311999999999969</v>
      </c>
      <c r="K728" s="891">
        <f t="shared" si="368"/>
        <v>104.63999999999999</v>
      </c>
      <c r="L728" s="891">
        <f t="shared" si="368"/>
        <v>-35.090000000000146</v>
      </c>
      <c r="M728" s="891">
        <f t="shared" si="368"/>
        <v>0</v>
      </c>
      <c r="N728" s="891">
        <f t="shared" si="368"/>
        <v>307.50399999999996</v>
      </c>
      <c r="W728" s="891">
        <f>SUM(J728:L728)+H728</f>
        <v>953.846</v>
      </c>
    </row>
    <row r="729" spans="1:23" s="892" customFormat="1">
      <c r="A729" s="147"/>
      <c r="B729" s="890" t="s">
        <v>799</v>
      </c>
      <c r="D729" s="915">
        <v>1076.4760000000001</v>
      </c>
      <c r="E729" s="915">
        <v>-248.084</v>
      </c>
      <c r="F729" s="915">
        <f>-403.418-E729</f>
        <v>-155.334</v>
      </c>
      <c r="G729" s="915">
        <f>-646.994-F729-E729</f>
        <v>-243.57600000000002</v>
      </c>
      <c r="H729" s="915">
        <f>I729-G729-F729-E729</f>
        <v>732.13300000000004</v>
      </c>
      <c r="I729" s="915">
        <v>85.138999999999996</v>
      </c>
      <c r="J729" s="915">
        <v>-194.82300000000001</v>
      </c>
      <c r="K729" s="915">
        <f>-352.67-J729</f>
        <v>-157.84700000000001</v>
      </c>
      <c r="L729" s="915">
        <f>-943.469-K729-J729</f>
        <v>-590.79900000000009</v>
      </c>
      <c r="M729" s="915"/>
      <c r="N729" s="915">
        <v>-1286.3630000000001</v>
      </c>
      <c r="W729" s="891">
        <f>SUM(J729:L729)+H729</f>
        <v>-211.33600000000001</v>
      </c>
    </row>
    <row r="730" spans="1:23">
      <c r="B730" s="762" t="s">
        <v>809</v>
      </c>
      <c r="D730" s="916">
        <v>-12.170999999999999</v>
      </c>
      <c r="E730" s="916">
        <v>-131.899429</v>
      </c>
      <c r="F730" s="916">
        <f>-139.795-E730</f>
        <v>-7.8955709999999897</v>
      </c>
      <c r="G730" s="916">
        <f>47.337-F730-E730</f>
        <v>187.13200000000001</v>
      </c>
      <c r="H730" s="916">
        <f>I730-G730-F730-E730</f>
        <v>-241.42800000000005</v>
      </c>
      <c r="I730" s="916">
        <v>-194.09100000000001</v>
      </c>
      <c r="J730" s="916">
        <v>-58.598999999999997</v>
      </c>
      <c r="K730" s="916">
        <f>-121.12-J730</f>
        <v>-62.521000000000008</v>
      </c>
      <c r="L730" s="916">
        <f>-64.271-K730-J730</f>
        <v>56.849000000000004</v>
      </c>
      <c r="M730" s="916"/>
      <c r="N730" s="916">
        <v>-8.6129999999999995</v>
      </c>
      <c r="W730" s="891">
        <f>SUM(J730:L730)+H730</f>
        <v>-305.69900000000007</v>
      </c>
    </row>
    <row r="731" spans="1:23" s="892" customFormat="1">
      <c r="A731" s="147"/>
      <c r="B731" s="889" t="s">
        <v>1056</v>
      </c>
      <c r="D731" s="916">
        <v>-379.97975200000002</v>
      </c>
      <c r="E731" s="915">
        <v>-379.97975200000002</v>
      </c>
      <c r="F731" s="915">
        <v>-163.228238</v>
      </c>
      <c r="G731" s="915">
        <v>-56.430010000000003</v>
      </c>
      <c r="H731" s="915">
        <v>490.71199999999999</v>
      </c>
      <c r="I731" s="915">
        <v>-108.926</v>
      </c>
      <c r="J731" s="915">
        <v>-253.422</v>
      </c>
      <c r="K731" s="915">
        <v>-220.35599999999999</v>
      </c>
      <c r="L731" s="915">
        <v>-533.93499999999995</v>
      </c>
      <c r="M731" s="915"/>
      <c r="N731" s="915">
        <v>-1294.9760000000001</v>
      </c>
      <c r="W731" s="891">
        <f>SUM(J731:L731)+H731</f>
        <v>-517.00099999999998</v>
      </c>
    </row>
    <row r="733" spans="1:23">
      <c r="B733" s="147" t="s">
        <v>248</v>
      </c>
      <c r="E733" s="916">
        <v>324.60000000000002</v>
      </c>
      <c r="F733" s="916">
        <v>1504.3</v>
      </c>
      <c r="G733" s="916">
        <v>53.5</v>
      </c>
      <c r="H733" s="916">
        <v>298.5</v>
      </c>
      <c r="I733" s="916">
        <v>2180.9</v>
      </c>
      <c r="J733" s="916">
        <v>335.3</v>
      </c>
      <c r="K733" s="916">
        <v>222.4</v>
      </c>
      <c r="L733" s="916">
        <v>310.60000000000002</v>
      </c>
      <c r="M733" s="916"/>
      <c r="N733" s="916">
        <v>1182.9000000000001</v>
      </c>
      <c r="O733" s="891">
        <f t="shared" ref="O733:T733" si="369">O47</f>
        <v>2194.184419535291</v>
      </c>
      <c r="P733" s="891">
        <f t="shared" si="369"/>
        <v>2286.0661396017986</v>
      </c>
      <c r="Q733" s="891">
        <f t="shared" si="369"/>
        <v>2373.0970002293188</v>
      </c>
      <c r="R733" s="891">
        <f t="shared" si="369"/>
        <v>2453.2048872589944</v>
      </c>
      <c r="S733" s="891">
        <f t="shared" si="369"/>
        <v>2536.3362697329389</v>
      </c>
      <c r="T733" s="891">
        <f t="shared" si="369"/>
        <v>2622.5886850752381</v>
      </c>
      <c r="W733" s="891">
        <f>SUM(J733:L733)+H733</f>
        <v>1166.8000000000002</v>
      </c>
    </row>
    <row r="734" spans="1:23">
      <c r="E734" s="170">
        <f t="shared" ref="E734:L734" si="370">E733/E711</f>
        <v>0.11699550390387398</v>
      </c>
      <c r="F734" s="170">
        <f t="shared" si="370"/>
        <v>0.53968481444638183</v>
      </c>
      <c r="G734" s="170">
        <f t="shared" si="370"/>
        <v>1.7439760122521259E-2</v>
      </c>
      <c r="H734" s="170">
        <f t="shared" si="370"/>
        <v>9.8639469270087751E-2</v>
      </c>
      <c r="I734" s="170">
        <f t="shared" si="370"/>
        <v>0.18711004084865543</v>
      </c>
      <c r="J734" s="170">
        <f t="shared" si="370"/>
        <v>0.1206646813793848</v>
      </c>
      <c r="K734" s="170">
        <f t="shared" si="370"/>
        <v>7.959746018248004E-2</v>
      </c>
      <c r="L734" s="170">
        <f t="shared" si="370"/>
        <v>0.10457025195168626</v>
      </c>
      <c r="M734" s="170"/>
      <c r="N734" s="170">
        <f t="shared" ref="N734:T734" si="371">N733/N711</f>
        <v>0.10358393043615324</v>
      </c>
      <c r="O734" s="170">
        <f t="shared" si="371"/>
        <v>0.1856831020270743</v>
      </c>
      <c r="P734" s="170">
        <f t="shared" si="371"/>
        <v>0.18824269313364725</v>
      </c>
      <c r="Q734" s="170">
        <f t="shared" si="371"/>
        <v>0.19008483457908681</v>
      </c>
      <c r="R734" s="170">
        <f t="shared" si="371"/>
        <v>0.19191321786734541</v>
      </c>
      <c r="S734" s="170">
        <f t="shared" si="371"/>
        <v>0.19374836152004254</v>
      </c>
      <c r="T734" s="170">
        <f t="shared" si="371"/>
        <v>0.19558990332028298</v>
      </c>
      <c r="W734" s="170">
        <f>W733/W711</f>
        <v>0.10085348602304486</v>
      </c>
    </row>
    <row r="735" spans="1:23">
      <c r="B735" s="147" t="s">
        <v>790</v>
      </c>
    </row>
    <row r="736" spans="1:23">
      <c r="B736" s="146" t="s">
        <v>1070</v>
      </c>
      <c r="D736" s="916">
        <f>1185.446+8650.667</f>
        <v>9836.1129999999994</v>
      </c>
      <c r="E736" s="916"/>
      <c r="F736" s="916"/>
      <c r="G736" s="916"/>
      <c r="H736" s="916"/>
      <c r="I736" s="916">
        <f>148.976+10979.876</f>
        <v>11128.852000000001</v>
      </c>
      <c r="J736" s="916"/>
      <c r="K736" s="916"/>
      <c r="L736" s="916">
        <f>17417-L737</f>
        <v>6031.6299999999992</v>
      </c>
      <c r="M736" s="916"/>
      <c r="N736" s="916">
        <f>421.775+6499.178</f>
        <v>6920.9529999999995</v>
      </c>
      <c r="W736" s="891">
        <f>L736</f>
        <v>6031.6299999999992</v>
      </c>
    </row>
    <row r="737" spans="2:23">
      <c r="B737" s="146" t="s">
        <v>978</v>
      </c>
      <c r="D737" s="916">
        <f>2536.854+10175.854</f>
        <v>12712.707999999999</v>
      </c>
      <c r="E737" s="916"/>
      <c r="F737" s="916"/>
      <c r="G737" s="916"/>
      <c r="H737" s="916"/>
      <c r="I737" s="916">
        <f>9329.228+2552.986</f>
        <v>11882.214</v>
      </c>
      <c r="J737" s="916"/>
      <c r="K737" s="916"/>
      <c r="L737" s="916">
        <f>9055.59+2329.78</f>
        <v>11385.37</v>
      </c>
      <c r="M737" s="916"/>
      <c r="N737" s="916">
        <f>2431.827+8753.815</f>
        <v>11185.642</v>
      </c>
      <c r="W737" s="891">
        <f>L737</f>
        <v>11385.37</v>
      </c>
    </row>
    <row r="738" spans="2:23">
      <c r="B738" s="146" t="s">
        <v>1069</v>
      </c>
      <c r="D738" s="916">
        <v>308.14699999999999</v>
      </c>
      <c r="I738" s="916">
        <v>225.773</v>
      </c>
      <c r="J738" s="916"/>
      <c r="K738" s="916"/>
      <c r="L738" s="916">
        <v>2103</v>
      </c>
      <c r="M738" s="916"/>
      <c r="N738" s="916">
        <v>155.31100000000001</v>
      </c>
      <c r="W738" s="891">
        <f>L738</f>
        <v>2103</v>
      </c>
    </row>
    <row r="739" spans="2:23">
      <c r="L739" s="891">
        <f>L736+L737-L738</f>
        <v>15314</v>
      </c>
    </row>
    <row r="740" spans="2:23">
      <c r="B740" s="146" t="s">
        <v>1157</v>
      </c>
      <c r="D740" s="916">
        <v>2568.884</v>
      </c>
      <c r="I740" s="916">
        <v>2539.2069999999999</v>
      </c>
      <c r="J740" s="916"/>
      <c r="K740" s="916"/>
      <c r="L740" s="916"/>
      <c r="M740" s="916"/>
      <c r="N740" s="916">
        <v>2278.3440000000001</v>
      </c>
    </row>
    <row r="742" spans="2:23">
      <c r="B742" s="146" t="s">
        <v>606</v>
      </c>
      <c r="D742" s="170">
        <f>-D725/(D736+D737)</f>
        <v>4.6484159859178455E-2</v>
      </c>
      <c r="I742" s="170">
        <f>-I725/(I736+I737)</f>
        <v>5.5546883399491362E-2</v>
      </c>
      <c r="L742" s="170"/>
    </row>
    <row r="743" spans="2:23">
      <c r="B743" s="146" t="s">
        <v>1158</v>
      </c>
      <c r="D743" s="170">
        <f>D726/D738</f>
        <v>1.6349339763164984E-2</v>
      </c>
      <c r="I743" s="170">
        <f>I726/I738</f>
        <v>2.0268145438117044E-2</v>
      </c>
      <c r="L743" s="170"/>
    </row>
  </sheetData>
  <pageMargins left="0.7" right="0.7" top="0.75" bottom="0.75" header="0.3" footer="0.3"/>
  <pageSetup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4DE5-4944-47F1-A747-EFA7E14F8AB6}">
  <sheetPr codeName="Sheet23">
    <tabColor rgb="FFC00000"/>
  </sheetPr>
  <dimension ref="B2:E16"/>
  <sheetViews>
    <sheetView workbookViewId="0">
      <selection activeCell="E7" sqref="E7"/>
    </sheetView>
  </sheetViews>
  <sheetFormatPr defaultRowHeight="14.5"/>
  <cols>
    <col min="2" max="2" width="22.81640625" bestFit="1" customWidth="1"/>
    <col min="3" max="3" width="42.54296875" bestFit="1" customWidth="1"/>
  </cols>
  <sheetData>
    <row r="2" spans="2:5">
      <c r="B2" s="711" t="s">
        <v>1344</v>
      </c>
      <c r="C2" s="710"/>
      <c r="D2" s="710"/>
      <c r="E2" s="710"/>
    </row>
    <row r="3" spans="2:5">
      <c r="B3" s="77"/>
    </row>
    <row r="4" spans="2:5">
      <c r="B4" t="s">
        <v>1343</v>
      </c>
      <c r="C4" t="s">
        <v>1345</v>
      </c>
    </row>
    <row r="5" spans="2:5">
      <c r="B5" t="s">
        <v>1349</v>
      </c>
      <c r="C5" t="s">
        <v>1350</v>
      </c>
      <c r="D5">
        <f>0.2*67</f>
        <v>13.4</v>
      </c>
      <c r="E5">
        <f>0.3*67</f>
        <v>20.099999999999998</v>
      </c>
    </row>
    <row r="6" spans="2:5">
      <c r="C6" t="s">
        <v>1351</v>
      </c>
    </row>
    <row r="7" spans="2:5">
      <c r="B7" t="s">
        <v>1347</v>
      </c>
      <c r="C7" t="s">
        <v>1348</v>
      </c>
    </row>
    <row r="9" spans="2:5">
      <c r="B9" t="s">
        <v>1093</v>
      </c>
      <c r="C9" t="s">
        <v>1346</v>
      </c>
    </row>
    <row r="10" spans="2:5">
      <c r="C10" t="s">
        <v>1352</v>
      </c>
    </row>
    <row r="11" spans="2:5">
      <c r="C11" t="s">
        <v>1353</v>
      </c>
    </row>
    <row r="12" spans="2:5">
      <c r="C12" t="s">
        <v>1354</v>
      </c>
    </row>
    <row r="14" spans="2:5">
      <c r="B14" s="77" t="s">
        <v>1355</v>
      </c>
    </row>
    <row r="15" spans="2:5">
      <c r="B15" t="s">
        <v>1148</v>
      </c>
      <c r="C15" t="s">
        <v>1356</v>
      </c>
    </row>
    <row r="16" spans="2:5">
      <c r="B16" t="s">
        <v>843</v>
      </c>
      <c r="C16" t="s">
        <v>1357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DF256-3281-41F1-A2ED-D0332CACFBBB}">
  <sheetPr codeName="Sheet13">
    <tabColor theme="0"/>
  </sheetPr>
  <dimension ref="A1:AZ61"/>
  <sheetViews>
    <sheetView tabSelected="1" workbookViewId="0">
      <pane ySplit="3" topLeftCell="A4" activePane="bottomLeft" state="frozen"/>
      <selection activeCell="B7" sqref="B7"/>
      <selection pane="bottomLeft" activeCell="L11" sqref="L11:L12"/>
    </sheetView>
  </sheetViews>
  <sheetFormatPr defaultColWidth="7.81640625" defaultRowHeight="11.5"/>
  <cols>
    <col min="1" max="1" width="2.81640625" style="329" customWidth="1"/>
    <col min="2" max="2" width="10.81640625" style="329" bestFit="1" customWidth="1"/>
    <col min="3" max="3" width="24.453125" style="329" bestFit="1" customWidth="1"/>
    <col min="4" max="16384" width="7.81640625" style="329"/>
  </cols>
  <sheetData>
    <row r="1" spans="1:52" s="327" customFormat="1" ht="13">
      <c r="A1" s="325"/>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row>
    <row r="2" spans="1:52" s="327" customFormat="1" ht="54.75" customHeight="1">
      <c r="A2" s="326"/>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row>
    <row r="3" spans="1:52" s="327" customFormat="1" ht="13">
      <c r="A3" s="325"/>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row>
    <row r="4" spans="1:52" ht="13">
      <c r="A4" s="328"/>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row>
    <row r="5" spans="1:52" ht="13">
      <c r="A5" s="328"/>
      <c r="B5" s="330" t="s">
        <v>524</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8"/>
      <c r="AX5" s="328"/>
      <c r="AY5" s="328"/>
      <c r="AZ5" s="328"/>
    </row>
    <row r="6" spans="1:52" ht="13">
      <c r="A6" s="328"/>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row>
    <row r="7" spans="1:52" ht="13">
      <c r="A7" s="331"/>
      <c r="B7" s="328" t="s">
        <v>745</v>
      </c>
      <c r="C7" s="328" t="s">
        <v>759</v>
      </c>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row>
    <row r="8" spans="1:52" ht="13">
      <c r="A8" s="331"/>
      <c r="B8" s="328"/>
      <c r="C8" s="328"/>
      <c r="D8" s="328"/>
      <c r="E8" s="328"/>
      <c r="F8" s="328"/>
      <c r="G8" s="328"/>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row>
    <row r="9" spans="1:52" ht="13">
      <c r="A9" s="331"/>
      <c r="B9" s="328" t="s">
        <v>746</v>
      </c>
      <c r="C9" s="328" t="s">
        <v>747</v>
      </c>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I9" s="328"/>
      <c r="AJ9" s="328"/>
      <c r="AK9" s="328"/>
      <c r="AL9" s="328"/>
      <c r="AM9" s="328"/>
      <c r="AN9" s="328"/>
      <c r="AO9" s="328"/>
      <c r="AP9" s="328"/>
      <c r="AQ9" s="328"/>
      <c r="AR9" s="328"/>
      <c r="AS9" s="328"/>
      <c r="AT9" s="328"/>
      <c r="AU9" s="328"/>
      <c r="AV9" s="328"/>
      <c r="AW9" s="328"/>
      <c r="AX9" s="328"/>
      <c r="AY9" s="328"/>
      <c r="AZ9" s="328"/>
    </row>
    <row r="10" spans="1:52" ht="13">
      <c r="A10" s="331"/>
      <c r="B10" s="328" t="s">
        <v>748</v>
      </c>
      <c r="C10" s="332" t="s">
        <v>1513</v>
      </c>
      <c r="D10" s="331"/>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8"/>
      <c r="AF10" s="328"/>
      <c r="AG10" s="328"/>
      <c r="AH10" s="328"/>
      <c r="AI10" s="328"/>
      <c r="AJ10" s="328"/>
      <c r="AK10" s="328"/>
      <c r="AL10" s="328"/>
      <c r="AM10" s="328"/>
      <c r="AN10" s="328"/>
      <c r="AO10" s="328"/>
      <c r="AP10" s="328"/>
      <c r="AQ10" s="328"/>
      <c r="AR10" s="328"/>
      <c r="AS10" s="328"/>
      <c r="AT10" s="328"/>
      <c r="AU10" s="328"/>
      <c r="AV10" s="328"/>
      <c r="AW10" s="328"/>
      <c r="AX10" s="328"/>
      <c r="AY10" s="328"/>
      <c r="AZ10" s="328"/>
    </row>
    <row r="11" spans="1:52" ht="13">
      <c r="A11" s="331"/>
      <c r="B11" s="328"/>
      <c r="C11" s="333"/>
      <c r="D11" s="331"/>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row>
    <row r="12" spans="1:52" ht="13">
      <c r="A12" s="331"/>
      <c r="B12" s="328" t="s">
        <v>749</v>
      </c>
      <c r="C12" s="328" t="s">
        <v>750</v>
      </c>
      <c r="D12" s="328"/>
      <c r="E12" s="328"/>
      <c r="F12" s="328"/>
      <c r="G12" s="328"/>
      <c r="H12" s="328"/>
      <c r="I12" s="328"/>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row>
    <row r="13" spans="1:52" ht="13">
      <c r="A13" s="331"/>
      <c r="B13" s="328" t="s">
        <v>751</v>
      </c>
      <c r="C13" s="334" t="s">
        <v>752</v>
      </c>
      <c r="D13" s="328"/>
      <c r="E13" s="328"/>
      <c r="F13" s="328"/>
      <c r="G13" s="328"/>
      <c r="H13" s="328"/>
      <c r="I13" s="328"/>
      <c r="J13" s="328"/>
      <c r="K13" s="328"/>
      <c r="L13" s="328"/>
      <c r="M13" s="328"/>
      <c r="N13" s="328"/>
      <c r="O13" s="328"/>
      <c r="P13" s="328"/>
      <c r="Q13" s="328"/>
      <c r="R13" s="328"/>
      <c r="S13" s="328"/>
      <c r="T13" s="328"/>
      <c r="U13" s="328"/>
      <c r="V13" s="328"/>
      <c r="W13" s="328"/>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row>
    <row r="14" spans="1:52" ht="13">
      <c r="A14" s="331"/>
      <c r="B14" s="328" t="s">
        <v>753</v>
      </c>
      <c r="C14" s="335" t="s">
        <v>754</v>
      </c>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328"/>
      <c r="AV14" s="328"/>
      <c r="AW14" s="328"/>
      <c r="AX14" s="328"/>
      <c r="AY14" s="328"/>
      <c r="AZ14" s="328"/>
    </row>
    <row r="15" spans="1:52" ht="13">
      <c r="A15" s="331"/>
      <c r="B15" s="328"/>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row>
    <row r="16" spans="1:52" ht="13">
      <c r="A16" s="331"/>
      <c r="B16" s="328" t="s">
        <v>755</v>
      </c>
      <c r="C16" s="328" t="s">
        <v>756</v>
      </c>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c r="AM16" s="328"/>
      <c r="AN16" s="328"/>
      <c r="AO16" s="328"/>
      <c r="AP16" s="328"/>
      <c r="AQ16" s="328"/>
      <c r="AR16" s="328"/>
      <c r="AS16" s="328"/>
      <c r="AT16" s="328"/>
      <c r="AU16" s="328"/>
      <c r="AV16" s="328"/>
      <c r="AW16" s="328"/>
      <c r="AX16" s="328"/>
      <c r="AY16" s="328"/>
      <c r="AZ16" s="328"/>
    </row>
    <row r="17" spans="1:52" ht="13">
      <c r="A17" s="331"/>
      <c r="B17" s="328" t="s">
        <v>751</v>
      </c>
      <c r="C17" s="334" t="s">
        <v>757</v>
      </c>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28"/>
      <c r="AN17" s="328"/>
      <c r="AO17" s="328"/>
      <c r="AP17" s="328"/>
      <c r="AQ17" s="328"/>
      <c r="AR17" s="328"/>
      <c r="AS17" s="328"/>
      <c r="AT17" s="328"/>
      <c r="AU17" s="328"/>
      <c r="AV17" s="328"/>
      <c r="AW17" s="328"/>
      <c r="AX17" s="328"/>
      <c r="AY17" s="328"/>
      <c r="AZ17" s="328"/>
    </row>
    <row r="18" spans="1:52" ht="13">
      <c r="A18" s="331"/>
      <c r="B18" s="328" t="s">
        <v>753</v>
      </c>
      <c r="C18" s="335" t="s">
        <v>758</v>
      </c>
      <c r="D18" s="328"/>
      <c r="E18" s="328"/>
      <c r="F18" s="328"/>
      <c r="G18" s="328"/>
      <c r="H18" s="328"/>
      <c r="I18" s="328"/>
      <c r="J18" s="328"/>
      <c r="K18" s="328"/>
      <c r="L18" s="328"/>
      <c r="M18" s="328"/>
      <c r="N18" s="328"/>
      <c r="O18" s="328"/>
      <c r="P18" s="328"/>
      <c r="Q18" s="328"/>
      <c r="R18" s="328"/>
      <c r="S18" s="328"/>
      <c r="T18" s="328"/>
      <c r="U18" s="328"/>
      <c r="V18" s="328"/>
      <c r="W18" s="328"/>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8"/>
      <c r="AT18" s="328"/>
      <c r="AU18" s="328"/>
      <c r="AV18" s="328"/>
      <c r="AW18" s="328"/>
      <c r="AX18" s="328"/>
      <c r="AY18" s="328"/>
      <c r="AZ18" s="328"/>
    </row>
    <row r="19" spans="1:52" s="1515" customFormat="1" ht="13">
      <c r="A19" s="328"/>
      <c r="D19" s="328"/>
      <c r="E19" s="328"/>
      <c r="F19" s="328"/>
      <c r="G19" s="328"/>
      <c r="H19" s="328"/>
      <c r="I19" s="328"/>
      <c r="J19" s="328"/>
      <c r="K19" s="328"/>
      <c r="L19" s="328"/>
      <c r="M19" s="328"/>
      <c r="N19" s="328"/>
      <c r="O19" s="328"/>
      <c r="P19" s="328"/>
      <c r="Q19" s="328"/>
      <c r="R19" s="328"/>
      <c r="S19" s="328"/>
      <c r="T19" s="328"/>
      <c r="U19" s="328"/>
      <c r="V19" s="328"/>
      <c r="W19" s="32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row>
    <row r="20" spans="1:52" ht="13">
      <c r="A20" s="328"/>
      <c r="B20" s="328" t="s">
        <v>1509</v>
      </c>
      <c r="C20" s="328" t="s">
        <v>1510</v>
      </c>
      <c r="D20" s="328"/>
      <c r="E20" s="328"/>
      <c r="F20" s="328"/>
      <c r="G20" s="328"/>
      <c r="H20" s="328"/>
      <c r="I20" s="328"/>
      <c r="J20" s="328"/>
      <c r="K20" s="328"/>
      <c r="L20" s="328"/>
      <c r="M20" s="328"/>
      <c r="N20" s="328"/>
      <c r="O20" s="328"/>
      <c r="P20" s="328"/>
      <c r="Q20" s="328"/>
      <c r="R20" s="328"/>
      <c r="S20" s="328"/>
      <c r="T20" s="328"/>
      <c r="U20" s="328"/>
      <c r="V20" s="328"/>
      <c r="W20" s="328"/>
      <c r="X20" s="328"/>
      <c r="Y20" s="328"/>
      <c r="Z20" s="328"/>
      <c r="AA20" s="328"/>
      <c r="AB20" s="328"/>
      <c r="AC20" s="328"/>
      <c r="AD20" s="328"/>
      <c r="AE20" s="328"/>
      <c r="AF20" s="328"/>
      <c r="AG20" s="328"/>
      <c r="AH20" s="328"/>
      <c r="AI20" s="328"/>
      <c r="AJ20" s="328"/>
      <c r="AK20" s="328"/>
      <c r="AL20" s="328"/>
      <c r="AM20" s="328"/>
      <c r="AN20" s="328"/>
      <c r="AO20" s="328"/>
      <c r="AP20" s="328"/>
      <c r="AQ20" s="328"/>
      <c r="AR20" s="328"/>
      <c r="AS20" s="328"/>
      <c r="AT20" s="328"/>
      <c r="AU20" s="328"/>
      <c r="AV20" s="328"/>
      <c r="AW20" s="328"/>
      <c r="AX20" s="328"/>
      <c r="AY20" s="328"/>
      <c r="AZ20" s="328"/>
    </row>
    <row r="21" spans="1:52" ht="14.5">
      <c r="A21" s="328"/>
      <c r="B21" s="328" t="s">
        <v>751</v>
      </c>
      <c r="C21" s="1514" t="s">
        <v>1511</v>
      </c>
      <c r="D21" s="328"/>
      <c r="E21" s="328"/>
      <c r="F21" s="328"/>
      <c r="G21" s="328"/>
      <c r="H21" s="328"/>
      <c r="I21" s="328"/>
      <c r="J21" s="328"/>
      <c r="K21" s="328"/>
      <c r="L21" s="328"/>
      <c r="M21" s="328"/>
      <c r="N21" s="328"/>
      <c r="O21" s="328"/>
      <c r="P21" s="328"/>
      <c r="Q21" s="328"/>
      <c r="R21" s="328"/>
      <c r="S21" s="328"/>
      <c r="T21" s="328"/>
      <c r="U21" s="328"/>
      <c r="V21" s="328"/>
      <c r="W21" s="328"/>
      <c r="X21" s="328"/>
      <c r="Y21" s="328"/>
      <c r="Z21" s="328"/>
      <c r="AA21" s="328"/>
      <c r="AB21" s="328"/>
      <c r="AC21" s="328"/>
      <c r="AD21" s="328"/>
      <c r="AE21" s="328"/>
      <c r="AF21" s="328"/>
      <c r="AG21" s="328"/>
      <c r="AH21" s="328"/>
      <c r="AI21" s="328"/>
      <c r="AJ21" s="328"/>
      <c r="AK21" s="328"/>
      <c r="AL21" s="328"/>
      <c r="AM21" s="328"/>
      <c r="AN21" s="328"/>
      <c r="AO21" s="328"/>
      <c r="AP21" s="328"/>
      <c r="AQ21" s="328"/>
      <c r="AR21" s="328"/>
      <c r="AS21" s="328"/>
      <c r="AT21" s="328"/>
      <c r="AU21" s="328"/>
      <c r="AV21" s="328"/>
      <c r="AW21" s="328"/>
      <c r="AX21" s="328"/>
      <c r="AY21" s="328"/>
      <c r="AZ21" s="328"/>
    </row>
    <row r="22" spans="1:52" ht="13">
      <c r="A22" s="328"/>
      <c r="B22" s="328" t="s">
        <v>753</v>
      </c>
      <c r="C22" s="335" t="s">
        <v>1512</v>
      </c>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row>
    <row r="23" spans="1:52" ht="13">
      <c r="A23" s="328"/>
      <c r="B23" s="328"/>
      <c r="C23" s="328"/>
      <c r="D23" s="328"/>
      <c r="E23" s="328"/>
      <c r="F23" s="328"/>
      <c r="G23" s="328"/>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row>
    <row r="24" spans="1:52" ht="13">
      <c r="A24" s="328"/>
      <c r="B24" s="328"/>
      <c r="C24" s="328"/>
      <c r="D24" s="328"/>
      <c r="E24" s="328"/>
      <c r="F24" s="328"/>
      <c r="G24" s="328"/>
      <c r="H24" s="328"/>
      <c r="I24" s="328"/>
      <c r="J24" s="328"/>
      <c r="K24" s="328"/>
      <c r="L24" s="328"/>
      <c r="M24" s="328"/>
      <c r="N24" s="328"/>
      <c r="O24" s="328"/>
      <c r="P24" s="328"/>
      <c r="Q24" s="328"/>
      <c r="R24" s="328"/>
      <c r="S24" s="328"/>
      <c r="T24" s="328"/>
      <c r="U24" s="328"/>
      <c r="V24" s="328"/>
      <c r="W24" s="328"/>
      <c r="X24" s="328"/>
      <c r="Y24" s="328"/>
      <c r="Z24" s="328"/>
      <c r="AA24" s="328"/>
      <c r="AB24" s="328"/>
      <c r="AC24" s="328"/>
      <c r="AD24" s="328"/>
      <c r="AE24" s="328"/>
      <c r="AF24" s="328"/>
      <c r="AG24" s="328"/>
      <c r="AH24" s="328"/>
      <c r="AI24" s="328"/>
      <c r="AJ24" s="328"/>
      <c r="AK24" s="328"/>
      <c r="AL24" s="328"/>
      <c r="AM24" s="328"/>
      <c r="AN24" s="328"/>
      <c r="AO24" s="328"/>
      <c r="AP24" s="328"/>
      <c r="AQ24" s="328"/>
      <c r="AR24" s="328"/>
      <c r="AS24" s="328"/>
      <c r="AT24" s="328"/>
      <c r="AU24" s="328"/>
      <c r="AV24" s="328"/>
      <c r="AW24" s="328"/>
      <c r="AX24" s="328"/>
      <c r="AY24" s="328"/>
      <c r="AZ24" s="328"/>
    </row>
    <row r="25" spans="1:52" ht="13">
      <c r="A25" s="328"/>
      <c r="B25" s="328"/>
      <c r="C25" s="328"/>
      <c r="D25" s="328"/>
      <c r="E25" s="328"/>
      <c r="F25" s="328"/>
      <c r="G25" s="328"/>
      <c r="H25" s="328"/>
      <c r="I25" s="328"/>
      <c r="J25" s="328"/>
      <c r="K25" s="328"/>
      <c r="L25" s="328"/>
      <c r="M25" s="328"/>
      <c r="N25" s="328"/>
      <c r="O25" s="328"/>
      <c r="P25" s="328"/>
      <c r="Q25" s="328"/>
      <c r="R25" s="328"/>
      <c r="S25" s="328"/>
      <c r="T25" s="328"/>
      <c r="U25" s="328"/>
      <c r="V25" s="328"/>
      <c r="W25" s="328"/>
      <c r="X25" s="328"/>
      <c r="Y25" s="328"/>
      <c r="Z25" s="328"/>
      <c r="AA25" s="328"/>
      <c r="AB25" s="328"/>
      <c r="AC25" s="328"/>
      <c r="AD25" s="328"/>
      <c r="AE25" s="328"/>
      <c r="AF25" s="328"/>
      <c r="AG25" s="328"/>
      <c r="AH25" s="328"/>
      <c r="AI25" s="328"/>
      <c r="AJ25" s="328"/>
      <c r="AK25" s="328"/>
      <c r="AL25" s="328"/>
      <c r="AM25" s="328"/>
      <c r="AN25" s="328"/>
      <c r="AO25" s="328"/>
      <c r="AP25" s="328"/>
      <c r="AQ25" s="328"/>
      <c r="AR25" s="328"/>
      <c r="AS25" s="328"/>
      <c r="AT25" s="328"/>
      <c r="AU25" s="328"/>
      <c r="AV25" s="328"/>
      <c r="AW25" s="328"/>
      <c r="AX25" s="328"/>
      <c r="AY25" s="328"/>
      <c r="AZ25" s="328"/>
    </row>
    <row r="26" spans="1:52" ht="13">
      <c r="A26" s="328"/>
      <c r="B26" s="328"/>
      <c r="C26" s="328"/>
      <c r="D26" s="328"/>
      <c r="E26" s="328"/>
      <c r="F26" s="328"/>
      <c r="G26" s="328"/>
      <c r="H26" s="328"/>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row>
    <row r="27" spans="1:52" ht="13">
      <c r="A27" s="328"/>
      <c r="B27" s="328"/>
      <c r="C27" s="328"/>
      <c r="D27" s="328"/>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row>
    <row r="28" spans="1:52" ht="13">
      <c r="A28" s="328"/>
      <c r="B28" s="328"/>
      <c r="C28" s="328"/>
      <c r="D28" s="328"/>
      <c r="E28" s="328"/>
      <c r="F28" s="328"/>
      <c r="G28" s="328"/>
      <c r="H28" s="328"/>
      <c r="I28" s="328"/>
      <c r="J28" s="328"/>
      <c r="K28" s="328"/>
      <c r="L28" s="328"/>
      <c r="M28" s="328"/>
      <c r="N28" s="328"/>
      <c r="O28" s="328"/>
      <c r="P28" s="328"/>
      <c r="Q28" s="328"/>
      <c r="R28" s="328"/>
      <c r="S28" s="328"/>
      <c r="T28" s="328"/>
      <c r="U28" s="328"/>
      <c r="V28" s="328"/>
      <c r="W28" s="328"/>
      <c r="X28" s="328"/>
      <c r="Y28" s="328"/>
      <c r="Z28" s="328"/>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row>
    <row r="29" spans="1:52" ht="13">
      <c r="A29" s="328"/>
      <c r="B29" s="328"/>
      <c r="C29" s="328"/>
      <c r="D29" s="328"/>
      <c r="E29" s="328"/>
      <c r="F29" s="328"/>
      <c r="G29" s="328"/>
      <c r="H29" s="328"/>
      <c r="I29" s="328"/>
      <c r="J29" s="328"/>
      <c r="K29" s="328"/>
      <c r="L29" s="328"/>
      <c r="M29" s="328"/>
      <c r="N29" s="328"/>
      <c r="O29" s="328"/>
      <c r="P29" s="328"/>
      <c r="Q29" s="328"/>
      <c r="R29" s="328"/>
      <c r="S29" s="328"/>
      <c r="T29" s="328"/>
      <c r="U29" s="328"/>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row>
    <row r="30" spans="1:52" ht="13">
      <c r="A30" s="328"/>
      <c r="B30" s="328"/>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row>
    <row r="31" spans="1:52" ht="13">
      <c r="A31" s="328"/>
      <c r="B31" s="328"/>
      <c r="C31" s="328"/>
      <c r="D31" s="328"/>
      <c r="E31" s="328"/>
      <c r="F31" s="328"/>
      <c r="G31" s="328"/>
      <c r="H31" s="328"/>
      <c r="I31" s="328"/>
      <c r="J31" s="328"/>
      <c r="K31" s="328"/>
      <c r="L31" s="328"/>
      <c r="M31" s="328"/>
      <c r="N31" s="328"/>
      <c r="O31" s="328"/>
      <c r="P31" s="328"/>
      <c r="Q31" s="328"/>
      <c r="R31" s="328"/>
      <c r="S31" s="328"/>
      <c r="T31" s="328"/>
      <c r="U31" s="328"/>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328"/>
      <c r="AS31" s="328"/>
      <c r="AT31" s="328"/>
      <c r="AU31" s="328"/>
      <c r="AV31" s="328"/>
      <c r="AW31" s="328"/>
      <c r="AX31" s="328"/>
      <c r="AY31" s="328"/>
      <c r="AZ31" s="328"/>
    </row>
    <row r="32" spans="1:52" ht="13">
      <c r="A32" s="328"/>
      <c r="B32" s="328"/>
      <c r="C32" s="328"/>
      <c r="D32" s="328"/>
      <c r="E32" s="328"/>
      <c r="F32" s="328"/>
      <c r="G32" s="328"/>
      <c r="H32" s="328"/>
      <c r="I32" s="328"/>
      <c r="J32" s="328"/>
      <c r="K32" s="328"/>
      <c r="L32" s="328"/>
      <c r="M32" s="328"/>
      <c r="N32" s="328"/>
      <c r="O32" s="328"/>
      <c r="P32" s="328"/>
      <c r="Q32" s="328"/>
      <c r="R32" s="328"/>
      <c r="S32" s="328"/>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row>
    <row r="33" spans="1:52" ht="13">
      <c r="A33" s="328"/>
      <c r="B33" s="328"/>
      <c r="C33" s="328"/>
      <c r="D33" s="328"/>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row>
    <row r="34" spans="1:52" ht="13">
      <c r="A34" s="328"/>
      <c r="B34" s="328"/>
      <c r="C34" s="328"/>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row>
    <row r="35" spans="1:52" ht="13">
      <c r="A35" s="328"/>
      <c r="B35" s="328"/>
      <c r="C35" s="328"/>
      <c r="D35" s="328"/>
      <c r="E35" s="328"/>
      <c r="F35" s="328"/>
      <c r="G35" s="328"/>
      <c r="H35" s="328"/>
      <c r="I35" s="328"/>
      <c r="J35" s="328"/>
      <c r="K35" s="328"/>
      <c r="L35" s="328"/>
      <c r="M35" s="328"/>
      <c r="N35" s="328"/>
      <c r="O35" s="328"/>
      <c r="P35" s="328"/>
      <c r="Q35" s="328"/>
      <c r="R35" s="328"/>
      <c r="S35" s="328"/>
      <c r="T35" s="328"/>
      <c r="U35" s="328"/>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row>
    <row r="36" spans="1:52" ht="13">
      <c r="A36" s="328"/>
      <c r="B36" s="328"/>
      <c r="C36" s="328"/>
      <c r="D36" s="328"/>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28"/>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row>
    <row r="37" spans="1:52" ht="13">
      <c r="A37" s="328"/>
      <c r="B37" s="328"/>
      <c r="C37" s="328"/>
      <c r="D37" s="328"/>
      <c r="E37" s="328"/>
      <c r="F37" s="328"/>
      <c r="G37" s="328"/>
      <c r="H37" s="328"/>
      <c r="I37" s="328"/>
      <c r="J37" s="328"/>
      <c r="K37" s="328"/>
      <c r="L37" s="328"/>
      <c r="M37" s="328"/>
      <c r="N37" s="328"/>
      <c r="O37" s="328"/>
      <c r="P37" s="328"/>
      <c r="Q37" s="328"/>
      <c r="R37" s="328"/>
      <c r="S37" s="328"/>
      <c r="T37" s="328"/>
      <c r="U37" s="328"/>
      <c r="V37" s="328"/>
      <c r="W37" s="328"/>
      <c r="X37" s="328"/>
      <c r="Y37" s="328"/>
      <c r="Z37" s="328"/>
      <c r="AA37" s="328"/>
      <c r="AB37" s="328"/>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row>
    <row r="38" spans="1:52" ht="13">
      <c r="A38" s="328"/>
      <c r="B38" s="328"/>
      <c r="C38" s="328"/>
      <c r="D38" s="328"/>
      <c r="E38" s="328"/>
      <c r="F38" s="328"/>
      <c r="G38" s="328"/>
      <c r="H38" s="328"/>
      <c r="I38" s="328"/>
      <c r="J38" s="328"/>
      <c r="K38" s="328"/>
      <c r="L38" s="328"/>
      <c r="M38" s="328"/>
      <c r="N38" s="328"/>
      <c r="O38" s="328"/>
      <c r="P38" s="328"/>
      <c r="Q38" s="328"/>
      <c r="R38" s="328"/>
      <c r="S38" s="328"/>
      <c r="T38" s="328"/>
      <c r="U38" s="328"/>
      <c r="V38" s="328"/>
      <c r="W38" s="328"/>
      <c r="X38" s="328"/>
      <c r="Y38" s="328"/>
      <c r="Z38" s="328"/>
      <c r="AA38" s="328"/>
      <c r="AB38" s="328"/>
      <c r="AC38" s="328"/>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row>
    <row r="39" spans="1:52" ht="13">
      <c r="A39" s="328"/>
      <c r="B39" s="328"/>
      <c r="C39" s="328"/>
      <c r="D39" s="328"/>
      <c r="E39" s="328"/>
      <c r="F39" s="328"/>
      <c r="G39" s="328"/>
      <c r="H39" s="328"/>
      <c r="I39" s="328"/>
      <c r="J39" s="328"/>
      <c r="K39" s="328"/>
      <c r="L39" s="328"/>
      <c r="M39" s="328"/>
      <c r="N39" s="328"/>
      <c r="O39" s="328"/>
      <c r="P39" s="328"/>
      <c r="Q39" s="328"/>
      <c r="R39" s="328"/>
      <c r="S39" s="328"/>
      <c r="T39" s="328"/>
      <c r="U39" s="328"/>
      <c r="V39" s="328"/>
      <c r="W39" s="328"/>
      <c r="X39" s="328"/>
      <c r="Y39" s="328"/>
      <c r="Z39" s="328"/>
      <c r="AA39" s="328"/>
      <c r="AB39" s="328"/>
      <c r="AC39" s="328"/>
      <c r="AD39" s="328"/>
      <c r="AE39" s="328"/>
      <c r="AF39" s="328"/>
      <c r="AG39" s="328"/>
      <c r="AH39" s="328"/>
      <c r="AI39" s="328"/>
      <c r="AJ39" s="328"/>
      <c r="AK39" s="328"/>
      <c r="AL39" s="328"/>
      <c r="AM39" s="328"/>
      <c r="AN39" s="328"/>
      <c r="AO39" s="328"/>
      <c r="AP39" s="328"/>
      <c r="AQ39" s="328"/>
      <c r="AR39" s="328"/>
      <c r="AS39" s="328"/>
      <c r="AT39" s="328"/>
      <c r="AU39" s="328"/>
      <c r="AV39" s="328"/>
      <c r="AW39" s="328"/>
      <c r="AX39" s="328"/>
      <c r="AY39" s="328"/>
      <c r="AZ39" s="328"/>
    </row>
    <row r="40" spans="1:52" ht="13">
      <c r="A40" s="328"/>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row>
    <row r="41" spans="1:52" ht="13">
      <c r="A41" s="328"/>
      <c r="B41" s="328"/>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row>
    <row r="42" spans="1:52" ht="13">
      <c r="A42" s="328"/>
      <c r="B42" s="328"/>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row>
    <row r="43" spans="1:52" ht="14.5">
      <c r="A43" s="336"/>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row>
    <row r="44" spans="1:52" ht="14.5">
      <c r="A44" s="336"/>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row>
    <row r="45" spans="1:52" ht="14.5">
      <c r="A45" s="336"/>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row>
    <row r="46" spans="1:52" ht="14.5">
      <c r="A46" s="336"/>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row>
    <row r="47" spans="1:52" ht="14.5">
      <c r="A47" s="336"/>
      <c r="B47" s="336"/>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row>
    <row r="48" spans="1:52" ht="14.5">
      <c r="A48" s="336"/>
      <c r="B48" s="336"/>
      <c r="C48" s="336"/>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row>
    <row r="49" spans="1:52" ht="14.5">
      <c r="A49" s="336"/>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row>
    <row r="50" spans="1:52" ht="14.5">
      <c r="A50" s="336"/>
      <c r="B50" s="336"/>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row>
    <row r="51" spans="1:52" ht="14.5">
      <c r="A51" s="336"/>
      <c r="B51" s="336"/>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row>
    <row r="52" spans="1:52" ht="14.5">
      <c r="A52" s="336"/>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row>
    <row r="53" spans="1:52" ht="14.5">
      <c r="A53" s="336"/>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row>
    <row r="54" spans="1:52" ht="14.5">
      <c r="A54" s="336"/>
      <c r="B54" s="336"/>
      <c r="C54" s="336"/>
      <c r="D54" s="336"/>
      <c r="E54" s="336"/>
      <c r="F54" s="336"/>
      <c r="G54" s="336"/>
      <c r="H54" s="336"/>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row>
    <row r="55" spans="1:52" ht="14.5">
      <c r="A55" s="336"/>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row>
    <row r="56" spans="1:52" ht="14.5">
      <c r="A56" s="336"/>
      <c r="B56" s="336"/>
      <c r="C56" s="336"/>
      <c r="D56" s="336"/>
      <c r="E56" s="336"/>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row>
    <row r="57" spans="1:52" ht="14.5">
      <c r="A57" s="336"/>
      <c r="B57" s="336"/>
      <c r="C57" s="336"/>
      <c r="D57" s="336"/>
      <c r="E57" s="336"/>
      <c r="F57" s="336"/>
      <c r="G57" s="336"/>
      <c r="H57" s="336"/>
      <c r="I57" s="336"/>
      <c r="J57" s="336"/>
      <c r="K57" s="336"/>
      <c r="L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L57" s="336"/>
      <c r="AM57" s="336"/>
      <c r="AN57" s="336"/>
      <c r="AO57" s="336"/>
      <c r="AP57" s="336"/>
      <c r="AQ57" s="336"/>
      <c r="AR57" s="336"/>
      <c r="AS57" s="336"/>
      <c r="AT57" s="336"/>
      <c r="AU57" s="336"/>
      <c r="AV57" s="336"/>
      <c r="AW57" s="336"/>
      <c r="AX57" s="336"/>
      <c r="AY57" s="336"/>
      <c r="AZ57" s="336"/>
    </row>
    <row r="58" spans="1:52" ht="14.5">
      <c r="A58" s="336"/>
      <c r="B58" s="336"/>
      <c r="C58" s="336"/>
      <c r="D58" s="336"/>
      <c r="E58" s="336"/>
      <c r="F58" s="336"/>
      <c r="G58" s="336"/>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c r="AU58" s="336"/>
      <c r="AV58" s="336"/>
      <c r="AW58" s="336"/>
      <c r="AX58" s="336"/>
      <c r="AY58" s="336"/>
      <c r="AZ58" s="336"/>
    </row>
    <row r="59" spans="1:52" ht="14.5">
      <c r="A59" s="336"/>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U59" s="336"/>
      <c r="AV59" s="336"/>
      <c r="AW59" s="336"/>
      <c r="AX59" s="336"/>
      <c r="AY59" s="336"/>
      <c r="AZ59" s="336"/>
    </row>
    <row r="60" spans="1:52" ht="14.5">
      <c r="A60" s="336"/>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U60" s="336"/>
      <c r="AV60" s="336"/>
      <c r="AW60" s="336"/>
      <c r="AX60" s="336"/>
      <c r="AY60" s="336"/>
      <c r="AZ60" s="336"/>
    </row>
    <row r="61" spans="1:52" ht="14.5">
      <c r="A61" s="336"/>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336"/>
    </row>
  </sheetData>
  <hyperlinks>
    <hyperlink ref="C13" r:id="rId1" xr:uid="{D1E63F01-AB24-4285-83A5-67947934B48F}"/>
    <hyperlink ref="C17" r:id="rId2" xr:uid="{A4EB5189-F95A-4B76-B87E-194618AD95D2}"/>
    <hyperlink ref="C21" r:id="rId3" xr:uid="{026E8F65-291F-436A-BCD2-2D61E9674D1A}"/>
  </hyperlinks>
  <pageMargins left="0.7" right="0.7" top="0.75" bottom="0.75" header="0.3" footer="0.3"/>
  <drawing r:id="rId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DCF2-CB50-4F60-8058-5A99AF335F1A}">
  <sheetPr codeName="Sheet24">
    <tabColor rgb="FFC00000"/>
  </sheetPr>
  <dimension ref="A2:AC68"/>
  <sheetViews>
    <sheetView zoomScale="70" zoomScaleNormal="70" workbookViewId="0">
      <pane xSplit="2" ySplit="3" topLeftCell="M4" activePane="bottomRight" state="frozen"/>
      <selection pane="topRight" activeCell="C1" sqref="C1"/>
      <selection pane="bottomLeft" activeCell="A4" sqref="A4"/>
      <selection pane="bottomRight" activeCell="S13" sqref="S13"/>
    </sheetView>
  </sheetViews>
  <sheetFormatPr defaultColWidth="8.90625" defaultRowHeight="14.5"/>
  <cols>
    <col min="1" max="1" width="2.6328125" style="319" customWidth="1"/>
    <col min="2" max="2" width="18" style="319" bestFit="1" customWidth="1"/>
    <col min="3" max="3" width="10.36328125" style="319" customWidth="1"/>
    <col min="4" max="8" width="13.6328125" style="319" customWidth="1"/>
    <col min="9" max="13" width="8.90625" style="319"/>
    <col min="14" max="14" width="13.08984375" style="319" bestFit="1" customWidth="1"/>
    <col min="15" max="16" width="13.08984375" style="319" customWidth="1"/>
    <col min="17" max="17" width="17.36328125" style="319" bestFit="1" customWidth="1"/>
    <col min="18" max="19" width="17.1796875" style="319" bestFit="1" customWidth="1"/>
    <col min="20" max="20" width="11.54296875" style="319" customWidth="1"/>
    <col min="21" max="23" width="8.90625" style="319"/>
    <col min="24" max="24" width="18" style="319" bestFit="1" customWidth="1"/>
    <col min="25" max="29" width="15.81640625" style="319" customWidth="1"/>
    <col min="30" max="16384" width="8.90625" style="319"/>
  </cols>
  <sheetData>
    <row r="2" spans="1:8">
      <c r="B2" s="930"/>
      <c r="C2" s="930"/>
      <c r="D2" s="933" t="s">
        <v>1082</v>
      </c>
      <c r="E2" s="933" t="s">
        <v>1083</v>
      </c>
      <c r="F2" s="933" t="s">
        <v>1081</v>
      </c>
      <c r="G2" s="933"/>
      <c r="H2" s="933"/>
    </row>
    <row r="3" spans="1:8">
      <c r="B3" s="931" t="s">
        <v>886</v>
      </c>
      <c r="C3" s="932"/>
      <c r="D3" s="931"/>
      <c r="E3" s="935">
        <v>0</v>
      </c>
      <c r="F3" s="935">
        <v>1</v>
      </c>
      <c r="G3" s="935">
        <f>F3+1</f>
        <v>2</v>
      </c>
      <c r="H3" s="935">
        <f t="shared" ref="H3" si="0">G3+1</f>
        <v>3</v>
      </c>
    </row>
    <row r="5" spans="1:8">
      <c r="A5" s="319" t="s">
        <v>615</v>
      </c>
      <c r="B5" s="683" t="s">
        <v>1090</v>
      </c>
    </row>
    <row r="7" spans="1:8">
      <c r="B7" s="683" t="s">
        <v>1167</v>
      </c>
    </row>
    <row r="8" spans="1:8">
      <c r="B8" s="319" t="s">
        <v>511</v>
      </c>
      <c r="C8" s="934">
        <v>17000</v>
      </c>
    </row>
    <row r="9" spans="1:8">
      <c r="B9" s="319" t="s">
        <v>904</v>
      </c>
      <c r="C9" s="934">
        <f>67000*0.2</f>
        <v>13400</v>
      </c>
      <c r="D9" s="934">
        <f>67000*0.3</f>
        <v>20100</v>
      </c>
    </row>
    <row r="11" spans="1:8">
      <c r="B11" s="683" t="s">
        <v>4</v>
      </c>
    </row>
    <row r="12" spans="1:8">
      <c r="B12" s="319" t="s">
        <v>511</v>
      </c>
      <c r="E12" s="689">
        <f>E32</f>
        <v>0.40000441432891165</v>
      </c>
      <c r="F12" s="689">
        <f t="shared" ref="F12:G12" si="1">F32</f>
        <v>0.41643138261464752</v>
      </c>
      <c r="G12" s="689">
        <f t="shared" si="1"/>
        <v>0.46727439536200199</v>
      </c>
    </row>
    <row r="13" spans="1:8">
      <c r="B13" s="319" t="s">
        <v>904</v>
      </c>
      <c r="E13" s="689">
        <f>E46</f>
        <v>0.49536601060126756</v>
      </c>
      <c r="F13" s="689">
        <f t="shared" ref="F13:G13" si="2">F46</f>
        <v>0.49830731206176931</v>
      </c>
      <c r="G13" s="689">
        <f t="shared" si="2"/>
        <v>0.48886003815035889</v>
      </c>
    </row>
    <row r="14" spans="1:8">
      <c r="B14" s="683"/>
    </row>
    <row r="15" spans="1:8">
      <c r="B15" s="683" t="s">
        <v>1091</v>
      </c>
    </row>
    <row r="16" spans="1:8">
      <c r="B16" s="319" t="s">
        <v>511</v>
      </c>
      <c r="F16" s="689">
        <f>F12-E12</f>
        <v>1.6426968285735866E-2</v>
      </c>
      <c r="G16" s="689">
        <f>G12-F12</f>
        <v>5.0843012747354477E-2</v>
      </c>
    </row>
    <row r="17" spans="1:29">
      <c r="B17" s="319" t="s">
        <v>904</v>
      </c>
      <c r="F17" s="689">
        <f>F13-E13</f>
        <v>2.9413014605017551E-3</v>
      </c>
      <c r="G17" s="689">
        <f>G13-F13</f>
        <v>-9.4472739114104254E-3</v>
      </c>
    </row>
    <row r="18" spans="1:29">
      <c r="X18" s="1133"/>
      <c r="Y18" s="1133"/>
      <c r="Z18" s="1133"/>
      <c r="AA18" s="1133"/>
      <c r="AB18" s="1133" t="s">
        <v>1340</v>
      </c>
      <c r="AC18" s="1134"/>
    </row>
    <row r="19" spans="1:29">
      <c r="A19" s="319" t="s">
        <v>615</v>
      </c>
      <c r="B19" s="927" t="s">
        <v>579</v>
      </c>
      <c r="C19" s="928"/>
      <c r="D19" s="929"/>
      <c r="E19" s="929"/>
      <c r="F19" s="929"/>
      <c r="G19" s="929"/>
      <c r="H19" s="929"/>
      <c r="N19" s="684"/>
      <c r="O19" s="698">
        <v>2019</v>
      </c>
      <c r="P19" s="698">
        <v>2020</v>
      </c>
      <c r="Q19" s="698">
        <v>2021</v>
      </c>
      <c r="R19" s="698">
        <v>2021</v>
      </c>
      <c r="S19" s="698">
        <v>2022</v>
      </c>
      <c r="T19" s="698">
        <v>2024</v>
      </c>
      <c r="V19" s="683" t="s">
        <v>1338</v>
      </c>
      <c r="X19" s="1135"/>
      <c r="Y19" s="1135">
        <v>2020</v>
      </c>
      <c r="Z19" s="1135">
        <v>2021</v>
      </c>
      <c r="AA19" s="1135" t="s">
        <v>1084</v>
      </c>
      <c r="AB19" s="1135">
        <v>2022</v>
      </c>
      <c r="AC19" s="1135">
        <v>2024</v>
      </c>
    </row>
    <row r="20" spans="1:29">
      <c r="D20" s="921"/>
      <c r="E20" s="921"/>
      <c r="F20" s="921"/>
      <c r="G20" s="921"/>
      <c r="H20" s="921"/>
      <c r="N20" s="1111" t="s">
        <v>591</v>
      </c>
      <c r="O20" s="1111" t="s">
        <v>1331</v>
      </c>
      <c r="P20" s="1111" t="s">
        <v>1331</v>
      </c>
      <c r="Q20" s="1111" t="s">
        <v>1331</v>
      </c>
      <c r="R20" s="1111" t="s">
        <v>1333</v>
      </c>
      <c r="S20" s="1124" t="s">
        <v>511</v>
      </c>
      <c r="T20" s="1124" t="s">
        <v>511</v>
      </c>
      <c r="X20" s="1136" t="s">
        <v>591</v>
      </c>
      <c r="Y20" s="1136" t="s">
        <v>511</v>
      </c>
      <c r="Z20" s="1136" t="s">
        <v>511</v>
      </c>
      <c r="AA20" s="1136" t="s">
        <v>1083</v>
      </c>
      <c r="AB20" s="1136" t="s">
        <v>511</v>
      </c>
      <c r="AC20" s="1136" t="s">
        <v>511</v>
      </c>
    </row>
    <row r="21" spans="1:29">
      <c r="A21" s="319" t="s">
        <v>615</v>
      </c>
      <c r="B21" s="683" t="s">
        <v>511</v>
      </c>
      <c r="C21" s="683"/>
    </row>
    <row r="22" spans="1:29">
      <c r="B22" s="683"/>
      <c r="D22" s="683">
        <v>2021</v>
      </c>
      <c r="E22" s="683" t="s">
        <v>1084</v>
      </c>
      <c r="F22" s="683">
        <v>2022</v>
      </c>
      <c r="G22" s="683">
        <f>F22+1</f>
        <v>2023</v>
      </c>
      <c r="H22" s="683">
        <f>G22+1</f>
        <v>2024</v>
      </c>
      <c r="N22" s="319" t="s">
        <v>687</v>
      </c>
      <c r="O22" s="934">
        <v>27925.700000000004</v>
      </c>
      <c r="P22" s="934">
        <v>27925.700000000004</v>
      </c>
      <c r="Q22" s="934">
        <v>31388.311000000002</v>
      </c>
      <c r="R22" s="934">
        <v>33334.078999999998</v>
      </c>
      <c r="S22" s="934">
        <v>46752.332000000002</v>
      </c>
      <c r="T22" s="934">
        <v>55886.9</v>
      </c>
      <c r="X22" s="319" t="s">
        <v>1327</v>
      </c>
      <c r="Y22" s="1100">
        <f>P35</f>
        <v>2546.0639999999999</v>
      </c>
      <c r="Z22" s="1100">
        <f>Q35</f>
        <v>1919.982</v>
      </c>
      <c r="AA22" s="1100">
        <f>R35</f>
        <v>3631.7917865798727</v>
      </c>
      <c r="AB22" s="1100">
        <f>S35</f>
        <v>4634.8879999999999</v>
      </c>
      <c r="AC22" s="1100">
        <f>T35</f>
        <v>5092.0709999999999</v>
      </c>
    </row>
    <row r="23" spans="1:29">
      <c r="B23" s="319" t="s">
        <v>687</v>
      </c>
      <c r="D23" s="934">
        <v>31388.311000000002</v>
      </c>
      <c r="E23" s="934">
        <v>45307</v>
      </c>
      <c r="F23" s="934">
        <v>46752</v>
      </c>
      <c r="G23" s="934">
        <v>51229</v>
      </c>
      <c r="N23" s="319" t="s">
        <v>1337</v>
      </c>
      <c r="O23" s="1122">
        <f>O22</f>
        <v>27925.700000000004</v>
      </c>
      <c r="P23" s="1122">
        <f>P22</f>
        <v>27925.700000000004</v>
      </c>
      <c r="Q23" s="1122">
        <f>Q22</f>
        <v>31388.311000000002</v>
      </c>
      <c r="R23" s="934">
        <f>R22/3*4</f>
        <v>44445.438666666661</v>
      </c>
      <c r="S23" s="1122">
        <f>S22</f>
        <v>46752.332000000002</v>
      </c>
      <c r="T23" s="1122">
        <f>T22</f>
        <v>55886.9</v>
      </c>
      <c r="V23" s="686">
        <f>T23/S23</f>
        <v>1.1953820827589947</v>
      </c>
      <c r="X23" s="319" t="s">
        <v>1335</v>
      </c>
      <c r="Y23" s="1100">
        <f>P27</f>
        <v>25170.504000000004</v>
      </c>
      <c r="Z23" s="1100">
        <f>Q27</f>
        <v>24394.262999999999</v>
      </c>
      <c r="AA23" s="1100">
        <f>R27</f>
        <v>40066.617092861372</v>
      </c>
      <c r="AB23" s="1100">
        <f>S27</f>
        <v>38458.484100000001</v>
      </c>
      <c r="AC23" s="1100">
        <f>T27</f>
        <v>39449.752</v>
      </c>
    </row>
    <row r="24" spans="1:29">
      <c r="B24" s="319" t="s">
        <v>2</v>
      </c>
      <c r="E24" s="934">
        <v>18123</v>
      </c>
      <c r="F24" s="934">
        <v>19469</v>
      </c>
      <c r="G24" s="934">
        <v>23938</v>
      </c>
    </row>
    <row r="25" spans="1:29">
      <c r="B25" s="319" t="s">
        <v>1157</v>
      </c>
      <c r="D25" s="934">
        <v>1919.982</v>
      </c>
      <c r="E25" s="934"/>
      <c r="F25" s="934"/>
      <c r="G25" s="934"/>
      <c r="K25" s="322"/>
      <c r="N25" s="319" t="s">
        <v>246</v>
      </c>
      <c r="O25" s="934">
        <v>16261.471999999996</v>
      </c>
      <c r="P25" s="934">
        <v>16492.504000000004</v>
      </c>
      <c r="Q25" s="934">
        <v>17502.762999999999</v>
      </c>
      <c r="R25" s="1002">
        <f>0.6*R23</f>
        <v>26667.263199999998</v>
      </c>
      <c r="S25" s="934">
        <v>27283.639000000003</v>
      </c>
      <c r="T25" s="934">
        <v>29511.851999999999</v>
      </c>
      <c r="V25" s="686">
        <f>T25/S25</f>
        <v>1.0816684680514941</v>
      </c>
      <c r="X25" s="1251" t="s">
        <v>1341</v>
      </c>
      <c r="Y25" s="1252">
        <f t="shared" ref="Y25:AC26" si="3">P37</f>
        <v>9.1172790655202895E-2</v>
      </c>
      <c r="Z25" s="1252">
        <f t="shared" si="3"/>
        <v>6.1168694295147E-2</v>
      </c>
      <c r="AA25" s="1252">
        <f t="shared" si="3"/>
        <v>8.1713487267336973E-2</v>
      </c>
      <c r="AB25" s="1252">
        <f t="shared" si="3"/>
        <v>9.9137044115788706E-2</v>
      </c>
      <c r="AC25" s="1252">
        <f t="shared" si="3"/>
        <v>9.1113856735657195E-2</v>
      </c>
    </row>
    <row r="26" spans="1:29">
      <c r="B26" s="319" t="s">
        <v>248</v>
      </c>
      <c r="E26" s="1002">
        <f>6892+9900</f>
        <v>16792</v>
      </c>
      <c r="F26" s="934">
        <v>12010</v>
      </c>
      <c r="G26" s="934">
        <v>12783</v>
      </c>
      <c r="K26" s="322"/>
      <c r="N26" s="319" t="s">
        <v>248</v>
      </c>
      <c r="O26" s="934">
        <v>10147</v>
      </c>
      <c r="P26" s="934">
        <v>8678</v>
      </c>
      <c r="Q26" s="934">
        <v>6891.5</v>
      </c>
      <c r="R26" s="1002">
        <f>6507853.89286137/1000+6891.5</f>
        <v>13399.353892861371</v>
      </c>
      <c r="S26" s="934">
        <v>11174.8451</v>
      </c>
      <c r="T26" s="934">
        <v>9937.9</v>
      </c>
      <c r="V26" s="686">
        <f>T26/S26</f>
        <v>0.88930986613854712</v>
      </c>
      <c r="X26" s="319" t="s">
        <v>1342</v>
      </c>
      <c r="Y26" s="1114">
        <f t="shared" si="3"/>
        <v>0.10115268252077907</v>
      </c>
      <c r="Z26" s="1114">
        <f t="shared" si="3"/>
        <v>7.8706292540996217E-2</v>
      </c>
      <c r="AA26" s="1114">
        <f t="shared" si="3"/>
        <v>9.0643833946913013E-2</v>
      </c>
      <c r="AB26" s="1114">
        <f t="shared" si="3"/>
        <v>0.12051665863761904</v>
      </c>
      <c r="AC26" s="1114">
        <f t="shared" si="3"/>
        <v>0.129077389383842</v>
      </c>
    </row>
    <row r="27" spans="1:29">
      <c r="B27" s="319" t="s">
        <v>1085</v>
      </c>
      <c r="E27" s="716">
        <v>94.6</v>
      </c>
      <c r="F27" s="716">
        <v>102.2</v>
      </c>
      <c r="G27" s="716">
        <v>98.8</v>
      </c>
      <c r="N27" s="698" t="s">
        <v>1335</v>
      </c>
      <c r="O27" s="1123">
        <f t="shared" ref="O27:T27" si="4">O25+O26</f>
        <v>26408.471999999994</v>
      </c>
      <c r="P27" s="1123">
        <f t="shared" si="4"/>
        <v>25170.504000000004</v>
      </c>
      <c r="Q27" s="1123">
        <f t="shared" si="4"/>
        <v>24394.262999999999</v>
      </c>
      <c r="R27" s="1123">
        <f t="shared" si="4"/>
        <v>40066.617092861372</v>
      </c>
      <c r="S27" s="1123">
        <f t="shared" si="4"/>
        <v>38458.484100000001</v>
      </c>
      <c r="T27" s="1123">
        <f t="shared" si="4"/>
        <v>39449.752</v>
      </c>
      <c r="V27" s="686">
        <f>T27/S27</f>
        <v>1.0257750122813603</v>
      </c>
    </row>
    <row r="28" spans="1:29">
      <c r="B28" s="319" t="s">
        <v>40</v>
      </c>
    </row>
    <row r="30" spans="1:29">
      <c r="B30" s="319" t="s">
        <v>88</v>
      </c>
      <c r="F30" s="689">
        <f>F23/E23-1</f>
        <v>3.1893526386651105E-2</v>
      </c>
      <c r="G30" s="689">
        <f>G23/F23-1</f>
        <v>9.5760609171800182E-2</v>
      </c>
      <c r="N30" s="683" t="s">
        <v>978</v>
      </c>
      <c r="O30" s="934"/>
      <c r="P30" s="934"/>
      <c r="Q30" s="934"/>
      <c r="R30" s="934"/>
    </row>
    <row r="31" spans="1:29">
      <c r="B31" s="319" t="s">
        <v>1061</v>
      </c>
      <c r="F31" s="689">
        <f>F24/E24-1</f>
        <v>7.4270264305026812E-2</v>
      </c>
      <c r="G31" s="689">
        <f>G24/F24-1</f>
        <v>0.22954440392418718</v>
      </c>
      <c r="N31" s="319" t="s">
        <v>765</v>
      </c>
      <c r="O31" s="934">
        <v>1853.3679999999999</v>
      </c>
      <c r="P31" s="934">
        <v>2230.2860000000001</v>
      </c>
      <c r="Q31" s="934">
        <v>2682.22</v>
      </c>
      <c r="R31" s="934">
        <v>6613.9390000000003</v>
      </c>
      <c r="S31" s="934">
        <v>7105.8459999999995</v>
      </c>
      <c r="T31" s="934">
        <v>6509.0370000000003</v>
      </c>
    </row>
    <row r="32" spans="1:29">
      <c r="B32" s="319" t="s">
        <v>4</v>
      </c>
      <c r="E32" s="689">
        <f>E24/E23</f>
        <v>0.40000441432891165</v>
      </c>
      <c r="F32" s="689">
        <f t="shared" ref="F32:G32" si="5">F24/F23</f>
        <v>0.41643138261464752</v>
      </c>
      <c r="G32" s="689">
        <f t="shared" si="5"/>
        <v>0.46727439536200199</v>
      </c>
      <c r="N32" s="319" t="s">
        <v>1332</v>
      </c>
      <c r="O32" s="934">
        <v>6647</v>
      </c>
      <c r="P32" s="934">
        <v>9579.7980000000007</v>
      </c>
      <c r="Q32" s="934">
        <v>14292.299000000001</v>
      </c>
      <c r="R32" s="934">
        <v>25494.652999999998</v>
      </c>
      <c r="S32" s="934">
        <v>27583.728999999999</v>
      </c>
      <c r="T32" s="934">
        <v>33457.877</v>
      </c>
    </row>
    <row r="33" spans="1:22">
      <c r="B33" s="319" t="s">
        <v>162</v>
      </c>
      <c r="D33" s="689">
        <f>E26/E23</f>
        <v>0.3706270554218995</v>
      </c>
      <c r="E33" s="689">
        <f>E26/E23</f>
        <v>0.3706270554218995</v>
      </c>
      <c r="F33" s="689">
        <f>F26/F23</f>
        <v>0.25688740588637921</v>
      </c>
      <c r="G33" s="689">
        <f>G26/G23</f>
        <v>0.24952663530422223</v>
      </c>
      <c r="N33" s="684" t="s">
        <v>6</v>
      </c>
      <c r="O33" s="1123">
        <f t="shared" ref="O33:T33" si="6">SUM(O31:O32)</f>
        <v>8500.3680000000004</v>
      </c>
      <c r="P33" s="1123">
        <f t="shared" si="6"/>
        <v>11810.084000000001</v>
      </c>
      <c r="Q33" s="1123">
        <f t="shared" si="6"/>
        <v>16974.519</v>
      </c>
      <c r="R33" s="1123">
        <f t="shared" si="6"/>
        <v>32108.591999999997</v>
      </c>
      <c r="S33" s="1123">
        <f t="shared" si="6"/>
        <v>34689.574999999997</v>
      </c>
      <c r="T33" s="1123">
        <f t="shared" si="6"/>
        <v>39966.914000000004</v>
      </c>
    </row>
    <row r="34" spans="1:22">
      <c r="P34" s="934"/>
      <c r="Q34" s="934"/>
      <c r="R34" s="934"/>
    </row>
    <row r="35" spans="1:22">
      <c r="N35" s="319" t="s">
        <v>1157</v>
      </c>
      <c r="O35" s="934">
        <v>2116.0720000000001</v>
      </c>
      <c r="P35" s="934">
        <v>2546.0639999999999</v>
      </c>
      <c r="Q35" s="934">
        <v>1919.982</v>
      </c>
      <c r="R35" s="1253">
        <f>R36*R33</f>
        <v>3631.7917865798727</v>
      </c>
      <c r="S35" s="934">
        <v>4634.8879999999999</v>
      </c>
      <c r="T35" s="934">
        <v>5092.0709999999999</v>
      </c>
      <c r="V35" s="686">
        <f>T35/S35</f>
        <v>1.0986394924753307</v>
      </c>
    </row>
    <row r="36" spans="1:22">
      <c r="A36" s="319" t="s">
        <v>615</v>
      </c>
      <c r="B36" s="683" t="s">
        <v>904</v>
      </c>
      <c r="D36" s="683">
        <v>2024</v>
      </c>
      <c r="E36" s="683" t="s">
        <v>1089</v>
      </c>
      <c r="F36" s="683">
        <f>D36+1</f>
        <v>2025</v>
      </c>
      <c r="G36" s="683">
        <f t="shared" ref="G36:H36" si="7">F36+1</f>
        <v>2026</v>
      </c>
      <c r="H36" s="683">
        <f t="shared" si="7"/>
        <v>2027</v>
      </c>
      <c r="N36" s="319" t="s">
        <v>1334</v>
      </c>
      <c r="O36" s="689">
        <f>O35/O33</f>
        <v>0.24893886947012175</v>
      </c>
      <c r="P36" s="689">
        <f>P35/P33</f>
        <v>0.21558390270551842</v>
      </c>
      <c r="Q36" s="689">
        <f>Q35/Q33</f>
        <v>0.11310965571395572</v>
      </c>
      <c r="R36" s="700">
        <f>Q36</f>
        <v>0.11310965571395572</v>
      </c>
      <c r="S36" s="689">
        <f>S35/S33</f>
        <v>0.13361040024272422</v>
      </c>
      <c r="T36" s="689">
        <f>T35/T33</f>
        <v>0.12740715983225523</v>
      </c>
    </row>
    <row r="37" spans="1:22">
      <c r="N37" s="1251" t="s">
        <v>67</v>
      </c>
      <c r="O37" s="1254">
        <f t="shared" ref="O37:T37" si="8">O35/O23</f>
        <v>7.5775074572884474E-2</v>
      </c>
      <c r="P37" s="1254">
        <f t="shared" si="8"/>
        <v>9.1172790655202895E-2</v>
      </c>
      <c r="Q37" s="1254">
        <f t="shared" si="8"/>
        <v>6.1168694295147E-2</v>
      </c>
      <c r="R37" s="1254">
        <f t="shared" si="8"/>
        <v>8.1713487267336973E-2</v>
      </c>
      <c r="S37" s="1254">
        <f t="shared" si="8"/>
        <v>9.9137044115788706E-2</v>
      </c>
      <c r="T37" s="1254">
        <f t="shared" si="8"/>
        <v>9.1113856735657195E-2</v>
      </c>
    </row>
    <row r="38" spans="1:22">
      <c r="B38" s="319" t="s">
        <v>687</v>
      </c>
      <c r="D38" s="322">
        <f>XLSmart!N552</f>
        <v>34391.597000000002</v>
      </c>
      <c r="E38" s="322">
        <v>45385.516000000003</v>
      </c>
      <c r="F38" s="322">
        <f>XLSmart!O552</f>
        <v>41495.908510024659</v>
      </c>
      <c r="G38" s="322">
        <f>XLSmart!P552</f>
        <v>48717.819545967293</v>
      </c>
      <c r="H38" s="322">
        <f>XLSmart!Q552</f>
        <v>50082.407782619586</v>
      </c>
      <c r="N38" s="319" t="s">
        <v>1336</v>
      </c>
      <c r="O38" s="701">
        <f t="shared" ref="O38:T38" si="9">O35/O27</f>
        <v>8.012852845102135E-2</v>
      </c>
      <c r="P38" s="701">
        <f t="shared" si="9"/>
        <v>0.10115268252077907</v>
      </c>
      <c r="Q38" s="701">
        <f t="shared" si="9"/>
        <v>7.8706292540996217E-2</v>
      </c>
      <c r="R38" s="701">
        <f t="shared" si="9"/>
        <v>9.0643833946913013E-2</v>
      </c>
      <c r="S38" s="701">
        <f t="shared" si="9"/>
        <v>0.12051665863761904</v>
      </c>
      <c r="T38" s="701">
        <f t="shared" si="9"/>
        <v>0.129077389383842</v>
      </c>
    </row>
    <row r="39" spans="1:22">
      <c r="B39" s="319" t="s">
        <v>2</v>
      </c>
      <c r="D39" s="322">
        <f>XLSmart!N553</f>
        <v>17879</v>
      </c>
      <c r="E39" s="322">
        <v>22482.441999999999</v>
      </c>
      <c r="F39" s="322">
        <f>XLSmart!O553</f>
        <v>20677.714631191488</v>
      </c>
      <c r="G39" s="322">
        <f>XLSmart!P553</f>
        <v>23816.19512184387</v>
      </c>
      <c r="H39" s="322">
        <f>XLSmart!Q553</f>
        <v>25025.885460748661</v>
      </c>
    </row>
    <row r="40" spans="1:22">
      <c r="B40" s="319" t="s">
        <v>248</v>
      </c>
      <c r="D40" s="322">
        <f>XLSmart!N567</f>
        <v>7382</v>
      </c>
      <c r="E40" s="322">
        <v>9166.7999999999993</v>
      </c>
      <c r="F40" s="322">
        <f>XLSmart!O567</f>
        <v>9119.1215112211376</v>
      </c>
      <c r="G40" s="322">
        <f>XLSmart!P567</f>
        <v>10292.561657662129</v>
      </c>
      <c r="H40" s="322">
        <f>XLSmart!Q567</f>
        <v>9516.3265233291695</v>
      </c>
    </row>
    <row r="41" spans="1:22">
      <c r="B41" s="319" t="s">
        <v>1085</v>
      </c>
      <c r="D41" s="322"/>
      <c r="E41" s="322"/>
      <c r="F41" s="322"/>
      <c r="G41" s="322"/>
      <c r="H41" s="322"/>
    </row>
    <row r="42" spans="1:22">
      <c r="B42" s="319" t="s">
        <v>40</v>
      </c>
      <c r="D42" s="322"/>
      <c r="E42" s="322"/>
      <c r="F42" s="322"/>
      <c r="G42" s="322"/>
      <c r="H42" s="322"/>
    </row>
    <row r="44" spans="1:22">
      <c r="B44" s="319" t="s">
        <v>88</v>
      </c>
      <c r="F44" s="689"/>
      <c r="G44" s="689">
        <f>G38/F38-1</f>
        <v>0.17403911121015581</v>
      </c>
      <c r="H44" s="689">
        <f>H38/G38-1</f>
        <v>2.8010043334651957E-2</v>
      </c>
    </row>
    <row r="45" spans="1:22">
      <c r="B45" s="319" t="s">
        <v>1061</v>
      </c>
      <c r="F45" s="689"/>
      <c r="G45" s="689">
        <f>G39/F39-1</f>
        <v>0.15178082039676255</v>
      </c>
      <c r="H45" s="689">
        <f>H39/G39-1</f>
        <v>5.0792762349989307E-2</v>
      </c>
    </row>
    <row r="46" spans="1:22">
      <c r="B46" s="319" t="s">
        <v>4</v>
      </c>
      <c r="D46" s="689">
        <f>D39/D38</f>
        <v>0.51986536129741223</v>
      </c>
      <c r="E46" s="689">
        <f t="shared" ref="E46" si="10">E39/E38</f>
        <v>0.49536601060126756</v>
      </c>
      <c r="F46" s="689">
        <f t="shared" ref="F46:H46" si="11">F39/F38</f>
        <v>0.49830731206176931</v>
      </c>
      <c r="G46" s="689">
        <f t="shared" si="11"/>
        <v>0.48886003815035889</v>
      </c>
      <c r="H46" s="689">
        <f t="shared" si="11"/>
        <v>0.49969413550108011</v>
      </c>
    </row>
    <row r="47" spans="1:22">
      <c r="B47" s="319" t="s">
        <v>162</v>
      </c>
      <c r="D47" s="689">
        <f>D40/D38</f>
        <v>0.21464545540005017</v>
      </c>
      <c r="E47" s="689">
        <f>E40/E38</f>
        <v>0.20197633095104611</v>
      </c>
      <c r="F47" s="689">
        <f>F40/F38</f>
        <v>0.219759533859058</v>
      </c>
      <c r="G47" s="689">
        <f>G40/G38</f>
        <v>0.2112689310315021</v>
      </c>
      <c r="H47" s="689">
        <f>H40/H38</f>
        <v>0.19001335887512341</v>
      </c>
    </row>
    <row r="49" spans="1:16">
      <c r="A49" s="319" t="s">
        <v>615</v>
      </c>
      <c r="B49" s="936" t="s">
        <v>1094</v>
      </c>
      <c r="C49" s="937"/>
      <c r="D49" s="937"/>
      <c r="E49" s="937"/>
      <c r="F49" s="937"/>
      <c r="G49" s="937"/>
      <c r="H49" s="937"/>
    </row>
    <row r="50" spans="1:16">
      <c r="B50" s="937"/>
      <c r="C50" s="937"/>
      <c r="D50" s="937"/>
      <c r="E50" s="937"/>
      <c r="F50" s="937"/>
      <c r="G50" s="937"/>
      <c r="H50" s="937"/>
    </row>
    <row r="51" spans="1:16">
      <c r="B51" s="182" t="s">
        <v>1095</v>
      </c>
      <c r="C51" s="937"/>
      <c r="D51" s="184">
        <v>2023</v>
      </c>
      <c r="E51" s="184">
        <f>D51+1</f>
        <v>2024</v>
      </c>
      <c r="F51" s="184">
        <f t="shared" ref="F51:G51" si="12">E51+1</f>
        <v>2025</v>
      </c>
      <c r="G51" s="184">
        <f t="shared" si="12"/>
        <v>2026</v>
      </c>
      <c r="H51" s="1139" t="s">
        <v>6</v>
      </c>
    </row>
    <row r="52" spans="1:16">
      <c r="B52" s="181" t="s">
        <v>1096</v>
      </c>
      <c r="C52" s="937"/>
      <c r="D52" s="938">
        <v>10</v>
      </c>
      <c r="E52" s="938">
        <v>24</v>
      </c>
      <c r="F52" s="938">
        <v>32</v>
      </c>
      <c r="G52" s="938">
        <v>24</v>
      </c>
      <c r="H52" s="181">
        <f>SUM(D52:G52)</f>
        <v>90</v>
      </c>
    </row>
    <row r="53" spans="1:16">
      <c r="B53" s="181" t="s">
        <v>1093</v>
      </c>
      <c r="C53" s="937"/>
      <c r="D53" s="938">
        <v>-10</v>
      </c>
      <c r="E53" s="938">
        <v>-26</v>
      </c>
      <c r="F53" s="938">
        <v>-16</v>
      </c>
      <c r="G53" s="938">
        <v>-2</v>
      </c>
      <c r="H53" s="181">
        <f t="shared" ref="H53:H54" si="13">SUM(D53:G53)</f>
        <v>-54</v>
      </c>
      <c r="K53" s="689">
        <f>-D53/$H$53</f>
        <v>-0.18518518518518517</v>
      </c>
      <c r="L53" s="689">
        <f t="shared" ref="L53:N53" si="14">-E53/$H$53</f>
        <v>-0.48148148148148145</v>
      </c>
      <c r="M53" s="689">
        <f t="shared" si="14"/>
        <v>-0.29629629629629628</v>
      </c>
      <c r="N53" s="689">
        <f t="shared" si="14"/>
        <v>-3.7037037037037035E-2</v>
      </c>
      <c r="O53" s="689"/>
      <c r="P53" s="689"/>
    </row>
    <row r="54" spans="1:16">
      <c r="B54" s="181" t="s">
        <v>1097</v>
      </c>
      <c r="C54" s="937"/>
      <c r="D54" s="938">
        <v>0.25</v>
      </c>
      <c r="E54" s="938">
        <v>-3</v>
      </c>
      <c r="F54" s="938">
        <f>F52+F53</f>
        <v>16</v>
      </c>
      <c r="G54" s="938">
        <f>G52+G53</f>
        <v>22</v>
      </c>
      <c r="H54" s="181">
        <f t="shared" si="13"/>
        <v>35.25</v>
      </c>
    </row>
    <row r="55" spans="1:16">
      <c r="B55" s="937"/>
      <c r="C55" s="937"/>
      <c r="D55" s="937"/>
      <c r="E55" s="937"/>
      <c r="F55" s="937"/>
      <c r="G55" s="937"/>
      <c r="H55" s="937"/>
    </row>
    <row r="56" spans="1:16">
      <c r="B56" s="181" t="s">
        <v>1099</v>
      </c>
      <c r="C56" s="937"/>
      <c r="D56" s="937"/>
      <c r="E56" s="938" t="s">
        <v>1098</v>
      </c>
      <c r="F56" s="938" t="s">
        <v>1098</v>
      </c>
      <c r="G56" s="926">
        <v>0.4</v>
      </c>
      <c r="H56" s="937"/>
    </row>
    <row r="57" spans="1:16">
      <c r="B57" s="939" t="s">
        <v>1100</v>
      </c>
      <c r="C57" s="940"/>
      <c r="D57" s="940"/>
      <c r="E57" s="940">
        <f>0.25*E52</f>
        <v>6</v>
      </c>
      <c r="F57" s="940">
        <f>0.25*F52</f>
        <v>8</v>
      </c>
      <c r="G57" s="940">
        <f>0.4*G52</f>
        <v>9.6000000000000014</v>
      </c>
      <c r="H57" s="937"/>
    </row>
    <row r="58" spans="1:16">
      <c r="B58" s="181" t="s">
        <v>1101</v>
      </c>
      <c r="C58" s="937"/>
      <c r="D58" s="937"/>
      <c r="E58" s="938"/>
      <c r="F58" s="938"/>
      <c r="G58" s="926"/>
      <c r="H58" s="937"/>
    </row>
    <row r="59" spans="1:16">
      <c r="B59" s="939" t="s">
        <v>246</v>
      </c>
      <c r="C59" s="941">
        <f>1-C60</f>
        <v>0.15000000000000002</v>
      </c>
      <c r="D59" s="937"/>
      <c r="E59" s="181">
        <f>$C$59*E53</f>
        <v>-3.9000000000000004</v>
      </c>
      <c r="F59" s="181">
        <f t="shared" ref="F59:G59" si="15">$C$59*F53</f>
        <v>-2.4000000000000004</v>
      </c>
      <c r="G59" s="181">
        <f t="shared" si="15"/>
        <v>-0.30000000000000004</v>
      </c>
      <c r="H59" s="937"/>
    </row>
    <row r="60" spans="1:16">
      <c r="B60" s="939" t="s">
        <v>248</v>
      </c>
      <c r="C60" s="278">
        <v>0.85</v>
      </c>
      <c r="D60" s="937"/>
      <c r="E60" s="937"/>
      <c r="F60" s="937"/>
      <c r="G60" s="937"/>
      <c r="H60" s="937"/>
    </row>
    <row r="61" spans="1:16">
      <c r="B61" s="182" t="s">
        <v>1102</v>
      </c>
      <c r="C61" s="942"/>
      <c r="D61" s="937"/>
      <c r="E61" s="943">
        <f>E57+E59</f>
        <v>2.0999999999999996</v>
      </c>
      <c r="F61" s="943">
        <f>F57+F59</f>
        <v>5.6</v>
      </c>
      <c r="G61" s="943">
        <f>G57+G59</f>
        <v>9.3000000000000007</v>
      </c>
      <c r="H61" s="937"/>
    </row>
    <row r="62" spans="1:16">
      <c r="B62" s="937"/>
      <c r="C62" s="937"/>
      <c r="D62" s="937"/>
      <c r="E62" s="937"/>
      <c r="F62" s="937"/>
      <c r="G62" s="937"/>
      <c r="H62" s="937"/>
    </row>
    <row r="63" spans="1:16">
      <c r="B63" s="319" t="s">
        <v>1105</v>
      </c>
      <c r="D63" s="689">
        <f>D53/D52</f>
        <v>-1</v>
      </c>
      <c r="E63" s="689">
        <f t="shared" ref="E63:G63" si="16">E53/E52</f>
        <v>-1.0833333333333333</v>
      </c>
      <c r="F63" s="689">
        <f t="shared" si="16"/>
        <v>-0.5</v>
      </c>
      <c r="G63" s="689">
        <f t="shared" si="16"/>
        <v>-8.3333333333333329E-2</v>
      </c>
    </row>
    <row r="65" spans="14:22">
      <c r="U65" s="319" t="s">
        <v>6</v>
      </c>
      <c r="V65" s="319" t="s">
        <v>1172</v>
      </c>
    </row>
    <row r="66" spans="14:22">
      <c r="N66" s="319" t="s">
        <v>1127</v>
      </c>
      <c r="Q66" s="319">
        <v>10</v>
      </c>
      <c r="R66" s="319">
        <v>24</v>
      </c>
      <c r="S66" s="319">
        <v>32</v>
      </c>
      <c r="T66" s="319">
        <v>24</v>
      </c>
      <c r="U66" s="319">
        <f>SUM(Q66:T66)</f>
        <v>90</v>
      </c>
      <c r="V66" s="319">
        <f>U66/33</f>
        <v>2.7272727272727271</v>
      </c>
    </row>
    <row r="67" spans="14:22">
      <c r="N67" s="319" t="s">
        <v>1093</v>
      </c>
      <c r="Q67" s="319">
        <v>10</v>
      </c>
      <c r="R67" s="319">
        <v>26</v>
      </c>
      <c r="S67" s="319">
        <v>16</v>
      </c>
      <c r="T67" s="319">
        <v>2</v>
      </c>
      <c r="U67" s="319">
        <f>SUM(Q67:T67)</f>
        <v>54</v>
      </c>
      <c r="V67" s="319">
        <f>U67/33</f>
        <v>1.6363636363636365</v>
      </c>
    </row>
    <row r="68" spans="14:22">
      <c r="N68" s="319" t="s">
        <v>1182</v>
      </c>
      <c r="Q68" s="319">
        <v>0.25</v>
      </c>
      <c r="R68" s="319">
        <v>-3</v>
      </c>
      <c r="S68" s="319">
        <v>16</v>
      </c>
      <c r="T68" s="319">
        <v>22</v>
      </c>
      <c r="U68" s="319">
        <f>SUM(Q68:T68)</f>
        <v>35.25</v>
      </c>
      <c r="V68" s="319">
        <f>U68/33</f>
        <v>1.0681818181818181</v>
      </c>
    </row>
  </sheetData>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61139-E97F-4F82-B64D-702148CD00B9}">
  <sheetPr codeName="Sheet25">
    <tabColor theme="2"/>
  </sheetPr>
  <dimension ref="A2:G61"/>
  <sheetViews>
    <sheetView topLeftCell="A3" zoomScale="85" zoomScaleNormal="85" workbookViewId="0">
      <selection activeCell="F27" sqref="F27"/>
    </sheetView>
  </sheetViews>
  <sheetFormatPr defaultColWidth="8.90625" defaultRowHeight="13"/>
  <cols>
    <col min="1" max="1" width="8.90625" style="146"/>
    <col min="2" max="2" width="27.54296875" style="146" bestFit="1" customWidth="1"/>
    <col min="3" max="7" width="12.54296875" style="146" bestFit="1" customWidth="1"/>
    <col min="8" max="16384" width="8.90625" style="146"/>
  </cols>
  <sheetData>
    <row r="2" spans="1:7">
      <c r="B2" s="251" t="s">
        <v>613</v>
      </c>
      <c r="C2" s="274"/>
      <c r="D2" s="274"/>
      <c r="E2" s="274"/>
      <c r="F2" s="274"/>
      <c r="G2" s="274"/>
    </row>
    <row r="3" spans="1:7">
      <c r="B3" s="147"/>
    </row>
    <row r="4" spans="1:7">
      <c r="B4" s="146" t="s">
        <v>406</v>
      </c>
      <c r="C4" s="1259">
        <v>0.22</v>
      </c>
    </row>
    <row r="5" spans="1:7">
      <c r="B5" s="146" t="s">
        <v>1115</v>
      </c>
      <c r="C5" s="1082">
        <v>18143.37</v>
      </c>
    </row>
    <row r="6" spans="1:7">
      <c r="C6" s="189"/>
    </row>
    <row r="8" spans="1:7">
      <c r="A8" s="146" t="s">
        <v>615</v>
      </c>
      <c r="B8" s="251" t="s">
        <v>591</v>
      </c>
      <c r="C8" s="251">
        <v>2024</v>
      </c>
      <c r="D8" s="1260">
        <f>C8+1</f>
        <v>2025</v>
      </c>
      <c r="E8" s="1260">
        <f t="shared" ref="E8:G8" si="0">D8+1</f>
        <v>2026</v>
      </c>
      <c r="F8" s="1260">
        <f t="shared" si="0"/>
        <v>2027</v>
      </c>
      <c r="G8" s="1260">
        <f t="shared" si="0"/>
        <v>2028</v>
      </c>
    </row>
    <row r="9" spans="1:7">
      <c r="C9" s="147"/>
      <c r="D9" s="960"/>
      <c r="E9" s="960"/>
      <c r="F9" s="960"/>
      <c r="G9" s="960"/>
    </row>
    <row r="10" spans="1:7">
      <c r="A10" s="146" t="s">
        <v>615</v>
      </c>
      <c r="B10" s="147" t="s">
        <v>1430</v>
      </c>
      <c r="C10" s="147"/>
      <c r="D10" s="960"/>
      <c r="E10" s="960"/>
      <c r="F10" s="960"/>
      <c r="G10" s="960"/>
    </row>
    <row r="11" spans="1:7">
      <c r="B11" s="1257" t="s">
        <v>687</v>
      </c>
      <c r="C11" s="891">
        <f>XLSmart!N343</f>
        <v>45811.322</v>
      </c>
      <c r="D11" s="891">
        <f>XLSmart!O343</f>
        <v>47003.497909266196</v>
      </c>
      <c r="E11" s="891">
        <f>XLSmart!P343</f>
        <v>49166.854877992788</v>
      </c>
      <c r="F11" s="891">
        <f>XLSmart!Q343</f>
        <v>51106.032885777327</v>
      </c>
      <c r="G11" s="891">
        <f>XLSmart!R343</f>
        <v>53031.846000995007</v>
      </c>
    </row>
    <row r="12" spans="1:7">
      <c r="B12" s="1257" t="s">
        <v>2</v>
      </c>
      <c r="C12" s="891">
        <f>XLSmart!N346</f>
        <v>22451.777000000002</v>
      </c>
      <c r="D12" s="891">
        <f>XLSmart!O346</f>
        <v>23046.987716971151</v>
      </c>
      <c r="E12" s="891">
        <f>XLSmart!P346</f>
        <v>23816.19512184387</v>
      </c>
      <c r="F12" s="891">
        <f>XLSmart!Q346</f>
        <v>25025.885460748661</v>
      </c>
      <c r="G12" s="891">
        <f>XLSmart!R346</f>
        <v>26592.193763350788</v>
      </c>
    </row>
    <row r="13" spans="1:7">
      <c r="B13" s="1257" t="s">
        <v>248</v>
      </c>
      <c r="C13" s="891">
        <f>XLSmart!N369</f>
        <v>8564.9</v>
      </c>
      <c r="D13" s="891">
        <f>XLSmart!O369</f>
        <v>10216.213720988784</v>
      </c>
      <c r="E13" s="891">
        <f>XLSmart!P369</f>
        <v>10292.561657662129</v>
      </c>
      <c r="F13" s="891">
        <f>XLSmart!Q369</f>
        <v>9516.3265233291695</v>
      </c>
      <c r="G13" s="891">
        <f>XLSmart!R369</f>
        <v>8325.6603948013108</v>
      </c>
    </row>
    <row r="14" spans="1:7">
      <c r="B14" s="1257" t="s">
        <v>1410</v>
      </c>
      <c r="C14" s="891">
        <f>C12-C13</f>
        <v>13886.877000000002</v>
      </c>
      <c r="D14" s="891">
        <f t="shared" ref="D14:G14" si="1">D12-D13</f>
        <v>12830.773995982367</v>
      </c>
      <c r="E14" s="891">
        <f t="shared" si="1"/>
        <v>13523.633464181741</v>
      </c>
      <c r="F14" s="891">
        <f t="shared" si="1"/>
        <v>15509.558937419491</v>
      </c>
      <c r="G14" s="891">
        <f t="shared" si="1"/>
        <v>18266.533368549477</v>
      </c>
    </row>
    <row r="15" spans="1:7">
      <c r="B15" s="1257" t="s">
        <v>1411</v>
      </c>
      <c r="C15" s="891">
        <f>C14*(1-$C$4)</f>
        <v>10831.764060000001</v>
      </c>
      <c r="D15" s="891">
        <f t="shared" ref="D15:G15" si="2">D14*(1-$C$4)</f>
        <v>10008.003716866246</v>
      </c>
      <c r="E15" s="891">
        <f t="shared" si="2"/>
        <v>10548.434102061758</v>
      </c>
      <c r="F15" s="891">
        <f t="shared" si="2"/>
        <v>12097.455971187204</v>
      </c>
      <c r="G15" s="891">
        <f t="shared" si="2"/>
        <v>14247.896027468592</v>
      </c>
    </row>
    <row r="16" spans="1:7">
      <c r="B16" s="1257" t="s">
        <v>1412</v>
      </c>
      <c r="C16" s="891">
        <f>XLSmart!N426</f>
        <v>1955.0920000000033</v>
      </c>
      <c r="D16" s="891">
        <f ca="1">XLSmart!O426</f>
        <v>1129.0043954388748</v>
      </c>
      <c r="E16" s="891">
        <f ca="1">XLSmart!P426</f>
        <v>609.97554597124133</v>
      </c>
      <c r="F16" s="891">
        <f ca="1">XLSmart!Q426</f>
        <v>2074.9437051177829</v>
      </c>
      <c r="G16" s="891">
        <f ca="1">XLSmart!R426</f>
        <v>4488.3832689926767</v>
      </c>
    </row>
    <row r="17" spans="1:7">
      <c r="B17" s="1257" t="s">
        <v>1413</v>
      </c>
      <c r="C17" s="891">
        <f>XLSmart!N363</f>
        <v>552.65499999999975</v>
      </c>
      <c r="D17" s="891">
        <f ca="1">XLSmart!O363</f>
        <v>1547.1699691327847</v>
      </c>
      <c r="E17" s="891">
        <f ca="1">XLSmart!P363</f>
        <v>2072.4807599470796</v>
      </c>
      <c r="F17" s="891">
        <f ca="1">XLSmart!Q363</f>
        <v>3032.1753773407609</v>
      </c>
      <c r="G17" s="891">
        <f ca="1">XLSmart!R363</f>
        <v>4667.6693436394607</v>
      </c>
    </row>
    <row r="18" spans="1:7">
      <c r="B18" s="1257" t="s">
        <v>289</v>
      </c>
      <c r="C18" s="891">
        <f>C17*1000/$C$5</f>
        <v>30.460438165566806</v>
      </c>
      <c r="D18" s="891">
        <f t="shared" ref="D18:G18" ca="1" si="3">D17*1000/$C$5</f>
        <v>85.274674392507279</v>
      </c>
      <c r="E18" s="891">
        <f t="shared" ca="1" si="3"/>
        <v>114.22799402465363</v>
      </c>
      <c r="F18" s="891">
        <f t="shared" ca="1" si="3"/>
        <v>167.12305251674641</v>
      </c>
      <c r="G18" s="891">
        <f t="shared" ca="1" si="3"/>
        <v>257.26584111107587</v>
      </c>
    </row>
    <row r="19" spans="1:7">
      <c r="B19" s="1257" t="s">
        <v>288</v>
      </c>
      <c r="C19" s="891">
        <f>XLSmart!N433*1000/$C$5</f>
        <v>61.745172122406146</v>
      </c>
      <c r="D19" s="891">
        <f ca="1">XLSmart!O433*1000/$C$5</f>
        <v>0</v>
      </c>
      <c r="E19" s="891">
        <f ca="1">XLSmart!P433*1000/$C$5</f>
        <v>0</v>
      </c>
      <c r="F19" s="891">
        <f ca="1">XLSmart!Q433*1000/$C$5</f>
        <v>83.561526258373206</v>
      </c>
      <c r="G19" s="891">
        <f ca="1">XLSmart!R433*1000/$C$5</f>
        <v>128.63292055553794</v>
      </c>
    </row>
    <row r="20" spans="1:7">
      <c r="C20" s="891"/>
      <c r="D20" s="891"/>
      <c r="E20" s="891"/>
      <c r="F20" s="891"/>
      <c r="G20" s="891"/>
    </row>
    <row r="21" spans="1:7">
      <c r="A21" s="146" t="s">
        <v>615</v>
      </c>
      <c r="B21" s="1261" t="s">
        <v>373</v>
      </c>
      <c r="C21" s="251">
        <f>C$8</f>
        <v>2024</v>
      </c>
      <c r="D21" s="1260">
        <f t="shared" ref="D21:G21" si="4">D$8</f>
        <v>2025</v>
      </c>
      <c r="E21" s="1260">
        <f t="shared" si="4"/>
        <v>2026</v>
      </c>
      <c r="F21" s="1260">
        <f t="shared" si="4"/>
        <v>2027</v>
      </c>
      <c r="G21" s="1260">
        <f t="shared" si="4"/>
        <v>2028</v>
      </c>
    </row>
    <row r="22" spans="1:7">
      <c r="B22" s="1257" t="s">
        <v>141</v>
      </c>
      <c r="C22" s="891">
        <f>C14</f>
        <v>13886.877000000002</v>
      </c>
      <c r="D22" s="891">
        <f t="shared" ref="D22:G22" si="5">D14</f>
        <v>12830.773995982367</v>
      </c>
      <c r="E22" s="891">
        <f t="shared" si="5"/>
        <v>13523.633464181741</v>
      </c>
      <c r="F22" s="891">
        <f t="shared" si="5"/>
        <v>15509.558937419491</v>
      </c>
      <c r="G22" s="891">
        <f t="shared" si="5"/>
        <v>18266.533368549477</v>
      </c>
    </row>
    <row r="23" spans="1:7">
      <c r="B23" s="1258" t="s">
        <v>142</v>
      </c>
      <c r="C23" s="891">
        <f>XLSmart!N421</f>
        <v>-4317.0640000000003</v>
      </c>
      <c r="D23" s="891">
        <f ca="1">XLSmart!O421</f>
        <v>-4056.0190776396976</v>
      </c>
      <c r="E23" s="891">
        <f ca="1">XLSmart!P421</f>
        <v>-4045.6738306071647</v>
      </c>
      <c r="F23" s="891">
        <f ca="1">XLSmart!Q421</f>
        <v>-3998.5180492806085</v>
      </c>
      <c r="G23" s="891">
        <f ca="1">XLSmart!R421</f>
        <v>-3585.3796478207678</v>
      </c>
    </row>
    <row r="24" spans="1:7">
      <c r="B24" s="1258" t="s">
        <v>981</v>
      </c>
      <c r="C24" s="891">
        <f>XLSmart!N423</f>
        <v>-7026.5140000000001</v>
      </c>
      <c r="D24" s="891">
        <f>XLSmart!O423</f>
        <v>-7209.3692495586492</v>
      </c>
      <c r="E24" s="891">
        <f>XLSmart!P423</f>
        <v>-7541.1836867791026</v>
      </c>
      <c r="F24" s="891">
        <f>XLSmart!Q423</f>
        <v>-7838.6136849832619</v>
      </c>
      <c r="G24" s="891">
        <f>XLSmart!R423</f>
        <v>-8133.9937837165107</v>
      </c>
    </row>
    <row r="25" spans="1:7">
      <c r="B25" s="1258" t="s">
        <v>374</v>
      </c>
      <c r="C25" s="891">
        <f>XLSmart!N417</f>
        <v>-588.20699999999988</v>
      </c>
      <c r="D25" s="891">
        <f ca="1">XLSmart!O417</f>
        <v>-436.38127334514439</v>
      </c>
      <c r="E25" s="891">
        <f ca="1">XLSmart!P417</f>
        <v>-584.54585536968909</v>
      </c>
      <c r="F25" s="891">
        <f ca="1">XLSmart!Q417</f>
        <v>-855.2289525832914</v>
      </c>
      <c r="G25" s="891">
        <f ca="1">XLSmart!R417</f>
        <v>-1316.5221225649759</v>
      </c>
    </row>
    <row r="26" spans="1:7">
      <c r="B26" s="1258" t="s">
        <v>375</v>
      </c>
      <c r="C26" s="891">
        <f>XLSmart!N416</f>
        <v>0</v>
      </c>
      <c r="D26" s="891">
        <f>XLSmart!O416</f>
        <v>0</v>
      </c>
      <c r="E26" s="891">
        <f>XLSmart!P416</f>
        <v>0</v>
      </c>
      <c r="F26" s="891">
        <f>XLSmart!Q416</f>
        <v>0</v>
      </c>
      <c r="G26" s="891">
        <f>XLSmart!R416</f>
        <v>0</v>
      </c>
    </row>
    <row r="27" spans="1:7">
      <c r="B27" s="1258" t="s">
        <v>145</v>
      </c>
      <c r="C27" s="891"/>
      <c r="D27" s="891"/>
      <c r="E27" s="891"/>
      <c r="F27" s="891"/>
      <c r="G27" s="891"/>
    </row>
    <row r="28" spans="1:7">
      <c r="B28" s="1257" t="s">
        <v>1414</v>
      </c>
      <c r="C28" s="947">
        <f>SUM(C22:C27)</f>
        <v>1955.0920000000019</v>
      </c>
      <c r="D28" s="947">
        <f ca="1">SUM(D22:D27)</f>
        <v>1129.0043954388755</v>
      </c>
      <c r="E28" s="947">
        <f ca="1">SUM(E22:E27)</f>
        <v>1352.2300914257858</v>
      </c>
      <c r="F28" s="947">
        <f ca="1">SUM(F22:F27)</f>
        <v>2817.1982505723299</v>
      </c>
      <c r="G28" s="947">
        <f ca="1">SUM(G22:G27)</f>
        <v>5230.6378144472228</v>
      </c>
    </row>
    <row r="29" spans="1:7">
      <c r="B29" s="1258" t="s">
        <v>376</v>
      </c>
      <c r="C29" s="891">
        <f>XLSmart!N425</f>
        <v>0</v>
      </c>
      <c r="D29" s="891">
        <f>XLSmart!O425</f>
        <v>0</v>
      </c>
      <c r="E29" s="891">
        <f>XLSmart!P425</f>
        <v>-742.25454545454534</v>
      </c>
      <c r="F29" s="891">
        <f>XLSmart!Q425</f>
        <v>-742.25454545454534</v>
      </c>
      <c r="G29" s="891">
        <f>XLSmart!R425</f>
        <v>-742.25454545454534</v>
      </c>
    </row>
    <row r="30" spans="1:7">
      <c r="B30" s="1258" t="s">
        <v>147</v>
      </c>
      <c r="C30" s="891">
        <f>-XLSmart!N433</f>
        <v>-1120.2655035304999</v>
      </c>
      <c r="D30" s="891">
        <f ca="1">-XLSmart!O433</f>
        <v>0</v>
      </c>
      <c r="E30" s="891">
        <f ca="1">-XLSmart!P433</f>
        <v>0</v>
      </c>
      <c r="F30" s="891">
        <f ca="1">-XLSmart!Q433</f>
        <v>-1516.0876886703804</v>
      </c>
      <c r="G30" s="891">
        <f ca="1">-XLSmart!R433</f>
        <v>-2333.8346718197304</v>
      </c>
    </row>
    <row r="31" spans="1:7">
      <c r="B31" s="1258" t="s">
        <v>148</v>
      </c>
      <c r="C31" s="891"/>
      <c r="D31" s="891"/>
      <c r="E31" s="891"/>
      <c r="F31" s="891"/>
      <c r="G31" s="891"/>
    </row>
    <row r="32" spans="1:7">
      <c r="B32" s="146" t="s">
        <v>501</v>
      </c>
      <c r="D32" s="891">
        <f ca="1">(C34-D34)-SUM(D28:D31)</f>
        <v>0</v>
      </c>
      <c r="E32" s="891">
        <f ca="1">(D34-E34)-SUM(E28:E31)</f>
        <v>1.0231815394945443E-12</v>
      </c>
      <c r="F32" s="891">
        <f ca="1">(E34-F34)-SUM(F28:F31)</f>
        <v>-2.2737367544323206E-12</v>
      </c>
      <c r="G32" s="891">
        <f ca="1">(F34-G34)-SUM(G28:G31)</f>
        <v>0</v>
      </c>
    </row>
    <row r="33" spans="1:7">
      <c r="B33" s="1257" t="s">
        <v>1415</v>
      </c>
      <c r="C33" s="947">
        <f>SUM(C28:C32)</f>
        <v>834.82649646950199</v>
      </c>
      <c r="D33" s="947">
        <f t="shared" ref="D33:G33" ca="1" si="6">SUM(D28:D32)</f>
        <v>1129.0043954388755</v>
      </c>
      <c r="E33" s="947">
        <f t="shared" ca="1" si="6"/>
        <v>609.97554597124144</v>
      </c>
      <c r="F33" s="947">
        <f t="shared" ca="1" si="6"/>
        <v>558.856016447402</v>
      </c>
      <c r="G33" s="947">
        <f t="shared" ca="1" si="6"/>
        <v>2154.5485971729472</v>
      </c>
    </row>
    <row r="34" spans="1:7">
      <c r="B34" s="1258" t="s">
        <v>1433</v>
      </c>
      <c r="C34" s="891">
        <f>XLSmart!N506</f>
        <v>17872.380999999998</v>
      </c>
      <c r="D34" s="891">
        <f ca="1">XLSmart!O506</f>
        <v>16743.376604561123</v>
      </c>
      <c r="E34" s="891">
        <f ca="1">XLSmart!P506</f>
        <v>16133.401058589881</v>
      </c>
      <c r="F34" s="891">
        <f ca="1">XLSmart!Q506</f>
        <v>15574.545042142479</v>
      </c>
      <c r="G34" s="891">
        <f ca="1">XLSmart!R506</f>
        <v>13419.996444969533</v>
      </c>
    </row>
    <row r="35" spans="1:7">
      <c r="D35" s="891"/>
      <c r="E35" s="891"/>
      <c r="F35" s="891"/>
      <c r="G35" s="891"/>
    </row>
    <row r="36" spans="1:7">
      <c r="B36" s="146" t="s">
        <v>1434</v>
      </c>
      <c r="C36" s="891">
        <f>C34</f>
        <v>17872.380999999998</v>
      </c>
      <c r="D36" s="891">
        <f t="shared" ref="D36:G36" ca="1" si="7">D34</f>
        <v>16743.376604561123</v>
      </c>
      <c r="E36" s="891">
        <f t="shared" ca="1" si="7"/>
        <v>16133.401058589881</v>
      </c>
      <c r="F36" s="891">
        <f t="shared" ca="1" si="7"/>
        <v>15574.545042142479</v>
      </c>
      <c r="G36" s="891">
        <f t="shared" ca="1" si="7"/>
        <v>13419.996444969533</v>
      </c>
    </row>
    <row r="37" spans="1:7">
      <c r="B37" s="146" t="s">
        <v>978</v>
      </c>
      <c r="C37" s="891">
        <f>XLSmart!N508</f>
        <v>44780.28</v>
      </c>
      <c r="D37" s="891">
        <f>XLSmart!O508</f>
        <v>41525.435120838105</v>
      </c>
      <c r="E37" s="891">
        <f>XLSmart!P508</f>
        <v>37783.670761251575</v>
      </c>
      <c r="F37" s="891">
        <f>XLSmart!Q508</f>
        <v>33553.17612205875</v>
      </c>
      <c r="G37" s="891">
        <f>XLSmart!R508</f>
        <v>28804.690630751589</v>
      </c>
    </row>
    <row r="38" spans="1:7">
      <c r="B38" s="146" t="s">
        <v>1442</v>
      </c>
      <c r="C38" s="891">
        <f>XLSmart!N509</f>
        <v>0</v>
      </c>
      <c r="D38" s="891">
        <f>XLSmart!O509</f>
        <v>0</v>
      </c>
      <c r="E38" s="891">
        <f>XLSmart!P509</f>
        <v>7422.545454545454</v>
      </c>
      <c r="F38" s="891">
        <f>XLSmart!Q509</f>
        <v>6680.2909090909088</v>
      </c>
      <c r="G38" s="891">
        <f>XLSmart!R509</f>
        <v>5938.0363636363636</v>
      </c>
    </row>
    <row r="39" spans="1:7">
      <c r="B39" s="148" t="s">
        <v>150</v>
      </c>
      <c r="C39" s="947">
        <f>SUM(C36:C38)</f>
        <v>62652.660999999993</v>
      </c>
      <c r="D39" s="947">
        <f t="shared" ref="D39:G39" ca="1" si="8">SUM(D36:D38)</f>
        <v>58268.811725399224</v>
      </c>
      <c r="E39" s="947">
        <f t="shared" ca="1" si="8"/>
        <v>61339.61727438691</v>
      </c>
      <c r="F39" s="947">
        <f t="shared" ca="1" si="8"/>
        <v>55808.012073292135</v>
      </c>
      <c r="G39" s="947">
        <f t="shared" ca="1" si="8"/>
        <v>48162.723439357484</v>
      </c>
    </row>
    <row r="40" spans="1:7">
      <c r="D40" s="891"/>
      <c r="E40" s="891"/>
      <c r="F40" s="891"/>
      <c r="G40" s="891"/>
    </row>
    <row r="41" spans="1:7">
      <c r="A41" s="146" t="s">
        <v>615</v>
      </c>
      <c r="B41" s="251" t="s">
        <v>1416</v>
      </c>
      <c r="C41" s="251">
        <f>C$8</f>
        <v>2024</v>
      </c>
      <c r="D41" s="1260">
        <f t="shared" ref="D41:G41" si="9">D$8</f>
        <v>2025</v>
      </c>
      <c r="E41" s="1260">
        <f t="shared" si="9"/>
        <v>2026</v>
      </c>
      <c r="F41" s="1260">
        <f t="shared" si="9"/>
        <v>2027</v>
      </c>
      <c r="G41" s="1260">
        <f t="shared" si="9"/>
        <v>2028</v>
      </c>
    </row>
    <row r="42" spans="1:7">
      <c r="B42" s="146" t="s">
        <v>1168</v>
      </c>
      <c r="C42" s="944">
        <v>2220</v>
      </c>
      <c r="D42" s="944">
        <v>2220</v>
      </c>
      <c r="E42" s="944">
        <v>2220</v>
      </c>
      <c r="F42" s="944">
        <v>2220</v>
      </c>
      <c r="G42" s="944">
        <v>2220</v>
      </c>
    </row>
    <row r="43" spans="1:7">
      <c r="B43" s="146" t="s">
        <v>1418</v>
      </c>
      <c r="C43" s="948">
        <f>$C$5/1000</f>
        <v>18.143369999999997</v>
      </c>
      <c r="D43" s="948">
        <f t="shared" ref="D43:G43" si="10">$C$5/1000</f>
        <v>18.143369999999997</v>
      </c>
      <c r="E43" s="948">
        <f t="shared" si="10"/>
        <v>18.143369999999997</v>
      </c>
      <c r="F43" s="948">
        <f t="shared" si="10"/>
        <v>18.143369999999997</v>
      </c>
      <c r="G43" s="948">
        <f t="shared" si="10"/>
        <v>18.143369999999997</v>
      </c>
    </row>
    <row r="44" spans="1:7">
      <c r="B44" s="148" t="s">
        <v>1114</v>
      </c>
      <c r="C44" s="947">
        <f>C42*C43</f>
        <v>40278.281399999993</v>
      </c>
      <c r="D44" s="947">
        <f t="shared" ref="D44:G44" si="11">D42*D43</f>
        <v>40278.281399999993</v>
      </c>
      <c r="E44" s="947">
        <f t="shared" si="11"/>
        <v>40278.281399999993</v>
      </c>
      <c r="F44" s="947">
        <f t="shared" si="11"/>
        <v>40278.281399999993</v>
      </c>
      <c r="G44" s="947">
        <f t="shared" si="11"/>
        <v>40278.281399999993</v>
      </c>
    </row>
    <row r="45" spans="1:7">
      <c r="B45" s="146" t="s">
        <v>1431</v>
      </c>
      <c r="C45" s="891">
        <f>C39</f>
        <v>62652.660999999993</v>
      </c>
      <c r="D45" s="891">
        <f t="shared" ref="D45:G45" ca="1" si="12">D39</f>
        <v>58268.811725399224</v>
      </c>
      <c r="E45" s="891">
        <f t="shared" ca="1" si="12"/>
        <v>61339.61727438691</v>
      </c>
      <c r="F45" s="891">
        <f t="shared" ca="1" si="12"/>
        <v>55808.012073292135</v>
      </c>
      <c r="G45" s="891">
        <f t="shared" ca="1" si="12"/>
        <v>48162.723439357484</v>
      </c>
    </row>
    <row r="46" spans="1:7">
      <c r="B46" s="146" t="s">
        <v>1417</v>
      </c>
      <c r="C46" s="891"/>
      <c r="D46" s="891">
        <f ca="1">D30</f>
        <v>0</v>
      </c>
      <c r="E46" s="891">
        <f ca="1">D46+E30</f>
        <v>0</v>
      </c>
      <c r="F46" s="891">
        <f ca="1">E46+F30</f>
        <v>-1516.0876886703804</v>
      </c>
      <c r="G46" s="891">
        <f ca="1">F46+G30</f>
        <v>-3849.9223604901108</v>
      </c>
    </row>
    <row r="47" spans="1:7" s="147" customFormat="1" ht="13.5" thickBot="1">
      <c r="B47" s="945" t="s">
        <v>1119</v>
      </c>
      <c r="C47" s="946">
        <f>SUM(C44:C46)</f>
        <v>102930.94239999999</v>
      </c>
      <c r="D47" s="946">
        <f t="shared" ref="D47:G47" ca="1" si="13">SUM(D44:D46)</f>
        <v>98547.093125399217</v>
      </c>
      <c r="E47" s="946">
        <f t="shared" ca="1" si="13"/>
        <v>101617.8986743869</v>
      </c>
      <c r="F47" s="946">
        <f t="shared" ca="1" si="13"/>
        <v>94570.20578462175</v>
      </c>
      <c r="G47" s="946">
        <f t="shared" ca="1" si="13"/>
        <v>84591.082478867378</v>
      </c>
    </row>
    <row r="48" spans="1:7" ht="13.5" thickTop="1"/>
    <row r="49" spans="1:7">
      <c r="A49" s="146" t="s">
        <v>615</v>
      </c>
      <c r="B49" s="251" t="s">
        <v>1429</v>
      </c>
      <c r="C49" s="251">
        <f>C$8</f>
        <v>2024</v>
      </c>
      <c r="D49" s="1260">
        <f t="shared" ref="D49:G49" si="14">D$8</f>
        <v>2025</v>
      </c>
      <c r="E49" s="1260">
        <f t="shared" si="14"/>
        <v>2026</v>
      </c>
      <c r="F49" s="1260">
        <f t="shared" si="14"/>
        <v>2027</v>
      </c>
      <c r="G49" s="1260">
        <f t="shared" si="14"/>
        <v>2028</v>
      </c>
    </row>
    <row r="50" spans="1:7">
      <c r="B50" s="146" t="s">
        <v>1419</v>
      </c>
      <c r="C50" s="1262">
        <f t="shared" ref="C50:G51" si="15">C$47/C11</f>
        <v>2.2468450572109662</v>
      </c>
      <c r="D50" s="1262">
        <f t="shared" ca="1" si="15"/>
        <v>2.0965906264174392</v>
      </c>
      <c r="E50" s="1262">
        <f t="shared" ca="1" si="15"/>
        <v>2.0667968070471665</v>
      </c>
      <c r="F50" s="1262">
        <f t="shared" ca="1" si="15"/>
        <v>1.8504704913407666</v>
      </c>
      <c r="G50" s="1262">
        <f t="shared" ca="1" si="15"/>
        <v>1.5950997156930997</v>
      </c>
    </row>
    <row r="51" spans="1:7">
      <c r="B51" s="146" t="s">
        <v>1420</v>
      </c>
      <c r="C51" s="1262">
        <f t="shared" si="15"/>
        <v>4.584534328841765</v>
      </c>
      <c r="D51" s="1262">
        <f t="shared" ca="1" si="15"/>
        <v>4.2759207552678093</v>
      </c>
      <c r="E51" s="1262">
        <f t="shared" ca="1" si="15"/>
        <v>4.2667562200640701</v>
      </c>
      <c r="F51" s="1262">
        <f t="shared" ca="1" si="15"/>
        <v>3.778895493346218</v>
      </c>
      <c r="G51" s="1262">
        <f t="shared" ca="1" si="15"/>
        <v>3.1810494174215265</v>
      </c>
    </row>
    <row r="52" spans="1:7">
      <c r="B52" s="146" t="s">
        <v>1421</v>
      </c>
      <c r="C52" s="1262">
        <f t="shared" ref="C52:G53" si="16">C$47/C14</f>
        <v>7.4121015401807018</v>
      </c>
      <c r="D52" s="1262">
        <f t="shared" ca="1" si="16"/>
        <v>7.680525988241766</v>
      </c>
      <c r="E52" s="1262">
        <f t="shared" ca="1" si="16"/>
        <v>7.5140973720952129</v>
      </c>
      <c r="F52" s="1262">
        <f t="shared" ca="1" si="16"/>
        <v>6.0975432097204765</v>
      </c>
      <c r="G52" s="1262">
        <f t="shared" ca="1" si="16"/>
        <v>4.6309324693492542</v>
      </c>
    </row>
    <row r="53" spans="1:7">
      <c r="B53" s="146" t="s">
        <v>1422</v>
      </c>
      <c r="C53" s="1262">
        <f t="shared" si="16"/>
        <v>9.5026942822829525</v>
      </c>
      <c r="D53" s="1262">
        <f t="shared" ca="1" si="16"/>
        <v>9.8468281900535466</v>
      </c>
      <c r="E53" s="1262">
        <f t="shared" ca="1" si="16"/>
        <v>9.6334581693528385</v>
      </c>
      <c r="F53" s="1262">
        <f t="shared" ca="1" si="16"/>
        <v>7.8173630893852257</v>
      </c>
      <c r="G53" s="1262">
        <f t="shared" ca="1" si="16"/>
        <v>5.9370929094221205</v>
      </c>
    </row>
    <row r="54" spans="1:7">
      <c r="B54" s="146" t="s">
        <v>1423</v>
      </c>
      <c r="C54" s="1262"/>
      <c r="D54" s="1262"/>
      <c r="E54" s="1262"/>
      <c r="F54" s="1262"/>
      <c r="G54" s="1262"/>
    </row>
    <row r="55" spans="1:7">
      <c r="B55" s="146" t="s">
        <v>1424</v>
      </c>
      <c r="C55" s="1262"/>
      <c r="D55" s="1262"/>
      <c r="E55" s="1262"/>
      <c r="F55" s="1262"/>
      <c r="G55" s="1262"/>
    </row>
    <row r="56" spans="1:7">
      <c r="B56" s="146" t="s">
        <v>1425</v>
      </c>
      <c r="C56" s="1262">
        <f>C44/C16</f>
        <v>20.601731990105797</v>
      </c>
      <c r="D56" s="1262">
        <f ca="1">D44/D16</f>
        <v>35.675929662207139</v>
      </c>
      <c r="E56" s="1262">
        <f ca="1">E44/E16</f>
        <v>66.032616661486628</v>
      </c>
      <c r="F56" s="1262">
        <f ca="1">F44/F16</f>
        <v>19.411746593729212</v>
      </c>
      <c r="G56" s="1262">
        <f ca="1">G44/G16</f>
        <v>8.9738952727714825</v>
      </c>
    </row>
    <row r="57" spans="1:7">
      <c r="B57" s="146" t="s">
        <v>1426</v>
      </c>
      <c r="C57" s="1262">
        <f>C44/C17</f>
        <v>72.881420415991911</v>
      </c>
      <c r="D57" s="1262">
        <f ca="1">D44/D17</f>
        <v>26.033520688471391</v>
      </c>
      <c r="E57" s="1262">
        <f ca="1">E44/E17</f>
        <v>19.434815598012349</v>
      </c>
      <c r="F57" s="1262">
        <f ca="1">F44/F17</f>
        <v>13.283625248393227</v>
      </c>
      <c r="G57" s="1262">
        <f ca="1">G44/G17</f>
        <v>8.6292062343461406</v>
      </c>
    </row>
    <row r="58" spans="1:7">
      <c r="B58" s="146" t="s">
        <v>1266</v>
      </c>
      <c r="C58" s="1263">
        <f>C19/C42</f>
        <v>2.7813140595678444E-2</v>
      </c>
      <c r="D58" s="1263">
        <f ca="1">D19/D42</f>
        <v>0</v>
      </c>
      <c r="E58" s="1263">
        <f ca="1">E19/E42</f>
        <v>0</v>
      </c>
      <c r="F58" s="1263">
        <f ca="1">F19/F42</f>
        <v>3.7640327143411353E-2</v>
      </c>
      <c r="G58" s="1263">
        <f ca="1">G19/G42</f>
        <v>5.7942757006999072E-2</v>
      </c>
    </row>
    <row r="59" spans="1:7">
      <c r="B59" s="146" t="s">
        <v>1427</v>
      </c>
      <c r="C59" s="1263">
        <f>1/C56</f>
        <v>4.8539608246542604E-2</v>
      </c>
      <c r="D59" s="1263">
        <f t="shared" ref="D59:G59" ca="1" si="17">1/D56</f>
        <v>2.8030103475042385E-2</v>
      </c>
      <c r="E59" s="1263">
        <f t="shared" ca="1" si="17"/>
        <v>1.5144031094912641E-2</v>
      </c>
      <c r="F59" s="1263">
        <f t="shared" ca="1" si="17"/>
        <v>5.1515199581424621E-2</v>
      </c>
      <c r="G59" s="1263">
        <f t="shared" ca="1" si="17"/>
        <v>0.11143432919639608</v>
      </c>
    </row>
    <row r="60" spans="1:7">
      <c r="B60" s="146" t="s">
        <v>1071</v>
      </c>
      <c r="C60" s="1262">
        <f>C39/C12</f>
        <v>2.7905435280245294</v>
      </c>
      <c r="D60" s="1262">
        <f t="shared" ref="D60:G60" ca="1" si="18">D39/D12</f>
        <v>2.5282614995491022</v>
      </c>
      <c r="E60" s="1262">
        <f t="shared" ca="1" si="18"/>
        <v>2.5755422711551059</v>
      </c>
      <c r="F60" s="1262">
        <f t="shared" ca="1" si="18"/>
        <v>2.2300114879380821</v>
      </c>
      <c r="G60" s="1262">
        <f t="shared" ca="1" si="18"/>
        <v>1.8111602174670929</v>
      </c>
    </row>
    <row r="61" spans="1:7">
      <c r="B61" s="146" t="s">
        <v>1428</v>
      </c>
      <c r="C61" s="1262">
        <f>-C14/C23</f>
        <v>3.2167410536420125</v>
      </c>
      <c r="D61" s="1262">
        <f ca="1">-D14/D23</f>
        <v>3.1633909383505481</v>
      </c>
      <c r="E61" s="1262">
        <f ca="1">-E14/E23</f>
        <v>3.3427394373392052</v>
      </c>
      <c r="F61" s="1262">
        <f ca="1">-F14/F23</f>
        <v>3.8788267918935335</v>
      </c>
      <c r="G61" s="1262">
        <f ca="1">-G14/G23</f>
        <v>5.0947278009044519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1AEC4-557B-4C57-AF23-0D9DB1F684BA}">
  <sheetPr codeName="Sheet26"/>
  <dimension ref="B2:C11"/>
  <sheetViews>
    <sheetView workbookViewId="0">
      <selection activeCell="H17" sqref="H17"/>
    </sheetView>
  </sheetViews>
  <sheetFormatPr defaultRowHeight="14.5"/>
  <cols>
    <col min="2" max="2" width="18" bestFit="1" customWidth="1"/>
  </cols>
  <sheetData>
    <row r="2" spans="2:3">
      <c r="B2" t="s">
        <v>782</v>
      </c>
    </row>
    <row r="4" spans="2:3">
      <c r="B4" t="s">
        <v>783</v>
      </c>
      <c r="C4">
        <f>'Income Statement'!BZ225</f>
        <v>31765.998</v>
      </c>
    </row>
    <row r="5" spans="2:3">
      <c r="B5" t="s">
        <v>784</v>
      </c>
    </row>
    <row r="7" spans="2:3">
      <c r="B7" t="s">
        <v>785</v>
      </c>
      <c r="C7">
        <v>211.73599999999999</v>
      </c>
    </row>
    <row r="8" spans="2:3">
      <c r="B8" t="s">
        <v>786</v>
      </c>
      <c r="C8">
        <v>360.50200000000001</v>
      </c>
    </row>
    <row r="10" spans="2:3">
      <c r="B10" t="s">
        <v>787</v>
      </c>
      <c r="C10">
        <f>C4-C7+F8</f>
        <v>31554.261999999999</v>
      </c>
    </row>
    <row r="11" spans="2:3">
      <c r="C11" s="65">
        <f>C8/C10</f>
        <v>1.1424827492400235E-2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1134-7B87-4AB5-AE1D-84640F3AC75E}">
  <sheetPr codeName="Sheet27"/>
  <dimension ref="B3:O5"/>
  <sheetViews>
    <sheetView workbookViewId="0">
      <selection activeCell="G3" sqref="G3"/>
    </sheetView>
  </sheetViews>
  <sheetFormatPr defaultColWidth="8.81640625" defaultRowHeight="14.5"/>
  <cols>
    <col min="1" max="1" width="8.81640625" style="319"/>
    <col min="2" max="2" width="14.6328125" style="319" bestFit="1" customWidth="1"/>
    <col min="3" max="3" width="14.81640625" style="319" bestFit="1" customWidth="1"/>
    <col min="4" max="4" width="13.08984375" style="322" bestFit="1" customWidth="1"/>
    <col min="5" max="5" width="12.08984375" style="319" bestFit="1" customWidth="1"/>
    <col min="6" max="6" width="14.81640625" style="319" bestFit="1" customWidth="1"/>
    <col min="7" max="7" width="13.1796875" style="319" bestFit="1" customWidth="1"/>
    <col min="8" max="16384" width="8.81640625" style="319"/>
  </cols>
  <sheetData>
    <row r="3" spans="2:15">
      <c r="B3" s="323" t="s">
        <v>697</v>
      </c>
      <c r="C3" s="323" t="s">
        <v>698</v>
      </c>
      <c r="D3" s="324" t="s">
        <v>699</v>
      </c>
      <c r="E3" s="323" t="s">
        <v>700</v>
      </c>
      <c r="F3" s="323" t="s">
        <v>705</v>
      </c>
      <c r="G3" s="323" t="s">
        <v>701</v>
      </c>
      <c r="H3" s="323" t="s">
        <v>694</v>
      </c>
      <c r="I3" s="321"/>
      <c r="J3" s="321"/>
      <c r="K3" s="321"/>
      <c r="L3" s="321"/>
      <c r="M3" s="321"/>
      <c r="N3" s="321"/>
      <c r="O3" s="321"/>
    </row>
    <row r="4" spans="2:15">
      <c r="B4" s="320">
        <v>44901</v>
      </c>
      <c r="C4" s="320">
        <v>44914</v>
      </c>
      <c r="D4" s="322">
        <v>2403755889</v>
      </c>
      <c r="E4" s="319">
        <v>2080</v>
      </c>
      <c r="F4" s="322">
        <f>D4*E4/10^9</f>
        <v>4999.8122491200002</v>
      </c>
      <c r="G4" s="319" t="s">
        <v>702</v>
      </c>
      <c r="H4" s="319" t="s">
        <v>704</v>
      </c>
    </row>
    <row r="5" spans="2:15">
      <c r="H5" s="319" t="s">
        <v>703</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94CF8-AEF7-4EEC-A68C-EA68F9FACB89}">
  <sheetPr codeName="Sheet8"/>
  <dimension ref="A2:W301"/>
  <sheetViews>
    <sheetView zoomScale="85" zoomScaleNormal="85" workbookViewId="0">
      <pane xSplit="2" ySplit="2" topLeftCell="C15" activePane="bottomRight" state="frozen"/>
      <selection pane="topRight" activeCell="C1" sqref="C1"/>
      <selection pane="bottomLeft" activeCell="A3" sqref="A3"/>
      <selection pane="bottomRight" activeCell="Q52" sqref="Q52"/>
    </sheetView>
  </sheetViews>
  <sheetFormatPr defaultColWidth="8.81640625" defaultRowHeight="14.5" outlineLevelCol="3"/>
  <cols>
    <col min="1" max="1" width="4.1796875" style="146" customWidth="1"/>
    <col min="2" max="2" width="28.08984375" style="146" bestFit="1" customWidth="1"/>
    <col min="3" max="3" width="8.81640625" style="146" customWidth="1" outlineLevel="3"/>
    <col min="4" max="5" width="8.81640625" style="146" customWidth="1"/>
    <col min="6" max="7" width="8.81640625" style="146"/>
    <col min="8" max="8" width="10" style="146" bestFit="1" customWidth="1"/>
    <col min="9" max="10" width="8.81640625" style="146"/>
    <col min="11" max="11" width="8.81640625" style="146" customWidth="1"/>
    <col min="12" max="13" width="8.81640625" style="146"/>
    <col min="14" max="14" width="8.81640625" style="162"/>
    <col min="15" max="19" width="8.81640625" style="146"/>
    <col min="20" max="21" width="12.81640625" style="146" bestFit="1" customWidth="1"/>
    <col min="22" max="22" width="8.81640625" style="146"/>
    <col min="23" max="23" width="8.81640625" style="209"/>
    <col min="24" max="16384" width="8.81640625" style="146"/>
  </cols>
  <sheetData>
    <row r="2" spans="1:23">
      <c r="B2" s="310" t="s">
        <v>591</v>
      </c>
      <c r="C2" s="311">
        <v>2010</v>
      </c>
      <c r="D2" s="311">
        <f>C2+1</f>
        <v>2011</v>
      </c>
      <c r="E2" s="311">
        <f t="shared" ref="E2:R2" si="0">D2+1</f>
        <v>2012</v>
      </c>
      <c r="F2" s="311">
        <f t="shared" si="0"/>
        <v>2013</v>
      </c>
      <c r="G2" s="311">
        <f t="shared" si="0"/>
        <v>2014</v>
      </c>
      <c r="H2" s="311">
        <f t="shared" si="0"/>
        <v>2015</v>
      </c>
      <c r="I2" s="311">
        <f t="shared" si="0"/>
        <v>2016</v>
      </c>
      <c r="J2" s="311">
        <f t="shared" si="0"/>
        <v>2017</v>
      </c>
      <c r="K2" s="311">
        <f t="shared" si="0"/>
        <v>2018</v>
      </c>
      <c r="L2" s="311">
        <f t="shared" si="0"/>
        <v>2019</v>
      </c>
      <c r="M2" s="311">
        <f t="shared" si="0"/>
        <v>2020</v>
      </c>
      <c r="N2" s="312">
        <f t="shared" si="0"/>
        <v>2021</v>
      </c>
      <c r="O2" s="313">
        <f t="shared" si="0"/>
        <v>2022</v>
      </c>
      <c r="P2" s="313">
        <f t="shared" si="0"/>
        <v>2023</v>
      </c>
      <c r="Q2" s="313">
        <f t="shared" si="0"/>
        <v>2024</v>
      </c>
      <c r="R2" s="313">
        <f t="shared" si="0"/>
        <v>2025</v>
      </c>
      <c r="T2" s="147" t="s">
        <v>598</v>
      </c>
      <c r="U2" s="147" t="s">
        <v>599</v>
      </c>
      <c r="W2" s="209" t="s">
        <v>600</v>
      </c>
    </row>
    <row r="3" spans="1:23">
      <c r="C3" s="178"/>
      <c r="D3" s="178"/>
      <c r="E3" s="178"/>
      <c r="F3" s="178"/>
      <c r="G3" s="178"/>
      <c r="H3" s="178"/>
      <c r="I3" s="178"/>
      <c r="J3" s="178"/>
      <c r="K3" s="178"/>
      <c r="L3" s="178"/>
      <c r="M3" s="178"/>
      <c r="N3" s="179"/>
      <c r="O3" s="180"/>
      <c r="P3" s="180"/>
      <c r="Q3" s="180"/>
      <c r="R3" s="180"/>
      <c r="T3" s="147"/>
      <c r="U3" s="147"/>
    </row>
    <row r="4" spans="1:23" s="308" customFormat="1">
      <c r="A4" s="146" t="s">
        <v>615</v>
      </c>
      <c r="B4" s="305" t="s">
        <v>613</v>
      </c>
      <c r="C4" s="305"/>
      <c r="D4" s="305"/>
      <c r="E4" s="305"/>
      <c r="F4" s="305"/>
      <c r="G4" s="305"/>
      <c r="H4" s="305"/>
      <c r="I4" s="305"/>
      <c r="J4" s="305"/>
      <c r="K4" s="305"/>
      <c r="L4" s="305"/>
      <c r="M4" s="305"/>
      <c r="N4" s="306"/>
      <c r="O4" s="307"/>
      <c r="P4" s="307"/>
      <c r="Q4" s="307"/>
      <c r="R4" s="307"/>
      <c r="T4" s="305"/>
      <c r="U4" s="305"/>
      <c r="W4" s="309"/>
    </row>
    <row r="5" spans="1:23">
      <c r="C5" s="178"/>
      <c r="D5" s="178"/>
      <c r="E5" s="178"/>
      <c r="F5" s="178"/>
      <c r="G5" s="178"/>
      <c r="H5" s="178"/>
      <c r="I5" s="178"/>
      <c r="J5" s="178"/>
      <c r="K5" s="178"/>
      <c r="L5" s="178"/>
      <c r="M5" s="178"/>
      <c r="N5" s="179"/>
      <c r="O5" s="180"/>
      <c r="P5" s="180"/>
      <c r="Q5" s="180"/>
      <c r="R5" s="180"/>
      <c r="T5" s="147"/>
      <c r="U5" s="147"/>
    </row>
    <row r="6" spans="1:23" s="181" customFormat="1">
      <c r="B6" s="194" t="s">
        <v>602</v>
      </c>
      <c r="C6" s="194"/>
      <c r="D6" s="182"/>
      <c r="E6" s="182"/>
      <c r="F6" s="182"/>
      <c r="G6" s="182"/>
      <c r="H6" s="182"/>
      <c r="I6" s="182"/>
      <c r="J6" s="182"/>
      <c r="K6" s="182"/>
      <c r="L6" s="182"/>
      <c r="M6" s="182"/>
      <c r="N6" s="183"/>
      <c r="O6" s="184"/>
      <c r="P6" s="184"/>
      <c r="Q6" s="184"/>
      <c r="R6" s="184"/>
      <c r="T6" s="182"/>
      <c r="U6" s="182"/>
      <c r="W6" s="209"/>
    </row>
    <row r="7" spans="1:23" s="181" customFormat="1">
      <c r="B7" s="181" t="s">
        <v>405</v>
      </c>
      <c r="C7" s="196">
        <v>7.8E-2</v>
      </c>
      <c r="D7" s="182"/>
      <c r="E7" s="182"/>
      <c r="F7" s="182"/>
      <c r="G7" s="182"/>
      <c r="H7" s="182"/>
      <c r="I7" s="182"/>
      <c r="J7" s="182"/>
      <c r="K7" s="182"/>
      <c r="L7" s="182"/>
      <c r="M7" s="182"/>
      <c r="N7" s="183"/>
      <c r="O7" s="184"/>
      <c r="P7" s="184"/>
      <c r="Q7" s="184"/>
      <c r="R7" s="184"/>
      <c r="T7" s="182"/>
      <c r="U7" s="182"/>
      <c r="W7" s="209"/>
    </row>
    <row r="8" spans="1:23" s="181" customFormat="1">
      <c r="B8" s="181" t="s">
        <v>604</v>
      </c>
      <c r="C8" s="196">
        <v>6.1199999999999997E-2</v>
      </c>
      <c r="N8" s="185"/>
      <c r="O8" s="186"/>
      <c r="P8" s="186"/>
      <c r="Q8" s="186"/>
      <c r="R8" s="186"/>
      <c r="W8" s="209" t="s">
        <v>611</v>
      </c>
    </row>
    <row r="9" spans="1:23" s="181" customFormat="1">
      <c r="B9" s="195" t="s">
        <v>605</v>
      </c>
      <c r="C9" s="199">
        <f>C7+C8</f>
        <v>0.13919999999999999</v>
      </c>
      <c r="N9" s="185"/>
      <c r="O9" s="186"/>
      <c r="P9" s="186"/>
      <c r="Q9" s="186"/>
      <c r="R9" s="186"/>
      <c r="W9" s="209"/>
    </row>
    <row r="10" spans="1:23" s="181" customFormat="1">
      <c r="B10" s="182"/>
      <c r="C10" s="198"/>
      <c r="N10" s="185"/>
      <c r="O10" s="186"/>
      <c r="P10" s="186"/>
      <c r="Q10" s="186"/>
      <c r="R10" s="186"/>
      <c r="W10" s="209"/>
    </row>
    <row r="11" spans="1:23" s="181" customFormat="1">
      <c r="A11" s="182"/>
      <c r="B11" s="182" t="s">
        <v>606</v>
      </c>
      <c r="C11" s="197">
        <v>0.05</v>
      </c>
      <c r="N11" s="185"/>
      <c r="O11" s="186"/>
      <c r="P11" s="186"/>
      <c r="Q11" s="186"/>
      <c r="R11" s="186"/>
      <c r="W11" s="209"/>
    </row>
    <row r="12" spans="1:23" s="181" customFormat="1">
      <c r="B12" s="181" t="s">
        <v>406</v>
      </c>
      <c r="C12" s="197">
        <v>0.25</v>
      </c>
      <c r="N12" s="185"/>
      <c r="O12" s="186"/>
      <c r="P12" s="186"/>
      <c r="Q12" s="186"/>
      <c r="R12" s="186"/>
      <c r="W12" s="209"/>
    </row>
    <row r="13" spans="1:23" s="182" customFormat="1">
      <c r="B13" s="195" t="s">
        <v>607</v>
      </c>
      <c r="C13" s="199">
        <f>C11*(1-C12)</f>
        <v>3.7500000000000006E-2</v>
      </c>
      <c r="N13" s="183"/>
      <c r="O13" s="184"/>
      <c r="P13" s="184"/>
      <c r="Q13" s="184"/>
      <c r="R13" s="184"/>
      <c r="W13" s="209"/>
    </row>
    <row r="14" spans="1:23" s="182" customFormat="1">
      <c r="C14" s="200"/>
      <c r="N14" s="183"/>
      <c r="O14" s="184"/>
      <c r="P14" s="184"/>
      <c r="Q14" s="184"/>
      <c r="R14" s="184"/>
      <c r="W14" s="209"/>
    </row>
    <row r="15" spans="1:23" s="182" customFormat="1">
      <c r="B15" s="181" t="s">
        <v>410</v>
      </c>
      <c r="C15" s="197">
        <v>0.3</v>
      </c>
      <c r="N15" s="183"/>
      <c r="O15" s="184"/>
      <c r="P15" s="184"/>
      <c r="Q15" s="184"/>
      <c r="R15" s="184"/>
      <c r="W15" s="209"/>
    </row>
    <row r="16" spans="1:23" s="182" customFormat="1">
      <c r="B16" s="181" t="s">
        <v>610</v>
      </c>
      <c r="C16" s="201">
        <f>1/(1+C15)</f>
        <v>0.76923076923076916</v>
      </c>
      <c r="N16" s="183"/>
      <c r="O16" s="184"/>
      <c r="P16" s="184"/>
      <c r="Q16" s="184"/>
      <c r="R16" s="184"/>
      <c r="W16" s="209"/>
    </row>
    <row r="17" spans="1:23" s="182" customFormat="1">
      <c r="C17" s="200"/>
      <c r="N17" s="183"/>
      <c r="O17" s="184"/>
      <c r="P17" s="184"/>
      <c r="Q17" s="184"/>
      <c r="R17" s="184"/>
      <c r="W17" s="209"/>
    </row>
    <row r="18" spans="1:23" s="182" customFormat="1">
      <c r="B18" s="195" t="s">
        <v>251</v>
      </c>
      <c r="C18" s="202">
        <f>($C$9*C16)+($C$13*(1-C16))</f>
        <v>0.11573076923076922</v>
      </c>
      <c r="N18" s="183"/>
      <c r="O18" s="184"/>
      <c r="P18" s="184"/>
      <c r="Q18" s="184"/>
      <c r="R18" s="184"/>
      <c r="W18" s="209"/>
    </row>
    <row r="19" spans="1:23" s="182" customFormat="1">
      <c r="C19" s="187"/>
      <c r="N19" s="183"/>
      <c r="O19" s="184"/>
      <c r="P19" s="184"/>
      <c r="Q19" s="184"/>
      <c r="R19" s="184"/>
      <c r="W19" s="209"/>
    </row>
    <row r="20" spans="1:23" s="308" customFormat="1">
      <c r="A20" s="181" t="s">
        <v>615</v>
      </c>
      <c r="B20" s="305" t="s">
        <v>614</v>
      </c>
      <c r="C20" s="305"/>
      <c r="D20" s="305"/>
      <c r="E20" s="305"/>
      <c r="F20" s="305"/>
      <c r="G20" s="305"/>
      <c r="H20" s="305"/>
      <c r="I20" s="305"/>
      <c r="J20" s="305"/>
      <c r="K20" s="305"/>
      <c r="L20" s="305"/>
      <c r="M20" s="305"/>
      <c r="N20" s="306"/>
      <c r="O20" s="307"/>
      <c r="P20" s="307"/>
      <c r="Q20" s="307"/>
      <c r="R20" s="307"/>
      <c r="T20" s="305"/>
      <c r="U20" s="305"/>
      <c r="W20" s="309"/>
    </row>
    <row r="21" spans="1:23">
      <c r="A21" s="181"/>
      <c r="B21" s="178"/>
      <c r="C21" s="178"/>
      <c r="D21" s="178"/>
      <c r="E21" s="178"/>
      <c r="F21" s="178"/>
      <c r="G21" s="178"/>
      <c r="H21" s="178"/>
      <c r="I21" s="178"/>
      <c r="J21" s="178"/>
      <c r="K21" s="178"/>
      <c r="L21" s="178"/>
      <c r="M21" s="178"/>
      <c r="N21" s="179"/>
      <c r="O21" s="180"/>
      <c r="P21" s="180"/>
      <c r="Q21" s="180"/>
      <c r="R21" s="180"/>
      <c r="T21" s="147"/>
      <c r="U21" s="147"/>
    </row>
    <row r="22" spans="1:23">
      <c r="B22" s="147" t="s">
        <v>2</v>
      </c>
    </row>
    <row r="23" spans="1:23" s="154" customFormat="1">
      <c r="A23" s="146"/>
      <c r="B23" s="146" t="s">
        <v>523</v>
      </c>
      <c r="C23" s="154">
        <f>[22]Anna!O$19</f>
        <v>37103</v>
      </c>
      <c r="D23" s="154">
        <f>[22]Anna!P$19</f>
        <v>36559</v>
      </c>
      <c r="E23" s="154">
        <f>[22]Anna!Q$19</f>
        <v>39757</v>
      </c>
      <c r="F23" s="154">
        <f>[22]Anna!R$19</f>
        <v>41776</v>
      </c>
      <c r="G23" s="154">
        <f>[22]Anna!S$19</f>
        <v>45844</v>
      </c>
      <c r="H23" s="154">
        <f>[22]Anna!T$19</f>
        <v>51415</v>
      </c>
      <c r="I23" s="154">
        <f>[22]Anna!U$19</f>
        <v>59498</v>
      </c>
      <c r="J23" s="154">
        <f>[22]Anna!V$19</f>
        <v>64609</v>
      </c>
      <c r="K23" s="154">
        <f>[22]Anna!W$19</f>
        <v>59181</v>
      </c>
      <c r="L23" s="154">
        <f>[22]Anna!X$19</f>
        <v>64832</v>
      </c>
      <c r="M23" s="154">
        <f>[22]Anna!Y$19</f>
        <v>72080</v>
      </c>
      <c r="N23" s="163">
        <f>[22]Anna!Z$19</f>
        <v>76606</v>
      </c>
      <c r="O23" s="154">
        <f>[22]Anna!AA$19</f>
        <v>86602.569258468051</v>
      </c>
      <c r="P23" s="154">
        <f>[22]Anna!AB$19</f>
        <v>94400.216117812772</v>
      </c>
      <c r="Q23" s="154">
        <f>[22]Anna!AC$19</f>
        <v>102473.4000208573</v>
      </c>
      <c r="R23" s="154">
        <f>[22]Anna!AD$19</f>
        <v>111019.40708786644</v>
      </c>
      <c r="T23" s="171">
        <f>(N23/H23)^(1/(N$2-H$2))-1</f>
        <v>6.8715621780723657E-2</v>
      </c>
      <c r="U23" s="171">
        <f>(R23/N23)^(1/(R$2-N$2))-1</f>
        <v>9.7195529378097056E-2</v>
      </c>
      <c r="W23" s="210" t="s">
        <v>601</v>
      </c>
    </row>
    <row r="24" spans="1:23" s="154" customFormat="1">
      <c r="A24" s="146"/>
      <c r="B24" s="146" t="s">
        <v>511</v>
      </c>
      <c r="C24" s="154">
        <f>[23]Anna!O$19</f>
        <v>9625.8999999999978</v>
      </c>
      <c r="D24" s="154">
        <f>[23]Anna!P$19</f>
        <v>9409.6</v>
      </c>
      <c r="E24" s="154">
        <f>[23]Anna!Q$19</f>
        <v>10574</v>
      </c>
      <c r="F24" s="154">
        <f>[23]Anna!R$19</f>
        <v>10376</v>
      </c>
      <c r="G24" s="154">
        <f>[23]Anna!S$19</f>
        <v>10059</v>
      </c>
      <c r="H24" s="154">
        <f>[23]Anna!T$19</f>
        <v>11472.999999999998</v>
      </c>
      <c r="I24" s="154">
        <f>[23]Anna!U$19</f>
        <v>12864</v>
      </c>
      <c r="J24" s="154">
        <f>[23]Anna!V$19</f>
        <v>12769</v>
      </c>
      <c r="K24" s="154">
        <f>[23]Anna!W$19</f>
        <v>13135.297000000002</v>
      </c>
      <c r="L24" s="154">
        <f>[23]Anna!X$19</f>
        <v>9856.0280000000002</v>
      </c>
      <c r="M24" s="154">
        <f>[23]Anna!Y$19</f>
        <v>11433.196</v>
      </c>
      <c r="N24" s="163">
        <f>[23]Anna!Z$19</f>
        <v>13885.536999999998</v>
      </c>
      <c r="O24" s="154">
        <f>[23]Anna!AA$19</f>
        <v>20420.634888199093</v>
      </c>
      <c r="P24" s="154">
        <f>[23]Anna!AB$19</f>
        <v>23066.981822073638</v>
      </c>
      <c r="Q24" s="154">
        <f>[23]Anna!AC$19</f>
        <v>26355.222447583168</v>
      </c>
      <c r="R24" s="154">
        <f>[23]Anna!AD$19</f>
        <v>30056.227036277785</v>
      </c>
      <c r="T24" s="171">
        <f t="shared" ref="T24:T25" si="1">(N24/H24)^(1/(N$2-H$2))-1</f>
        <v>3.231985666838999E-2</v>
      </c>
      <c r="U24" s="171">
        <f t="shared" ref="U24:U25" si="2">(R24/N24)^(1/(R$2-N$2))-1</f>
        <v>0.21295013075332503</v>
      </c>
      <c r="W24" s="210"/>
    </row>
    <row r="25" spans="1:23" s="154" customFormat="1">
      <c r="A25" s="146"/>
      <c r="B25" s="146" t="s">
        <v>524</v>
      </c>
      <c r="C25" s="154">
        <f>Anna!O19</f>
        <v>9287</v>
      </c>
      <c r="D25" s="154">
        <f>Anna!P19</f>
        <v>9348</v>
      </c>
      <c r="E25" s="154">
        <f>Anna!Q19</f>
        <v>9745</v>
      </c>
      <c r="F25" s="154">
        <f>Anna!R19</f>
        <v>8659</v>
      </c>
      <c r="G25" s="154">
        <f>Anna!S19</f>
        <v>8623</v>
      </c>
      <c r="H25" s="154">
        <f>Anna!T19</f>
        <v>8393</v>
      </c>
      <c r="I25" s="154">
        <f>Anna!U19</f>
        <v>8057</v>
      </c>
      <c r="J25" s="154">
        <f>Anna!V19</f>
        <v>8321</v>
      </c>
      <c r="K25" s="154">
        <f>Anna!W19</f>
        <v>8513</v>
      </c>
      <c r="L25" s="154">
        <f>Anna!X19</f>
        <v>9966</v>
      </c>
      <c r="M25" s="154">
        <f>Anna!Y19</f>
        <v>13060</v>
      </c>
      <c r="N25" s="163">
        <f>Anna!Z19</f>
        <v>13287</v>
      </c>
      <c r="O25" s="154">
        <f>Anna!AA19</f>
        <v>14235</v>
      </c>
      <c r="P25" s="154">
        <f>Anna!AB19</f>
        <v>15885</v>
      </c>
      <c r="Q25" s="154">
        <f>Anna!AC19</f>
        <v>17879</v>
      </c>
      <c r="R25" s="154">
        <f>Anna!AD19</f>
        <v>18547.777952688124</v>
      </c>
      <c r="T25" s="171">
        <f t="shared" si="1"/>
        <v>7.9572016327854822E-2</v>
      </c>
      <c r="U25" s="171">
        <f t="shared" si="2"/>
        <v>8.6966697220443923E-2</v>
      </c>
      <c r="W25" s="210"/>
    </row>
    <row r="26" spans="1:23" s="154" customFormat="1">
      <c r="A26" s="146"/>
      <c r="B26" s="146"/>
      <c r="N26" s="163"/>
      <c r="O26" s="156"/>
      <c r="W26" s="210"/>
    </row>
    <row r="27" spans="1:23" s="154" customFormat="1">
      <c r="A27" s="146"/>
      <c r="B27" s="147" t="s">
        <v>581</v>
      </c>
      <c r="N27" s="163"/>
      <c r="W27" s="210"/>
    </row>
    <row r="28" spans="1:23" s="154" customFormat="1">
      <c r="A28" s="146"/>
      <c r="B28" s="146" t="s">
        <v>523</v>
      </c>
      <c r="C28" s="154">
        <f>[22]Anna!O$20</f>
        <v>14611</v>
      </c>
      <c r="D28" s="154">
        <f>[22]Anna!P$20</f>
        <v>14863</v>
      </c>
      <c r="E28" s="154">
        <f>[22]Anna!Q$20</f>
        <v>14456</v>
      </c>
      <c r="F28" s="154">
        <f>[22]Anna!R$20</f>
        <v>15780</v>
      </c>
      <c r="G28" s="154">
        <f>[22]Anna!S$20</f>
        <v>17131</v>
      </c>
      <c r="H28" s="154">
        <f>[22]Anna!T$20</f>
        <v>18534</v>
      </c>
      <c r="I28" s="154">
        <f>[22]Anna!U$20</f>
        <v>18532</v>
      </c>
      <c r="J28" s="154">
        <f>[22]Anna!V$20</f>
        <v>14681</v>
      </c>
      <c r="K28" s="154">
        <f>[22]Anna!W$20</f>
        <v>5533</v>
      </c>
      <c r="L28" s="154">
        <f>[22]Anna!X$20</f>
        <v>23178</v>
      </c>
      <c r="M28" s="154">
        <f>[22]Anna!Y$20</f>
        <v>28892</v>
      </c>
      <c r="N28" s="163">
        <f>[22]Anna!Z$20</f>
        <v>31816</v>
      </c>
      <c r="O28" s="154">
        <f>[22]Anna!AA$20</f>
        <v>33883.383081361797</v>
      </c>
      <c r="P28" s="154">
        <f>[22]Anna!AB$20</f>
        <v>36045.828724820502</v>
      </c>
      <c r="Q28" s="154">
        <f>[22]Anna!AC$20</f>
        <v>38431.141027124482</v>
      </c>
      <c r="R28" s="154">
        <f>[22]Anna!AD$20</f>
        <v>41037.675289007035</v>
      </c>
      <c r="T28" s="171">
        <f>(N28/H28)^(1/(N$2-H$2))-1</f>
        <v>9.4240378339927933E-2</v>
      </c>
      <c r="U28" s="171">
        <f>(R28/N28)^(1/(R$2-N$2))-1</f>
        <v>6.5698349596697847E-2</v>
      </c>
      <c r="W28" s="210"/>
    </row>
    <row r="29" spans="1:23" s="154" customFormat="1">
      <c r="A29" s="146"/>
      <c r="B29" s="146" t="s">
        <v>511</v>
      </c>
      <c r="C29" s="154">
        <f>[23]Anna!O$20</f>
        <v>6151.9</v>
      </c>
      <c r="D29" s="154">
        <f>[23]Anna!P$20</f>
        <v>6580</v>
      </c>
      <c r="E29" s="154">
        <f>[23]Anna!Q$20</f>
        <v>7106</v>
      </c>
      <c r="F29" s="154">
        <f>[23]Anna!R$20</f>
        <v>8958</v>
      </c>
      <c r="G29" s="154">
        <f>[23]Anna!S$20</f>
        <v>8226</v>
      </c>
      <c r="H29" s="154">
        <f>[23]Anna!T$20</f>
        <v>8769</v>
      </c>
      <c r="I29" s="154">
        <f>[23]Anna!U$20</f>
        <v>8973</v>
      </c>
      <c r="J29" s="154">
        <f>[23]Anna!V$20</f>
        <v>8853</v>
      </c>
      <c r="K29" s="154">
        <f>[23]Anna!W$20</f>
        <v>8249</v>
      </c>
      <c r="L29" s="154">
        <f>[23]Anna!X$20</f>
        <v>9569.9</v>
      </c>
      <c r="M29" s="154">
        <f>[23]Anna!Y$20</f>
        <v>10011.415000000001</v>
      </c>
      <c r="N29" s="163">
        <f>[23]Anna!Z$20</f>
        <v>10204</v>
      </c>
      <c r="O29" s="154">
        <f>[23]Anna!AA$20</f>
        <v>12428.605932210001</v>
      </c>
      <c r="P29" s="154">
        <f>[23]Anna!AB$20</f>
        <v>12790.0576879893</v>
      </c>
      <c r="Q29" s="154">
        <f>[23]Anna!AC$20</f>
        <v>13172.393523142538</v>
      </c>
      <c r="R29" s="154">
        <f>[23]Anna!AD$20</f>
        <v>13566.172115440648</v>
      </c>
      <c r="T29" s="171">
        <f t="shared" ref="T29:T30" si="3">(N29/H29)^(1/(N$2-H$2))-1</f>
        <v>2.5581228679382173E-2</v>
      </c>
      <c r="U29" s="171">
        <f t="shared" ref="U29:U30" si="4">(R29/N29)^(1/(R$2-N$2))-1</f>
        <v>7.3795842631293018E-2</v>
      </c>
      <c r="W29" s="210"/>
    </row>
    <row r="30" spans="1:23" s="154" customFormat="1">
      <c r="A30" s="146"/>
      <c r="B30" s="146" t="s">
        <v>524</v>
      </c>
      <c r="C30" s="154">
        <f>SUM(Anna!O20:O21)</f>
        <v>4122</v>
      </c>
      <c r="D30" s="154">
        <f>SUM(Anna!P20:P21)</f>
        <v>4683</v>
      </c>
      <c r="E30" s="154">
        <f>SUM(Anna!Q20:Q21)</f>
        <v>5066</v>
      </c>
      <c r="F30" s="154">
        <f>SUM(Anna!R20:R21)</f>
        <v>5759</v>
      </c>
      <c r="G30" s="154">
        <f>SUM(Anna!S20:S21)</f>
        <v>6958</v>
      </c>
      <c r="H30" s="154">
        <f>SUM(Anna!T20:T21)</f>
        <v>7135</v>
      </c>
      <c r="I30" s="154">
        <f>SUM(Anna!U20:U21)</f>
        <v>8046</v>
      </c>
      <c r="J30" s="154">
        <f>SUM(Anna!V20:V21)</f>
        <v>7332.7</v>
      </c>
      <c r="K30" s="154">
        <f>SUM(Anna!W20:W21)</f>
        <v>12002.697400000001</v>
      </c>
      <c r="L30" s="154">
        <f>SUM(Anna!X20:X21)</f>
        <v>7364.6974</v>
      </c>
      <c r="M30" s="154">
        <f>SUM(Anna!Y20:Y21)</f>
        <v>12457.230450000001</v>
      </c>
      <c r="N30" s="163">
        <f>SUM(Anna!Z20:Z21)</f>
        <v>10338.77765</v>
      </c>
      <c r="O30" s="154">
        <f>SUM(Anna!AA20:AA21)</f>
        <v>10961.9792</v>
      </c>
      <c r="P30" s="154">
        <f>SUM(Anna!AB20:AB21)</f>
        <v>11705.17835</v>
      </c>
      <c r="Q30" s="154">
        <f>SUM(Anna!AC20:AC21)</f>
        <v>12541.51211</v>
      </c>
      <c r="R30" s="154">
        <f>SUM(Anna!AD20:AD21)</f>
        <v>11637.646720599998</v>
      </c>
      <c r="T30" s="171">
        <f t="shared" si="3"/>
        <v>6.3765422725137411E-2</v>
      </c>
      <c r="U30" s="171">
        <f t="shared" si="4"/>
        <v>3.0027912014194191E-2</v>
      </c>
      <c r="W30" s="210"/>
    </row>
    <row r="31" spans="1:23" s="154" customFormat="1">
      <c r="A31" s="146"/>
      <c r="B31" s="146"/>
      <c r="N31" s="163"/>
      <c r="W31" s="210"/>
    </row>
    <row r="32" spans="1:23" s="154" customFormat="1">
      <c r="A32" s="146"/>
      <c r="B32" s="147" t="s">
        <v>77</v>
      </c>
      <c r="N32" s="163"/>
      <c r="W32" s="210"/>
    </row>
    <row r="33" spans="1:23" s="154" customFormat="1">
      <c r="A33" s="146"/>
      <c r="B33" s="146" t="s">
        <v>523</v>
      </c>
      <c r="C33" s="154">
        <f t="shared" ref="C33:R33" si="5">C23-C28</f>
        <v>22492</v>
      </c>
      <c r="D33" s="154">
        <f t="shared" si="5"/>
        <v>21696</v>
      </c>
      <c r="E33" s="154">
        <f t="shared" si="5"/>
        <v>25301</v>
      </c>
      <c r="F33" s="154">
        <f t="shared" si="5"/>
        <v>25996</v>
      </c>
      <c r="G33" s="154">
        <f t="shared" si="5"/>
        <v>28713</v>
      </c>
      <c r="H33" s="154">
        <f t="shared" si="5"/>
        <v>32881</v>
      </c>
      <c r="I33" s="154">
        <f t="shared" si="5"/>
        <v>40966</v>
      </c>
      <c r="J33" s="154">
        <f t="shared" si="5"/>
        <v>49928</v>
      </c>
      <c r="K33" s="154">
        <f t="shared" si="5"/>
        <v>53648</v>
      </c>
      <c r="L33" s="154">
        <f t="shared" si="5"/>
        <v>41654</v>
      </c>
      <c r="M33" s="154">
        <f t="shared" si="5"/>
        <v>43188</v>
      </c>
      <c r="N33" s="163">
        <f t="shared" si="5"/>
        <v>44790</v>
      </c>
      <c r="O33" s="154">
        <f t="shared" si="5"/>
        <v>52719.186177106254</v>
      </c>
      <c r="P33" s="154">
        <f t="shared" si="5"/>
        <v>58354.38739299227</v>
      </c>
      <c r="Q33" s="154">
        <f t="shared" si="5"/>
        <v>64042.258993732816</v>
      </c>
      <c r="R33" s="154">
        <f t="shared" si="5"/>
        <v>69981.7317988594</v>
      </c>
      <c r="T33" s="171">
        <f>(N33/H33)^(1/(N$2-H$2))-1</f>
        <v>5.2864964560650707E-2</v>
      </c>
      <c r="U33" s="171">
        <f>(R33/N33)^(1/(R$2-N$2))-1</f>
        <v>0.11802343199858401</v>
      </c>
      <c r="W33" s="210"/>
    </row>
    <row r="34" spans="1:23" s="154" customFormat="1">
      <c r="A34" s="146"/>
      <c r="B34" s="146" t="s">
        <v>511</v>
      </c>
      <c r="C34" s="154">
        <f t="shared" ref="C34:R34" si="6">C24-C29</f>
        <v>3473.9999999999982</v>
      </c>
      <c r="D34" s="154">
        <f t="shared" si="6"/>
        <v>2829.6000000000004</v>
      </c>
      <c r="E34" s="154">
        <f t="shared" si="6"/>
        <v>3468</v>
      </c>
      <c r="F34" s="154">
        <f t="shared" si="6"/>
        <v>1418</v>
      </c>
      <c r="G34" s="154">
        <f t="shared" si="6"/>
        <v>1833</v>
      </c>
      <c r="H34" s="154">
        <f t="shared" si="6"/>
        <v>2703.9999999999982</v>
      </c>
      <c r="I34" s="154">
        <f t="shared" si="6"/>
        <v>3891</v>
      </c>
      <c r="J34" s="154">
        <f t="shared" si="6"/>
        <v>3916</v>
      </c>
      <c r="K34" s="154">
        <f t="shared" si="6"/>
        <v>4886.2970000000023</v>
      </c>
      <c r="L34" s="154">
        <f t="shared" si="6"/>
        <v>286.12800000000061</v>
      </c>
      <c r="M34" s="154">
        <f t="shared" si="6"/>
        <v>1421.780999999999</v>
      </c>
      <c r="N34" s="163">
        <f t="shared" si="6"/>
        <v>3681.5369999999984</v>
      </c>
      <c r="O34" s="154">
        <f t="shared" si="6"/>
        <v>7992.0289559890916</v>
      </c>
      <c r="P34" s="154">
        <f t="shared" si="6"/>
        <v>10276.924134084338</v>
      </c>
      <c r="Q34" s="154">
        <f t="shared" si="6"/>
        <v>13182.82892444063</v>
      </c>
      <c r="R34" s="154">
        <f t="shared" si="6"/>
        <v>16490.054920837138</v>
      </c>
      <c r="T34" s="171">
        <f t="shared" ref="T34:T35" si="7">(N34/H34)^(1/(N$2-H$2))-1</f>
        <v>5.2778677561543974E-2</v>
      </c>
      <c r="U34" s="171">
        <f t="shared" ref="U34:U35" si="8">(R34/N34)^(1/(R$2-N$2))-1</f>
        <v>0.45478305261338181</v>
      </c>
      <c r="W34" s="210"/>
    </row>
    <row r="35" spans="1:23" s="154" customFormat="1">
      <c r="A35" s="146"/>
      <c r="B35" s="146" t="s">
        <v>524</v>
      </c>
      <c r="C35" s="154">
        <f t="shared" ref="C35:R35" si="9">C25-C30</f>
        <v>5165</v>
      </c>
      <c r="D35" s="154">
        <f t="shared" si="9"/>
        <v>4665</v>
      </c>
      <c r="E35" s="154">
        <f t="shared" si="9"/>
        <v>4679</v>
      </c>
      <c r="F35" s="154">
        <f t="shared" si="9"/>
        <v>2900</v>
      </c>
      <c r="G35" s="154">
        <f t="shared" si="9"/>
        <v>1665</v>
      </c>
      <c r="H35" s="154">
        <f t="shared" si="9"/>
        <v>1258</v>
      </c>
      <c r="I35" s="154">
        <f t="shared" si="9"/>
        <v>11</v>
      </c>
      <c r="J35" s="154">
        <f t="shared" si="9"/>
        <v>988.30000000000018</v>
      </c>
      <c r="K35" s="154">
        <f t="shared" si="9"/>
        <v>-3489.6974000000009</v>
      </c>
      <c r="L35" s="154">
        <f t="shared" si="9"/>
        <v>2601.3026</v>
      </c>
      <c r="M35" s="154">
        <f t="shared" si="9"/>
        <v>602.76954999999907</v>
      </c>
      <c r="N35" s="163">
        <f>N25-N30</f>
        <v>2948.22235</v>
      </c>
      <c r="O35" s="154">
        <f t="shared" si="9"/>
        <v>3273.0208000000002</v>
      </c>
      <c r="P35" s="154">
        <f t="shared" si="9"/>
        <v>4179.8216499999999</v>
      </c>
      <c r="Q35" s="154">
        <f t="shared" si="9"/>
        <v>5337.4878900000003</v>
      </c>
      <c r="R35" s="154">
        <f t="shared" si="9"/>
        <v>6910.1312320881261</v>
      </c>
      <c r="T35" s="171">
        <f t="shared" si="7"/>
        <v>0.15251503290252999</v>
      </c>
      <c r="U35" s="171">
        <f t="shared" si="8"/>
        <v>0.23731852523186281</v>
      </c>
      <c r="W35" s="210"/>
    </row>
    <row r="36" spans="1:23" s="154" customFormat="1">
      <c r="A36" s="146"/>
      <c r="B36" s="146"/>
      <c r="N36" s="163"/>
      <c r="O36" s="156"/>
      <c r="P36" s="156"/>
      <c r="Q36" s="156"/>
      <c r="R36" s="156"/>
      <c r="W36" s="210"/>
    </row>
    <row r="37" spans="1:23" s="154" customFormat="1">
      <c r="A37" s="146"/>
      <c r="B37" s="147" t="s">
        <v>406</v>
      </c>
      <c r="N37" s="163"/>
      <c r="W37" s="210"/>
    </row>
    <row r="38" spans="1:23" s="154" customFormat="1">
      <c r="A38" s="146"/>
      <c r="B38" s="146" t="s">
        <v>523</v>
      </c>
      <c r="C38" s="188">
        <f>$C$12</f>
        <v>0.25</v>
      </c>
      <c r="D38" s="156">
        <f>C38</f>
        <v>0.25</v>
      </c>
      <c r="E38" s="156">
        <f t="shared" ref="E38:R38" si="10">D38</f>
        <v>0.25</v>
      </c>
      <c r="F38" s="156">
        <f t="shared" si="10"/>
        <v>0.25</v>
      </c>
      <c r="G38" s="156">
        <f t="shared" si="10"/>
        <v>0.25</v>
      </c>
      <c r="H38" s="156">
        <f t="shared" si="10"/>
        <v>0.25</v>
      </c>
      <c r="I38" s="156">
        <f t="shared" si="10"/>
        <v>0.25</v>
      </c>
      <c r="J38" s="156">
        <f t="shared" si="10"/>
        <v>0.25</v>
      </c>
      <c r="K38" s="156">
        <f t="shared" si="10"/>
        <v>0.25</v>
      </c>
      <c r="L38" s="156">
        <f t="shared" si="10"/>
        <v>0.25</v>
      </c>
      <c r="M38" s="156">
        <f t="shared" si="10"/>
        <v>0.25</v>
      </c>
      <c r="N38" s="164">
        <f t="shared" si="10"/>
        <v>0.25</v>
      </c>
      <c r="O38" s="156">
        <f t="shared" si="10"/>
        <v>0.25</v>
      </c>
      <c r="P38" s="156">
        <f t="shared" si="10"/>
        <v>0.25</v>
      </c>
      <c r="Q38" s="156">
        <f t="shared" si="10"/>
        <v>0.25</v>
      </c>
      <c r="R38" s="156">
        <f t="shared" si="10"/>
        <v>0.25</v>
      </c>
      <c r="W38" s="210"/>
    </row>
    <row r="39" spans="1:23" s="154" customFormat="1">
      <c r="A39" s="146"/>
      <c r="B39" s="146" t="s">
        <v>511</v>
      </c>
      <c r="C39" s="188">
        <f t="shared" ref="C39:C40" si="11">$C$12</f>
        <v>0.25</v>
      </c>
      <c r="D39" s="156">
        <f t="shared" ref="D39:R40" si="12">C39</f>
        <v>0.25</v>
      </c>
      <c r="E39" s="156">
        <f t="shared" si="12"/>
        <v>0.25</v>
      </c>
      <c r="F39" s="156">
        <f t="shared" si="12"/>
        <v>0.25</v>
      </c>
      <c r="G39" s="156">
        <f t="shared" si="12"/>
        <v>0.25</v>
      </c>
      <c r="H39" s="156">
        <f t="shared" si="12"/>
        <v>0.25</v>
      </c>
      <c r="I39" s="156">
        <f t="shared" si="12"/>
        <v>0.25</v>
      </c>
      <c r="J39" s="156">
        <f t="shared" si="12"/>
        <v>0.25</v>
      </c>
      <c r="K39" s="156">
        <f t="shared" si="12"/>
        <v>0.25</v>
      </c>
      <c r="L39" s="156">
        <f t="shared" si="12"/>
        <v>0.25</v>
      </c>
      <c r="M39" s="156">
        <f t="shared" si="12"/>
        <v>0.25</v>
      </c>
      <c r="N39" s="164">
        <f t="shared" si="12"/>
        <v>0.25</v>
      </c>
      <c r="O39" s="156">
        <f t="shared" si="12"/>
        <v>0.25</v>
      </c>
      <c r="P39" s="156">
        <f t="shared" si="12"/>
        <v>0.25</v>
      </c>
      <c r="Q39" s="156">
        <f t="shared" si="12"/>
        <v>0.25</v>
      </c>
      <c r="R39" s="156">
        <f t="shared" si="12"/>
        <v>0.25</v>
      </c>
      <c r="W39" s="210"/>
    </row>
    <row r="40" spans="1:23" s="154" customFormat="1">
      <c r="A40" s="146"/>
      <c r="B40" s="146" t="s">
        <v>524</v>
      </c>
      <c r="C40" s="188">
        <f t="shared" si="11"/>
        <v>0.25</v>
      </c>
      <c r="D40" s="156">
        <f t="shared" si="12"/>
        <v>0.25</v>
      </c>
      <c r="E40" s="156">
        <f t="shared" si="12"/>
        <v>0.25</v>
      </c>
      <c r="F40" s="156">
        <f t="shared" si="12"/>
        <v>0.25</v>
      </c>
      <c r="G40" s="156">
        <f t="shared" si="12"/>
        <v>0.25</v>
      </c>
      <c r="H40" s="156">
        <f t="shared" si="12"/>
        <v>0.25</v>
      </c>
      <c r="I40" s="156">
        <f t="shared" si="12"/>
        <v>0.25</v>
      </c>
      <c r="J40" s="156">
        <f t="shared" si="12"/>
        <v>0.25</v>
      </c>
      <c r="K40" s="156">
        <f t="shared" si="12"/>
        <v>0.25</v>
      </c>
      <c r="L40" s="156">
        <f t="shared" si="12"/>
        <v>0.25</v>
      </c>
      <c r="M40" s="156">
        <f t="shared" si="12"/>
        <v>0.25</v>
      </c>
      <c r="N40" s="164">
        <f t="shared" si="12"/>
        <v>0.25</v>
      </c>
      <c r="O40" s="156">
        <f t="shared" si="12"/>
        <v>0.25</v>
      </c>
      <c r="P40" s="156">
        <f t="shared" si="12"/>
        <v>0.25</v>
      </c>
      <c r="Q40" s="156">
        <f t="shared" si="12"/>
        <v>0.25</v>
      </c>
      <c r="R40" s="156">
        <f t="shared" si="12"/>
        <v>0.25</v>
      </c>
      <c r="W40" s="210"/>
    </row>
    <row r="41" spans="1:23" s="154" customFormat="1">
      <c r="A41" s="146"/>
      <c r="B41" s="146"/>
      <c r="N41" s="163"/>
      <c r="W41" s="210"/>
    </row>
    <row r="42" spans="1:23" s="154" customFormat="1">
      <c r="A42" s="146"/>
      <c r="B42" s="151" t="s">
        <v>595</v>
      </c>
      <c r="C42" s="155"/>
      <c r="D42" s="155"/>
      <c r="E42" s="155"/>
      <c r="F42" s="155"/>
      <c r="G42" s="155"/>
      <c r="H42" s="155"/>
      <c r="I42" s="155"/>
      <c r="J42" s="155"/>
      <c r="K42" s="155"/>
      <c r="L42" s="155"/>
      <c r="M42" s="155"/>
      <c r="N42" s="165"/>
      <c r="O42" s="155"/>
      <c r="P42" s="155"/>
      <c r="Q42" s="155"/>
      <c r="R42" s="155"/>
      <c r="W42" s="210"/>
    </row>
    <row r="43" spans="1:23" s="154" customFormat="1">
      <c r="A43" s="146"/>
      <c r="B43" s="146" t="s">
        <v>523</v>
      </c>
      <c r="C43" s="154">
        <f t="shared" ref="C43:R43" si="13">C33*(1-C38)</f>
        <v>16869</v>
      </c>
      <c r="D43" s="154">
        <f t="shared" si="13"/>
        <v>16272</v>
      </c>
      <c r="E43" s="154">
        <f t="shared" si="13"/>
        <v>18975.75</v>
      </c>
      <c r="F43" s="154">
        <f t="shared" si="13"/>
        <v>19497</v>
      </c>
      <c r="G43" s="154">
        <f t="shared" si="13"/>
        <v>21534.75</v>
      </c>
      <c r="H43" s="154">
        <f t="shared" si="13"/>
        <v>24660.75</v>
      </c>
      <c r="I43" s="154">
        <f t="shared" si="13"/>
        <v>30724.5</v>
      </c>
      <c r="J43" s="154">
        <f t="shared" si="13"/>
        <v>37446</v>
      </c>
      <c r="K43" s="154">
        <f t="shared" si="13"/>
        <v>40236</v>
      </c>
      <c r="L43" s="154">
        <f t="shared" si="13"/>
        <v>31240.5</v>
      </c>
      <c r="M43" s="154">
        <f t="shared" si="13"/>
        <v>32391</v>
      </c>
      <c r="N43" s="163">
        <f t="shared" si="13"/>
        <v>33592.5</v>
      </c>
      <c r="O43" s="154">
        <f t="shared" si="13"/>
        <v>39539.389632829691</v>
      </c>
      <c r="P43" s="154">
        <f t="shared" si="13"/>
        <v>43765.790544744203</v>
      </c>
      <c r="Q43" s="154">
        <f t="shared" si="13"/>
        <v>48031.694245299615</v>
      </c>
      <c r="R43" s="154">
        <f t="shared" si="13"/>
        <v>52486.29884914455</v>
      </c>
      <c r="T43" s="171">
        <f>(N43/H43)^(1/(N$2-H$2))-1</f>
        <v>5.2864964560650707E-2</v>
      </c>
      <c r="U43" s="171">
        <f>(R43/N43)^(1/(R$2-N$2))-1</f>
        <v>0.11802343199858401</v>
      </c>
      <c r="W43" s="210"/>
    </row>
    <row r="44" spans="1:23" s="154" customFormat="1">
      <c r="A44" s="146"/>
      <c r="B44" s="146" t="s">
        <v>511</v>
      </c>
      <c r="C44" s="154">
        <f t="shared" ref="C44:R44" si="14">C34*(1-C39)</f>
        <v>2605.4999999999986</v>
      </c>
      <c r="D44" s="154">
        <f t="shared" si="14"/>
        <v>2122.2000000000003</v>
      </c>
      <c r="E44" s="154">
        <f t="shared" si="14"/>
        <v>2601</v>
      </c>
      <c r="F44" s="154">
        <f t="shared" si="14"/>
        <v>1063.5</v>
      </c>
      <c r="G44" s="154">
        <f t="shared" si="14"/>
        <v>1374.75</v>
      </c>
      <c r="H44" s="154">
        <f t="shared" si="14"/>
        <v>2027.9999999999986</v>
      </c>
      <c r="I44" s="154">
        <f t="shared" si="14"/>
        <v>2918.25</v>
      </c>
      <c r="J44" s="154">
        <f t="shared" si="14"/>
        <v>2937</v>
      </c>
      <c r="K44" s="154">
        <f t="shared" si="14"/>
        <v>3664.7227500000017</v>
      </c>
      <c r="L44" s="154">
        <f t="shared" si="14"/>
        <v>214.59600000000046</v>
      </c>
      <c r="M44" s="154">
        <f t="shared" si="14"/>
        <v>1066.3357499999993</v>
      </c>
      <c r="N44" s="163">
        <f t="shared" si="14"/>
        <v>2761.1527499999988</v>
      </c>
      <c r="O44" s="154">
        <f t="shared" si="14"/>
        <v>5994.0217169918187</v>
      </c>
      <c r="P44" s="154">
        <f t="shared" si="14"/>
        <v>7707.6931005632541</v>
      </c>
      <c r="Q44" s="154">
        <f t="shared" si="14"/>
        <v>9887.1216933304713</v>
      </c>
      <c r="R44" s="154">
        <f t="shared" si="14"/>
        <v>12367.541190627853</v>
      </c>
      <c r="T44" s="171">
        <f t="shared" ref="T44:T45" si="15">(N44/H44)^(1/(N$2-H$2))-1</f>
        <v>5.2778677561543974E-2</v>
      </c>
      <c r="U44" s="171">
        <f t="shared" ref="U44:U45" si="16">(R44/N44)^(1/(R$2-N$2))-1</f>
        <v>0.45478305261338181</v>
      </c>
      <c r="W44" s="210"/>
    </row>
    <row r="45" spans="1:23" s="154" customFormat="1">
      <c r="A45" s="146"/>
      <c r="B45" s="146" t="s">
        <v>524</v>
      </c>
      <c r="C45" s="154">
        <f t="shared" ref="C45:R45" si="17">C35*(1-C40)</f>
        <v>3873.75</v>
      </c>
      <c r="D45" s="154">
        <f t="shared" si="17"/>
        <v>3498.75</v>
      </c>
      <c r="E45" s="154">
        <f t="shared" si="17"/>
        <v>3509.25</v>
      </c>
      <c r="F45" s="154">
        <f t="shared" si="17"/>
        <v>2175</v>
      </c>
      <c r="G45" s="154">
        <f t="shared" si="17"/>
        <v>1248.75</v>
      </c>
      <c r="H45" s="154">
        <f t="shared" si="17"/>
        <v>943.5</v>
      </c>
      <c r="I45" s="154">
        <f t="shared" si="17"/>
        <v>8.25</v>
      </c>
      <c r="J45" s="154">
        <f t="shared" si="17"/>
        <v>741.22500000000014</v>
      </c>
      <c r="K45" s="154">
        <f t="shared" si="17"/>
        <v>-2617.2730500000007</v>
      </c>
      <c r="L45" s="154">
        <f t="shared" si="17"/>
        <v>1950.97695</v>
      </c>
      <c r="M45" s="154">
        <f t="shared" si="17"/>
        <v>452.0771624999993</v>
      </c>
      <c r="N45" s="163">
        <f t="shared" si="17"/>
        <v>2211.1667625</v>
      </c>
      <c r="O45" s="154">
        <f t="shared" si="17"/>
        <v>2454.7656000000002</v>
      </c>
      <c r="P45" s="154">
        <f t="shared" si="17"/>
        <v>3134.8662374999999</v>
      </c>
      <c r="Q45" s="154">
        <f t="shared" si="17"/>
        <v>4003.1159175000003</v>
      </c>
      <c r="R45" s="154">
        <f t="shared" si="17"/>
        <v>5182.5984240660946</v>
      </c>
      <c r="T45" s="171">
        <f t="shared" si="15"/>
        <v>0.15251503290252999</v>
      </c>
      <c r="U45" s="171">
        <f t="shared" si="16"/>
        <v>0.23731852523186281</v>
      </c>
      <c r="W45" s="210"/>
    </row>
    <row r="46" spans="1:23" s="154" customFormat="1">
      <c r="A46" s="146"/>
      <c r="B46" s="147" t="s">
        <v>597</v>
      </c>
      <c r="C46" s="160">
        <f>SUM(C43:C45)</f>
        <v>23348.25</v>
      </c>
      <c r="D46" s="160">
        <f t="shared" ref="D46:R46" si="18">SUM(D43:D45)</f>
        <v>21892.95</v>
      </c>
      <c r="E46" s="160">
        <f t="shared" si="18"/>
        <v>25086</v>
      </c>
      <c r="F46" s="160">
        <f t="shared" si="18"/>
        <v>22735.5</v>
      </c>
      <c r="G46" s="160">
        <f t="shared" si="18"/>
        <v>24158.25</v>
      </c>
      <c r="H46" s="160">
        <f t="shared" si="18"/>
        <v>27632.25</v>
      </c>
      <c r="I46" s="160">
        <f t="shared" si="18"/>
        <v>33651</v>
      </c>
      <c r="J46" s="160">
        <f t="shared" si="18"/>
        <v>41124.224999999999</v>
      </c>
      <c r="K46" s="160">
        <f t="shared" si="18"/>
        <v>41283.449699999997</v>
      </c>
      <c r="L46" s="160">
        <f t="shared" si="18"/>
        <v>33406.072950000002</v>
      </c>
      <c r="M46" s="160">
        <f t="shared" si="18"/>
        <v>33909.412912499996</v>
      </c>
      <c r="N46" s="166">
        <f t="shared" si="18"/>
        <v>38564.819512499998</v>
      </c>
      <c r="O46" s="160">
        <f t="shared" si="18"/>
        <v>47988.176949821507</v>
      </c>
      <c r="P46" s="160">
        <f t="shared" si="18"/>
        <v>54608.349882807452</v>
      </c>
      <c r="Q46" s="160">
        <f t="shared" si="18"/>
        <v>61921.931856130082</v>
      </c>
      <c r="R46" s="160">
        <f t="shared" si="18"/>
        <v>70036.438463838494</v>
      </c>
      <c r="W46" s="210"/>
    </row>
    <row r="47" spans="1:23" s="154" customFormat="1">
      <c r="A47" s="146"/>
      <c r="B47" s="146"/>
      <c r="N47" s="163"/>
      <c r="W47" s="210"/>
    </row>
    <row r="48" spans="1:23" s="154" customFormat="1">
      <c r="A48" s="146"/>
      <c r="B48" s="147" t="s">
        <v>248</v>
      </c>
      <c r="N48" s="163"/>
      <c r="W48" s="210"/>
    </row>
    <row r="49" spans="1:23" s="154" customFormat="1">
      <c r="A49" s="146"/>
      <c r="B49" s="146" t="s">
        <v>523</v>
      </c>
      <c r="C49" s="154">
        <f>[22]Anna!O$22</f>
        <v>14951</v>
      </c>
      <c r="D49" s="154">
        <f>[22]Anna!P$22</f>
        <v>14317</v>
      </c>
      <c r="E49" s="154">
        <f>[22]Anna!Q$22</f>
        <v>19388.951855953906</v>
      </c>
      <c r="F49" s="154">
        <f>[22]Anna!R$22</f>
        <v>20800</v>
      </c>
      <c r="G49" s="154">
        <f>[22]Anna!S$22</f>
        <v>24600</v>
      </c>
      <c r="H49" s="154">
        <f>[22]Anna!T$22</f>
        <v>26400</v>
      </c>
      <c r="I49" s="154">
        <f>[22]Anna!U$22</f>
        <v>29200</v>
      </c>
      <c r="J49" s="154">
        <f>[22]Anna!V$22</f>
        <v>33292</v>
      </c>
      <c r="K49" s="154">
        <f>[22]Anna!W$22</f>
        <v>34834</v>
      </c>
      <c r="L49" s="154">
        <f>[22]Anna!X$22</f>
        <v>37226</v>
      </c>
      <c r="M49" s="154">
        <f>[22]Anna!Y$22</f>
        <v>32098</v>
      </c>
      <c r="N49" s="163">
        <f>[22]Anna!Z$22</f>
        <v>32557</v>
      </c>
      <c r="O49" s="154">
        <f>[22]Anna!AA$22</f>
        <v>32231.425451854288</v>
      </c>
      <c r="P49" s="154">
        <f>[22]Anna!AB$22</f>
        <v>35489.806166907416</v>
      </c>
      <c r="Q49" s="154">
        <f>[22]Anna!AC$22</f>
        <v>38742.633698103149</v>
      </c>
      <c r="R49" s="154">
        <f>[22]Anna!AD$22</f>
        <v>40089.593420417201</v>
      </c>
      <c r="T49" s="171">
        <f>(N49/H49)^(1/(N$2-H$2))-1</f>
        <v>3.5555569531641185E-2</v>
      </c>
      <c r="U49" s="171">
        <f>(R49/N49)^(1/(R$2-N$2))-1</f>
        <v>5.3408499225301664E-2</v>
      </c>
      <c r="W49" s="210" t="s">
        <v>601</v>
      </c>
    </row>
    <row r="50" spans="1:23" s="154" customFormat="1">
      <c r="A50" s="146"/>
      <c r="B50" s="146" t="s">
        <v>511</v>
      </c>
      <c r="C50" s="154">
        <f>[23]Anna!O$22</f>
        <v>6495.1</v>
      </c>
      <c r="D50" s="154">
        <f>[23]Anna!P$22</f>
        <v>6292</v>
      </c>
      <c r="E50" s="154">
        <f>[23]Anna!Q$22</f>
        <v>6300</v>
      </c>
      <c r="F50" s="154">
        <f>[23]Anna!R$22</f>
        <v>9669</v>
      </c>
      <c r="G50" s="154">
        <f>[23]Anna!S$22</f>
        <v>6443</v>
      </c>
      <c r="H50" s="154">
        <f>[23]Anna!T$22</f>
        <v>7354</v>
      </c>
      <c r="I50" s="154">
        <f>[23]Anna!U$22</f>
        <v>6377</v>
      </c>
      <c r="J50" s="154">
        <f>[23]Anna!V$22</f>
        <v>6237</v>
      </c>
      <c r="K50" s="154">
        <f>[23]Anna!W$22</f>
        <v>9288.61</v>
      </c>
      <c r="L50" s="154">
        <f>[23]Anna!X$22</f>
        <v>11687.21</v>
      </c>
      <c r="M50" s="154">
        <f>[23]Anna!Y$22</f>
        <v>8678</v>
      </c>
      <c r="N50" s="163">
        <f>[23]Anna!Z$22</f>
        <v>6891.5</v>
      </c>
      <c r="O50" s="154">
        <f>[23]Anna!AA$22</f>
        <v>10408.542918483416</v>
      </c>
      <c r="P50" s="154">
        <f>[23]Anna!AB$22</f>
        <v>11464.955009022362</v>
      </c>
      <c r="Q50" s="154">
        <f>[23]Anna!AC$22</f>
        <v>12519.927814995219</v>
      </c>
      <c r="R50" s="154">
        <f>[23]Anna!AD$22</f>
        <v>12489.299707264081</v>
      </c>
      <c r="T50" s="171">
        <f t="shared" ref="T50:T51" si="19">(N50/H50)^(1/(N$2-H$2))-1</f>
        <v>-1.0767546242058779E-2</v>
      </c>
      <c r="U50" s="171">
        <f t="shared" ref="U50:U51" si="20">(R50/N50)^(1/(R$2-N$2))-1</f>
        <v>0.16026203463462929</v>
      </c>
      <c r="W50" s="210"/>
    </row>
    <row r="51" spans="1:23" s="154" customFormat="1">
      <c r="A51" s="146"/>
      <c r="B51" s="146" t="s">
        <v>524</v>
      </c>
      <c r="C51" s="154">
        <f>Anna!O22</f>
        <v>4848</v>
      </c>
      <c r="D51" s="154">
        <f>Anna!P22</f>
        <v>6522</v>
      </c>
      <c r="E51" s="154">
        <f>Anna!Q22</f>
        <v>10176</v>
      </c>
      <c r="F51" s="154">
        <f>Anna!R22</f>
        <v>7394</v>
      </c>
      <c r="G51" s="154">
        <f>Anna!S22</f>
        <v>7095</v>
      </c>
      <c r="H51" s="154">
        <f>Anna!T22</f>
        <v>4146</v>
      </c>
      <c r="I51" s="154">
        <f>Anna!U22</f>
        <v>5584</v>
      </c>
      <c r="J51" s="154">
        <f>Anna!V22</f>
        <v>6697</v>
      </c>
      <c r="K51" s="154">
        <f>Anna!W22</f>
        <v>6792</v>
      </c>
      <c r="L51" s="154">
        <f>Anna!X22</f>
        <v>7996</v>
      </c>
      <c r="M51" s="154">
        <f>Anna!Y22</f>
        <v>6155</v>
      </c>
      <c r="N51" s="163">
        <f>Anna!Z22</f>
        <v>9921</v>
      </c>
      <c r="O51" s="154">
        <f>Anna!AA22</f>
        <v>9063</v>
      </c>
      <c r="P51" s="154">
        <f>Anna!AB22</f>
        <v>7158</v>
      </c>
      <c r="Q51" s="154">
        <f>Anna!AC22</f>
        <v>7382</v>
      </c>
      <c r="R51" s="154">
        <f>Anna!AD22</f>
        <v>20387.570799343855</v>
      </c>
      <c r="T51" s="171">
        <f t="shared" si="19"/>
        <v>0.15652322516605555</v>
      </c>
      <c r="U51" s="171">
        <f t="shared" si="20"/>
        <v>0.19729869224818342</v>
      </c>
      <c r="W51" s="210"/>
    </row>
    <row r="52" spans="1:23" s="154" customFormat="1">
      <c r="A52" s="146"/>
      <c r="B52" s="147" t="s">
        <v>597</v>
      </c>
      <c r="C52" s="160">
        <f>SUM(C49:C51)</f>
        <v>26294.1</v>
      </c>
      <c r="D52" s="160">
        <f t="shared" ref="D52:R52" si="21">SUM(D49:D51)</f>
        <v>27131</v>
      </c>
      <c r="E52" s="160">
        <f t="shared" si="21"/>
        <v>35864.951855953906</v>
      </c>
      <c r="F52" s="160">
        <f t="shared" si="21"/>
        <v>37863</v>
      </c>
      <c r="G52" s="160">
        <f t="shared" si="21"/>
        <v>38138</v>
      </c>
      <c r="H52" s="160">
        <f t="shared" si="21"/>
        <v>37900</v>
      </c>
      <c r="I52" s="160">
        <f t="shared" si="21"/>
        <v>41161</v>
      </c>
      <c r="J52" s="160">
        <f t="shared" si="21"/>
        <v>46226</v>
      </c>
      <c r="K52" s="160">
        <f t="shared" si="21"/>
        <v>50914.61</v>
      </c>
      <c r="L52" s="160">
        <f t="shared" si="21"/>
        <v>56909.21</v>
      </c>
      <c r="M52" s="160">
        <f t="shared" si="21"/>
        <v>46931</v>
      </c>
      <c r="N52" s="166">
        <f t="shared" si="21"/>
        <v>49369.5</v>
      </c>
      <c r="O52" s="160">
        <f t="shared" si="21"/>
        <v>51702.968370337701</v>
      </c>
      <c r="P52" s="160">
        <f t="shared" si="21"/>
        <v>54112.76117592978</v>
      </c>
      <c r="Q52" s="160">
        <f t="shared" si="21"/>
        <v>58644.561513098364</v>
      </c>
      <c r="R52" s="160">
        <f t="shared" si="21"/>
        <v>72966.463927025135</v>
      </c>
      <c r="W52" s="210"/>
    </row>
    <row r="53" spans="1:23" s="154" customFormat="1">
      <c r="A53" s="146"/>
      <c r="B53" s="146"/>
      <c r="N53" s="163"/>
      <c r="W53" s="210"/>
    </row>
    <row r="54" spans="1:23" s="154" customFormat="1">
      <c r="A54" s="146"/>
      <c r="B54" s="151" t="s">
        <v>596</v>
      </c>
      <c r="C54" s="155"/>
      <c r="D54" s="155"/>
      <c r="E54" s="155"/>
      <c r="F54" s="155"/>
      <c r="G54" s="155"/>
      <c r="H54" s="155"/>
      <c r="I54" s="155"/>
      <c r="J54" s="155"/>
      <c r="K54" s="155"/>
      <c r="L54" s="155"/>
      <c r="M54" s="155"/>
      <c r="N54" s="165"/>
      <c r="O54" s="155"/>
      <c r="P54" s="155"/>
      <c r="Q54" s="155"/>
      <c r="R54" s="155"/>
      <c r="W54" s="210"/>
    </row>
    <row r="55" spans="1:23" s="154" customFormat="1">
      <c r="A55" s="146"/>
      <c r="B55" s="146" t="s">
        <v>523</v>
      </c>
      <c r="H55" s="154">
        <f>AVERAGE(D49:H49)*5</f>
        <v>105505.9518559539</v>
      </c>
      <c r="I55" s="154">
        <f t="shared" ref="I55:R57" si="22">AVERAGE(E49:I49)*5</f>
        <v>120388.9518559539</v>
      </c>
      <c r="J55" s="154">
        <f t="shared" si="22"/>
        <v>134292</v>
      </c>
      <c r="K55" s="154">
        <f t="shared" si="22"/>
        <v>148326</v>
      </c>
      <c r="L55" s="154">
        <f t="shared" si="22"/>
        <v>160952</v>
      </c>
      <c r="M55" s="154">
        <f t="shared" si="22"/>
        <v>166650</v>
      </c>
      <c r="N55" s="163">
        <f t="shared" si="22"/>
        <v>170007</v>
      </c>
      <c r="O55" s="154">
        <f t="shared" si="22"/>
        <v>168946.4254518543</v>
      </c>
      <c r="P55" s="154">
        <f t="shared" si="22"/>
        <v>169602.23161876173</v>
      </c>
      <c r="Q55" s="154">
        <f t="shared" si="22"/>
        <v>171118.86531686486</v>
      </c>
      <c r="R55" s="154">
        <f t="shared" si="22"/>
        <v>179110.45873728205</v>
      </c>
      <c r="W55" s="210"/>
    </row>
    <row r="56" spans="1:23" s="154" customFormat="1">
      <c r="A56" s="146"/>
      <c r="B56" s="146" t="s">
        <v>511</v>
      </c>
      <c r="H56" s="154">
        <f t="shared" ref="H56:H57" si="23">AVERAGE(D50:H50)*5</f>
        <v>36058</v>
      </c>
      <c r="I56" s="154">
        <f t="shared" si="22"/>
        <v>36143</v>
      </c>
      <c r="J56" s="154">
        <f t="shared" si="22"/>
        <v>36080</v>
      </c>
      <c r="K56" s="154">
        <f t="shared" si="22"/>
        <v>35699.61</v>
      </c>
      <c r="L56" s="154">
        <f t="shared" si="22"/>
        <v>40943.82</v>
      </c>
      <c r="M56" s="154">
        <f t="shared" si="22"/>
        <v>42267.82</v>
      </c>
      <c r="N56" s="163">
        <f t="shared" si="22"/>
        <v>42782.32</v>
      </c>
      <c r="O56" s="154">
        <f t="shared" si="22"/>
        <v>46953.862918483414</v>
      </c>
      <c r="P56" s="154">
        <f t="shared" si="22"/>
        <v>49130.207927505777</v>
      </c>
      <c r="Q56" s="154">
        <f t="shared" si="22"/>
        <v>49962.925742501</v>
      </c>
      <c r="R56" s="154">
        <f t="shared" si="22"/>
        <v>53774.225449765079</v>
      </c>
      <c r="W56" s="210"/>
    </row>
    <row r="57" spans="1:23" s="154" customFormat="1">
      <c r="A57" s="146"/>
      <c r="B57" s="146" t="s">
        <v>524</v>
      </c>
      <c r="H57" s="154">
        <f t="shared" si="23"/>
        <v>35333</v>
      </c>
      <c r="I57" s="154">
        <f t="shared" si="22"/>
        <v>34395</v>
      </c>
      <c r="J57" s="154">
        <f t="shared" si="22"/>
        <v>30916</v>
      </c>
      <c r="K57" s="154">
        <f t="shared" si="22"/>
        <v>30314</v>
      </c>
      <c r="L57" s="154">
        <f t="shared" si="22"/>
        <v>31215</v>
      </c>
      <c r="M57" s="154">
        <f t="shared" si="22"/>
        <v>33224</v>
      </c>
      <c r="N57" s="163">
        <f t="shared" si="22"/>
        <v>37561</v>
      </c>
      <c r="O57" s="154">
        <f t="shared" si="22"/>
        <v>39927</v>
      </c>
      <c r="P57" s="154">
        <f t="shared" si="22"/>
        <v>40293</v>
      </c>
      <c r="Q57" s="154">
        <f t="shared" si="22"/>
        <v>39679</v>
      </c>
      <c r="R57" s="154">
        <f t="shared" si="22"/>
        <v>53911.570799343855</v>
      </c>
      <c r="W57" s="210"/>
    </row>
    <row r="58" spans="1:23" s="154" customFormat="1">
      <c r="A58" s="146"/>
      <c r="B58" s="147" t="s">
        <v>597</v>
      </c>
      <c r="H58" s="160">
        <f>SUM(H55:H57)</f>
        <v>176896.9518559539</v>
      </c>
      <c r="I58" s="160">
        <f t="shared" ref="I58:R58" si="24">SUM(I55:I57)</f>
        <v>190926.9518559539</v>
      </c>
      <c r="J58" s="160">
        <f t="shared" si="24"/>
        <v>201288</v>
      </c>
      <c r="K58" s="160">
        <f t="shared" si="24"/>
        <v>214339.61</v>
      </c>
      <c r="L58" s="160">
        <f t="shared" si="24"/>
        <v>233110.82</v>
      </c>
      <c r="M58" s="160">
        <f t="shared" si="24"/>
        <v>242141.82</v>
      </c>
      <c r="N58" s="166">
        <f t="shared" si="24"/>
        <v>250350.32</v>
      </c>
      <c r="O58" s="160">
        <f t="shared" si="24"/>
        <v>255827.28837033772</v>
      </c>
      <c r="P58" s="160">
        <f t="shared" si="24"/>
        <v>259025.4395462675</v>
      </c>
      <c r="Q58" s="160">
        <f t="shared" si="24"/>
        <v>260760.79105936585</v>
      </c>
      <c r="R58" s="160">
        <f t="shared" si="24"/>
        <v>286796.254986391</v>
      </c>
      <c r="W58" s="210"/>
    </row>
    <row r="59" spans="1:23" s="154" customFormat="1">
      <c r="A59" s="146"/>
      <c r="B59" s="147"/>
      <c r="N59" s="163"/>
      <c r="W59" s="210"/>
    </row>
    <row r="60" spans="1:23">
      <c r="B60" s="203" t="s">
        <v>227</v>
      </c>
      <c r="C60" s="152"/>
      <c r="D60" s="152"/>
      <c r="E60" s="152"/>
      <c r="F60" s="152"/>
      <c r="G60" s="152"/>
      <c r="H60" s="152"/>
      <c r="I60" s="152"/>
      <c r="J60" s="152"/>
      <c r="K60" s="152"/>
      <c r="L60" s="152"/>
      <c r="M60" s="152"/>
      <c r="N60" s="167"/>
      <c r="O60" s="152"/>
      <c r="P60" s="152"/>
      <c r="Q60" s="152"/>
      <c r="R60" s="167"/>
    </row>
    <row r="61" spans="1:23">
      <c r="B61" s="204" t="s">
        <v>523</v>
      </c>
      <c r="H61" s="157">
        <f>H43/H55</f>
        <v>0.23373799834220771</v>
      </c>
      <c r="I61" s="157">
        <f t="shared" ref="I61:R61" si="25">I43/I55</f>
        <v>0.25521029568196629</v>
      </c>
      <c r="J61" s="157">
        <f t="shared" si="25"/>
        <v>0.27884013939773034</v>
      </c>
      <c r="K61" s="157">
        <f t="shared" si="25"/>
        <v>0.27126734355406334</v>
      </c>
      <c r="L61" s="157">
        <f t="shared" si="25"/>
        <v>0.19409824046920821</v>
      </c>
      <c r="M61" s="157">
        <f t="shared" si="25"/>
        <v>0.19436543654365437</v>
      </c>
      <c r="N61" s="168">
        <f t="shared" si="25"/>
        <v>0.19759480491979742</v>
      </c>
      <c r="O61" s="157">
        <f t="shared" si="25"/>
        <v>0.23403507666456946</v>
      </c>
      <c r="P61" s="157">
        <f t="shared" si="25"/>
        <v>0.25804961483715966</v>
      </c>
      <c r="Q61" s="157">
        <f t="shared" si="25"/>
        <v>0.28069198656944216</v>
      </c>
      <c r="R61" s="168">
        <f t="shared" si="25"/>
        <v>0.29303871599218601</v>
      </c>
    </row>
    <row r="62" spans="1:23">
      <c r="B62" s="204" t="s">
        <v>511</v>
      </c>
      <c r="H62" s="157">
        <f>H44/H56</f>
        <v>5.6242720062122102E-2</v>
      </c>
      <c r="I62" s="157">
        <f t="shared" ref="I62:R62" si="26">I44/I56</f>
        <v>8.0741775724206627E-2</v>
      </c>
      <c r="J62" s="157">
        <f t="shared" si="26"/>
        <v>8.1402439024390247E-2</v>
      </c>
      <c r="K62" s="157">
        <f t="shared" si="26"/>
        <v>0.10265441975416544</v>
      </c>
      <c r="L62" s="157">
        <f t="shared" si="26"/>
        <v>5.2412305446829449E-3</v>
      </c>
      <c r="M62" s="157">
        <f t="shared" si="26"/>
        <v>2.5228075401097082E-2</v>
      </c>
      <c r="N62" s="168">
        <f t="shared" si="26"/>
        <v>6.4539574992660498E-2</v>
      </c>
      <c r="O62" s="157">
        <f t="shared" si="26"/>
        <v>0.12765769085704487</v>
      </c>
      <c r="P62" s="157">
        <f t="shared" si="26"/>
        <v>0.15688297334170381</v>
      </c>
      <c r="Q62" s="157">
        <f t="shared" si="26"/>
        <v>0.19788916574435078</v>
      </c>
      <c r="R62" s="168">
        <f t="shared" si="26"/>
        <v>0.22999013165110838</v>
      </c>
    </row>
    <row r="63" spans="1:23">
      <c r="B63" s="205" t="s">
        <v>524</v>
      </c>
      <c r="C63" s="150"/>
      <c r="D63" s="150"/>
      <c r="E63" s="150"/>
      <c r="F63" s="150"/>
      <c r="G63" s="150"/>
      <c r="H63" s="158">
        <f>H45/H57</f>
        <v>2.6703082104548158E-2</v>
      </c>
      <c r="I63" s="158">
        <f>I45/I57</f>
        <v>2.3986044483209769E-4</v>
      </c>
      <c r="J63" s="158">
        <f t="shared" ref="J63:R63" si="27">J45/J57</f>
        <v>2.397544960538233E-2</v>
      </c>
      <c r="K63" s="158">
        <f t="shared" si="27"/>
        <v>-8.6338756020320664E-2</v>
      </c>
      <c r="L63" s="158">
        <f t="shared" si="27"/>
        <v>6.2501263815473329E-2</v>
      </c>
      <c r="M63" s="158">
        <f t="shared" si="27"/>
        <v>1.3606945656754132E-2</v>
      </c>
      <c r="N63" s="169">
        <f t="shared" si="27"/>
        <v>5.8868687268709564E-2</v>
      </c>
      <c r="O63" s="158">
        <f t="shared" si="27"/>
        <v>6.1481343451799536E-2</v>
      </c>
      <c r="P63" s="158">
        <f t="shared" si="27"/>
        <v>7.7801758059712608E-2</v>
      </c>
      <c r="Q63" s="158">
        <f t="shared" si="27"/>
        <v>0.10088752028780967</v>
      </c>
      <c r="R63" s="169">
        <f t="shared" si="27"/>
        <v>9.6131467646443924E-2</v>
      </c>
    </row>
    <row r="64" spans="1:23">
      <c r="B64" s="206" t="s">
        <v>597</v>
      </c>
      <c r="C64" s="150"/>
      <c r="D64" s="150"/>
      <c r="E64" s="150"/>
      <c r="F64" s="150"/>
      <c r="G64" s="150"/>
      <c r="H64" s="207">
        <f>H46/H58</f>
        <v>0.1562053484251146</v>
      </c>
      <c r="I64" s="207">
        <f t="shared" ref="I64:R64" si="28">I46/I58</f>
        <v>0.17625065331472017</v>
      </c>
      <c r="J64" s="207">
        <f t="shared" si="28"/>
        <v>0.20430539823536426</v>
      </c>
      <c r="K64" s="207">
        <f t="shared" si="28"/>
        <v>0.19260765520661347</v>
      </c>
      <c r="L64" s="207">
        <f t="shared" si="28"/>
        <v>0.14330554433294859</v>
      </c>
      <c r="M64" s="207">
        <f t="shared" si="28"/>
        <v>0.14003947320004448</v>
      </c>
      <c r="N64" s="208">
        <f t="shared" si="28"/>
        <v>0.15404342008630145</v>
      </c>
      <c r="O64" s="207">
        <f t="shared" si="28"/>
        <v>0.18758036820666849</v>
      </c>
      <c r="P64" s="207">
        <f t="shared" si="28"/>
        <v>0.21082234230917396</v>
      </c>
      <c r="Q64" s="207">
        <f t="shared" si="28"/>
        <v>0.23746642125361817</v>
      </c>
      <c r="R64" s="208">
        <f t="shared" si="28"/>
        <v>0.24420276501574908</v>
      </c>
    </row>
    <row r="66" spans="2:18">
      <c r="B66" s="147" t="s">
        <v>602</v>
      </c>
      <c r="H66" s="173">
        <f>$C$18</f>
        <v>0.11573076923076922</v>
      </c>
      <c r="I66" s="172">
        <f>H66</f>
        <v>0.11573076923076922</v>
      </c>
      <c r="J66" s="170">
        <f t="shared" ref="J66:R66" si="29">I66</f>
        <v>0.11573076923076922</v>
      </c>
      <c r="K66" s="170">
        <f t="shared" si="29"/>
        <v>0.11573076923076922</v>
      </c>
      <c r="L66" s="170">
        <f t="shared" si="29"/>
        <v>0.11573076923076922</v>
      </c>
      <c r="M66" s="170">
        <f t="shared" si="29"/>
        <v>0.11573076923076922</v>
      </c>
      <c r="N66" s="168">
        <f t="shared" si="29"/>
        <v>0.11573076923076922</v>
      </c>
      <c r="O66" s="170">
        <f t="shared" si="29"/>
        <v>0.11573076923076922</v>
      </c>
      <c r="P66" s="170">
        <f t="shared" si="29"/>
        <v>0.11573076923076922</v>
      </c>
      <c r="Q66" s="170">
        <f t="shared" si="29"/>
        <v>0.11573076923076922</v>
      </c>
      <c r="R66" s="170">
        <f t="shared" si="29"/>
        <v>0.11573076923076922</v>
      </c>
    </row>
    <row r="68" spans="2:18">
      <c r="B68" s="147" t="s">
        <v>603</v>
      </c>
    </row>
    <row r="69" spans="2:18">
      <c r="B69" s="146" t="s">
        <v>523</v>
      </c>
      <c r="H69" s="170">
        <f>H61-H$66</f>
        <v>0.11800722911143849</v>
      </c>
      <c r="I69" s="170">
        <f t="shared" ref="I69:R69" si="30">I61-I$66</f>
        <v>0.13947952645119707</v>
      </c>
      <c r="J69" s="170">
        <f t="shared" si="30"/>
        <v>0.16310937016696112</v>
      </c>
      <c r="K69" s="170">
        <f t="shared" si="30"/>
        <v>0.15553657432329412</v>
      </c>
      <c r="L69" s="170">
        <f t="shared" si="30"/>
        <v>7.8367471238438985E-2</v>
      </c>
      <c r="M69" s="170">
        <f t="shared" si="30"/>
        <v>7.8634667312885154E-2</v>
      </c>
      <c r="N69" s="168">
        <f t="shared" si="30"/>
        <v>8.1864035689028197E-2</v>
      </c>
      <c r="O69" s="170">
        <f t="shared" si="30"/>
        <v>0.11830430743380024</v>
      </c>
      <c r="P69" s="170">
        <f t="shared" si="30"/>
        <v>0.14231884560639044</v>
      </c>
      <c r="Q69" s="170">
        <f t="shared" si="30"/>
        <v>0.16496121733867294</v>
      </c>
      <c r="R69" s="170">
        <f t="shared" si="30"/>
        <v>0.17730794676141678</v>
      </c>
    </row>
    <row r="70" spans="2:18">
      <c r="B70" s="146" t="s">
        <v>511</v>
      </c>
      <c r="H70" s="170">
        <f t="shared" ref="H70:R72" si="31">H62-H$66</f>
        <v>-5.9488049168647118E-2</v>
      </c>
      <c r="I70" s="170">
        <f t="shared" si="31"/>
        <v>-3.4988993506562593E-2</v>
      </c>
      <c r="J70" s="170">
        <f t="shared" si="31"/>
        <v>-3.4328330206378974E-2</v>
      </c>
      <c r="K70" s="170">
        <f t="shared" si="31"/>
        <v>-1.3076349476603785E-2</v>
      </c>
      <c r="L70" s="170">
        <f t="shared" si="31"/>
        <v>-0.11048953868608627</v>
      </c>
      <c r="M70" s="170">
        <f t="shared" si="31"/>
        <v>-9.0502693829672132E-2</v>
      </c>
      <c r="N70" s="168">
        <f t="shared" si="31"/>
        <v>-5.1191194238108723E-2</v>
      </c>
      <c r="O70" s="170">
        <f t="shared" si="31"/>
        <v>1.1926921626275649E-2</v>
      </c>
      <c r="P70" s="170">
        <f t="shared" si="31"/>
        <v>4.1152204110934593E-2</v>
      </c>
      <c r="Q70" s="170">
        <f t="shared" si="31"/>
        <v>8.2158396513581561E-2</v>
      </c>
      <c r="R70" s="170">
        <f t="shared" si="31"/>
        <v>0.11425936242033916</v>
      </c>
    </row>
    <row r="71" spans="2:18">
      <c r="B71" s="146" t="s">
        <v>524</v>
      </c>
      <c r="H71" s="170">
        <f t="shared" si="31"/>
        <v>-8.9027687126221056E-2</v>
      </c>
      <c r="I71" s="170">
        <f t="shared" si="31"/>
        <v>-0.11549090878593712</v>
      </c>
      <c r="J71" s="170">
        <f t="shared" si="31"/>
        <v>-9.1755319625386883E-2</v>
      </c>
      <c r="K71" s="170">
        <f t="shared" si="31"/>
        <v>-0.2020695252510899</v>
      </c>
      <c r="L71" s="170">
        <f t="shared" si="31"/>
        <v>-5.3229505415295891E-2</v>
      </c>
      <c r="M71" s="170">
        <f t="shared" si="31"/>
        <v>-0.10212382357401509</v>
      </c>
      <c r="N71" s="168">
        <f t="shared" si="31"/>
        <v>-5.6862081962059656E-2</v>
      </c>
      <c r="O71" s="170">
        <f>O63-O$66</f>
        <v>-5.4249425778969684E-2</v>
      </c>
      <c r="P71" s="170">
        <f t="shared" si="31"/>
        <v>-3.7929011171056612E-2</v>
      </c>
      <c r="Q71" s="170">
        <f t="shared" si="31"/>
        <v>-1.4843248942959547E-2</v>
      </c>
      <c r="R71" s="170">
        <f t="shared" si="31"/>
        <v>-1.9599301584325296E-2</v>
      </c>
    </row>
    <row r="72" spans="2:18">
      <c r="B72" s="148" t="s">
        <v>597</v>
      </c>
      <c r="C72" s="149"/>
      <c r="D72" s="149"/>
      <c r="E72" s="149"/>
      <c r="F72" s="149"/>
      <c r="G72" s="149"/>
      <c r="H72" s="161">
        <f t="shared" si="31"/>
        <v>4.0474579194345384E-2</v>
      </c>
      <c r="I72" s="161">
        <f t="shared" si="31"/>
        <v>6.0519884083950953E-2</v>
      </c>
      <c r="J72" s="161">
        <f t="shared" si="31"/>
        <v>8.8574629004595035E-2</v>
      </c>
      <c r="K72" s="161">
        <f t="shared" si="31"/>
        <v>7.6876885975844245E-2</v>
      </c>
      <c r="L72" s="161">
        <f t="shared" si="31"/>
        <v>2.7574775102179372E-2</v>
      </c>
      <c r="M72" s="161">
        <f t="shared" si="31"/>
        <v>2.4308703969275258E-2</v>
      </c>
      <c r="N72" s="177">
        <f t="shared" si="31"/>
        <v>3.8312650855532232E-2</v>
      </c>
      <c r="O72" s="161">
        <f t="shared" si="31"/>
        <v>7.1849598975899265E-2</v>
      </c>
      <c r="P72" s="161">
        <f t="shared" si="31"/>
        <v>9.509157307840474E-2</v>
      </c>
      <c r="Q72" s="161">
        <f t="shared" si="31"/>
        <v>0.12173565202284894</v>
      </c>
      <c r="R72" s="161">
        <f t="shared" si="31"/>
        <v>0.12847199578497986</v>
      </c>
    </row>
    <row r="74" spans="2:18">
      <c r="B74" s="147" t="s">
        <v>612</v>
      </c>
    </row>
    <row r="75" spans="2:18">
      <c r="B75" s="146" t="s">
        <v>523</v>
      </c>
      <c r="I75" s="170"/>
      <c r="J75" s="175"/>
      <c r="K75" s="175">
        <f>(SUM(I43:K43)-SUM(H43:J43))/(SUM(I55:K55)-SUM(H55:J55))</f>
        <v>0.36373733041133105</v>
      </c>
      <c r="L75" s="175">
        <f t="shared" ref="L75:R77" si="32">(SUM(J43:L43)-SUM(I43:K43))/(SUM(J55:L55)-SUM(I55:K55))</f>
        <v>1.2720937493839185E-2</v>
      </c>
      <c r="M75" s="175">
        <f t="shared" si="32"/>
        <v>-0.1562210272575561</v>
      </c>
      <c r="N75" s="176">
        <f>(SUM(L43:N43)-SUM(K43:M43))/(SUM(L55:N55)-SUM(K55:M55))</f>
        <v>-0.3064203680642037</v>
      </c>
      <c r="O75" s="175">
        <f t="shared" si="32"/>
        <v>1.0380845606490428</v>
      </c>
      <c r="P75" s="175">
        <f t="shared" si="32"/>
        <v>3.8529465210169414</v>
      </c>
      <c r="Q75" s="175">
        <f>(SUM(O43:Q43)-SUM(N43:P43))/(SUM(O55:Q55)-SUM(N55:P55))</f>
        <v>12.986459804334924</v>
      </c>
      <c r="R75" s="175">
        <f t="shared" si="32"/>
        <v>1.2737964204502248</v>
      </c>
    </row>
    <row r="76" spans="2:18">
      <c r="B76" s="146" t="s">
        <v>511</v>
      </c>
      <c r="I76" s="170"/>
      <c r="J76" s="175"/>
      <c r="K76" s="175">
        <f t="shared" ref="K76:K77" si="33">(SUM(I44:K44)-SUM(H44:J44))/(SUM(I56:K56)-SUM(H56:J56))</f>
        <v>-4.5668761684198929</v>
      </c>
      <c r="L76" s="175">
        <f t="shared" si="32"/>
        <v>-0.56316504263854983</v>
      </c>
      <c r="M76" s="175">
        <f t="shared" si="32"/>
        <v>-0.30231394093557967</v>
      </c>
      <c r="N76" s="176">
        <f t="shared" si="32"/>
        <v>-0.12757405004581635</v>
      </c>
      <c r="O76" s="175">
        <f t="shared" si="32"/>
        <v>0.96162802751668486</v>
      </c>
      <c r="P76" s="175">
        <f t="shared" si="32"/>
        <v>0.96779101104782883</v>
      </c>
      <c r="Q76" s="175">
        <f t="shared" si="32"/>
        <v>0.99239105987296505</v>
      </c>
      <c r="R76" s="175">
        <f t="shared" si="32"/>
        <v>0.93448397272195238</v>
      </c>
    </row>
    <row r="77" spans="2:18">
      <c r="B77" s="146" t="s">
        <v>524</v>
      </c>
      <c r="I77" s="170"/>
      <c r="J77" s="175"/>
      <c r="K77" s="175">
        <f t="shared" si="33"/>
        <v>0.70945866706515259</v>
      </c>
      <c r="L77" s="175">
        <f t="shared" si="32"/>
        <v>-0.61092042452830186</v>
      </c>
      <c r="M77" s="175">
        <f t="shared" si="32"/>
        <v>-0.12528069215771268</v>
      </c>
      <c r="N77" s="176">
        <f t="shared" si="32"/>
        <v>0.666267395129019</v>
      </c>
      <c r="O77" s="175">
        <f t="shared" si="32"/>
        <v>5.7826980027548255E-2</v>
      </c>
      <c r="P77" s="175">
        <f t="shared" si="32"/>
        <v>0.37951465200169765</v>
      </c>
      <c r="Q77" s="175">
        <f t="shared" si="32"/>
        <v>0.84605720254957517</v>
      </c>
      <c r="R77" s="175">
        <f t="shared" si="32"/>
        <v>0.19506017476017776</v>
      </c>
    </row>
    <row r="78" spans="2:18">
      <c r="B78" s="148" t="s">
        <v>597</v>
      </c>
      <c r="C78" s="149"/>
      <c r="D78" s="149"/>
      <c r="E78" s="149"/>
      <c r="F78" s="149"/>
      <c r="G78" s="149"/>
      <c r="H78" s="149"/>
      <c r="I78" s="149"/>
      <c r="J78" s="149"/>
      <c r="K78" s="149"/>
      <c r="L78" s="149"/>
      <c r="M78" s="149"/>
      <c r="N78" s="174"/>
      <c r="O78" s="149"/>
      <c r="P78" s="149"/>
      <c r="Q78" s="149"/>
      <c r="R78" s="149"/>
    </row>
    <row r="80" spans="2:18">
      <c r="B80" s="147" t="s">
        <v>608</v>
      </c>
    </row>
    <row r="81" spans="1:23" s="154" customFormat="1">
      <c r="A81" s="146"/>
      <c r="B81" s="146" t="s">
        <v>523</v>
      </c>
      <c r="C81" s="146"/>
      <c r="D81" s="146"/>
      <c r="E81" s="146"/>
      <c r="F81" s="146"/>
      <c r="G81" s="146"/>
      <c r="H81" s="154">
        <f>'[22]Balance sheet and cash-flow'!L$46</f>
        <v>34612</v>
      </c>
      <c r="I81" s="154">
        <f>'[22]Balance sheet and cash-flow'!M$46</f>
        <v>31799</v>
      </c>
      <c r="J81" s="154">
        <f>'[22]Balance sheet and cash-flow'!N$46</f>
        <v>35472</v>
      </c>
      <c r="K81" s="154">
        <f>'[22]Balance sheet and cash-flow'!O$46</f>
        <v>44087</v>
      </c>
      <c r="L81" s="154">
        <f>'[22]Balance sheet and cash-flow'!P$46</f>
        <v>52084</v>
      </c>
      <c r="M81" s="154">
        <f>'[22]Balance sheet and cash-flow'!Q$46</f>
        <v>65462</v>
      </c>
      <c r="N81" s="163">
        <f>'[22]Balance sheet and cash-flow'!R$46</f>
        <v>69078</v>
      </c>
      <c r="O81" s="154">
        <f>'[22]Balance sheet and cash-flow'!S$46</f>
        <v>53795.718051954063</v>
      </c>
      <c r="P81" s="154">
        <f>'[22]Balance sheet and cash-flow'!T$46</f>
        <v>42736.031255545648</v>
      </c>
      <c r="Q81" s="154">
        <f>'[22]Balance sheet and cash-flow'!U$46</f>
        <v>31610.081030008354</v>
      </c>
      <c r="R81" s="154">
        <f>'[22]Balance sheet and cash-flow'!V$46</f>
        <v>18144.34583441665</v>
      </c>
      <c r="W81" s="210"/>
    </row>
    <row r="82" spans="1:23" s="154" customFormat="1">
      <c r="A82" s="146"/>
      <c r="B82" s="146" t="s">
        <v>511</v>
      </c>
      <c r="C82" s="146"/>
      <c r="D82" s="146"/>
      <c r="E82" s="146"/>
      <c r="F82" s="146"/>
      <c r="G82" s="146"/>
      <c r="H82" s="154">
        <f>[23]Financials!BE$150</f>
        <v>26173</v>
      </c>
      <c r="I82" s="154">
        <f>[23]Financials!BJ$150</f>
        <v>23121</v>
      </c>
      <c r="J82" s="154">
        <f>[23]Financials!BO$150</f>
        <v>22059</v>
      </c>
      <c r="K82" s="154">
        <f>[23]Financials!BT$150</f>
        <v>24946</v>
      </c>
      <c r="L82" s="154">
        <f>[23]Financials!BY$150</f>
        <v>30107</v>
      </c>
      <c r="M82" s="154">
        <f>[23]Financials!CD$150</f>
        <v>27820.317000000003</v>
      </c>
      <c r="N82" s="163">
        <f>[23]Financials!CI$150</f>
        <v>33482.883000000002</v>
      </c>
      <c r="O82" s="154">
        <f>[23]Financials!CK$150</f>
        <v>0</v>
      </c>
      <c r="P82" s="154">
        <f>[23]Financials!CL$150</f>
        <v>42767.869526667309</v>
      </c>
      <c r="Q82" s="154">
        <f>[23]Financials!CM$150</f>
        <v>37929.738935796777</v>
      </c>
      <c r="R82" s="154">
        <f>[23]Financials!CN$150</f>
        <v>31343.253604821017</v>
      </c>
      <c r="W82" s="210"/>
    </row>
    <row r="83" spans="1:23" s="154" customFormat="1">
      <c r="A83" s="146"/>
      <c r="B83" s="146" t="s">
        <v>524</v>
      </c>
      <c r="C83" s="146"/>
      <c r="D83" s="146"/>
      <c r="E83" s="146"/>
      <c r="F83" s="146"/>
      <c r="G83" s="146"/>
      <c r="H83" s="154">
        <f>'Balance Sheet and Cflow'!K46</f>
        <v>26953</v>
      </c>
      <c r="I83" s="154">
        <f>'Balance Sheet and Cflow'!L46</f>
        <v>14671</v>
      </c>
      <c r="J83" s="154">
        <f>'Balance Sheet and Cflow'!M46</f>
        <v>14751</v>
      </c>
      <c r="K83" s="154">
        <f>'Balance Sheet and Cflow'!N46</f>
        <v>12563.566999999999</v>
      </c>
      <c r="L83" s="154">
        <f>'Balance Sheet and Cflow'!O46</f>
        <v>12809.330999999998</v>
      </c>
      <c r="M83" s="154">
        <f>'Balance Sheet and Cflow'!P46</f>
        <v>9348.3339999999989</v>
      </c>
      <c r="N83" s="163">
        <f>'Balance Sheet and Cflow'!Q46</f>
        <v>10272.231</v>
      </c>
      <c r="O83" s="154">
        <f>'Balance Sheet and Cflow'!R46</f>
        <v>12109.914999999999</v>
      </c>
      <c r="P83" s="154">
        <f>'Balance Sheet and Cflow'!S46</f>
        <v>10104.588</v>
      </c>
      <c r="Q83" s="154">
        <f>'Balance Sheet and Cflow'!T46</f>
        <v>12493.376</v>
      </c>
      <c r="R83" s="154">
        <f>'Balance Sheet and Cflow'!V46</f>
        <v>35294.720518528193</v>
      </c>
      <c r="W83" s="210"/>
    </row>
    <row r="84" spans="1:23" s="154" customFormat="1">
      <c r="A84" s="146"/>
      <c r="B84" s="148" t="s">
        <v>597</v>
      </c>
      <c r="C84" s="149"/>
      <c r="D84" s="149"/>
      <c r="E84" s="149"/>
      <c r="F84" s="149"/>
      <c r="G84" s="149"/>
      <c r="H84" s="159">
        <f>SUM(H81:H83)</f>
        <v>87738</v>
      </c>
      <c r="I84" s="159">
        <f t="shared" ref="I84:R84" si="34">SUM(I81:I83)</f>
        <v>69591</v>
      </c>
      <c r="J84" s="159">
        <f t="shared" si="34"/>
        <v>72282</v>
      </c>
      <c r="K84" s="159">
        <f t="shared" si="34"/>
        <v>81596.566999999995</v>
      </c>
      <c r="L84" s="159">
        <f t="shared" si="34"/>
        <v>95000.331000000006</v>
      </c>
      <c r="M84" s="159">
        <f t="shared" si="34"/>
        <v>102630.65100000001</v>
      </c>
      <c r="N84" s="193">
        <f t="shared" si="34"/>
        <v>112833.114</v>
      </c>
      <c r="O84" s="159">
        <f t="shared" si="34"/>
        <v>65905.633051954064</v>
      </c>
      <c r="P84" s="159">
        <f t="shared" si="34"/>
        <v>95608.488782212968</v>
      </c>
      <c r="Q84" s="159">
        <f t="shared" si="34"/>
        <v>82033.195965805135</v>
      </c>
      <c r="R84" s="159">
        <f t="shared" si="34"/>
        <v>84782.319957765867</v>
      </c>
      <c r="W84" s="210"/>
    </row>
    <row r="85" spans="1:23" s="154" customFormat="1">
      <c r="A85" s="146"/>
      <c r="B85" s="146"/>
      <c r="C85" s="146"/>
      <c r="D85" s="146"/>
      <c r="E85" s="146"/>
      <c r="F85" s="146"/>
      <c r="G85" s="146"/>
      <c r="N85" s="163"/>
      <c r="W85" s="210"/>
    </row>
    <row r="86" spans="1:23" s="154" customFormat="1">
      <c r="A86" s="146"/>
      <c r="B86" s="147" t="s">
        <v>609</v>
      </c>
      <c r="C86" s="146"/>
      <c r="D86" s="146"/>
      <c r="E86" s="146"/>
      <c r="F86" s="146"/>
      <c r="G86" s="146"/>
      <c r="N86" s="163"/>
      <c r="W86" s="210"/>
    </row>
    <row r="87" spans="1:23" s="154" customFormat="1">
      <c r="A87" s="146"/>
      <c r="B87" s="146" t="s">
        <v>523</v>
      </c>
      <c r="C87" s="146"/>
      <c r="D87" s="146"/>
      <c r="E87" s="146"/>
      <c r="F87" s="146"/>
      <c r="G87" s="146"/>
      <c r="H87" s="154">
        <f>'[22]Balance sheet and cash-flow'!L$47</f>
        <v>93428</v>
      </c>
      <c r="I87" s="154">
        <f>'[22]Balance sheet and cash-flow'!M$47</f>
        <v>105544</v>
      </c>
      <c r="J87" s="154">
        <f>'[22]Balance sheet and cash-flow'!N$47</f>
        <v>112130</v>
      </c>
      <c r="K87" s="154">
        <f>'[22]Balance sheet and cash-flow'!O$47</f>
        <v>117303</v>
      </c>
      <c r="L87" s="154">
        <f>'[22]Balance sheet and cash-flow'!P$47</f>
        <v>117250</v>
      </c>
      <c r="M87" s="154">
        <f>'[22]Balance sheet and cash-flow'!Q$47</f>
        <v>120889</v>
      </c>
      <c r="N87" s="163">
        <f>'[22]Balance sheet and cash-flow'!R$47</f>
        <v>145399</v>
      </c>
      <c r="O87" s="154">
        <f>'[22]Balance sheet and cash-flow'!S$47</f>
        <v>158346.5147597098</v>
      </c>
      <c r="P87" s="154">
        <f>'[22]Balance sheet and cash-flow'!T$47</f>
        <v>167698.35897989472</v>
      </c>
      <c r="Q87" s="154">
        <f>'[22]Balance sheet and cash-flow'!U$47</f>
        <v>177684.60096431631</v>
      </c>
      <c r="R87" s="154">
        <f>'[22]Balance sheet and cash-flow'!V$47</f>
        <v>188550.72009347548</v>
      </c>
      <c r="W87" s="210"/>
    </row>
    <row r="88" spans="1:23" s="154" customFormat="1">
      <c r="A88" s="146"/>
      <c r="B88" s="146" t="s">
        <v>511</v>
      </c>
      <c r="C88" s="146"/>
      <c r="D88" s="146"/>
      <c r="E88" s="146"/>
      <c r="F88" s="146"/>
      <c r="G88" s="146"/>
      <c r="H88" s="154">
        <f>[23]Financials!BE$151</f>
        <v>13264</v>
      </c>
      <c r="I88" s="154">
        <f>[23]Financials!BJ$151</f>
        <v>14177</v>
      </c>
      <c r="J88" s="154">
        <f>[23]Financials!BO$151</f>
        <v>14816</v>
      </c>
      <c r="K88" s="154">
        <f>[23]Financials!BT$151</f>
        <v>12137</v>
      </c>
      <c r="L88" s="154">
        <f>[23]Financials!BY$151</f>
        <v>13708</v>
      </c>
      <c r="M88" s="154">
        <f>[23]Financials!CD$151</f>
        <v>12913.395999999993</v>
      </c>
      <c r="N88" s="163">
        <f>[23]Financials!CI$151</f>
        <v>10302.802</v>
      </c>
      <c r="O88" s="154">
        <f>[23]Financials!CK$151</f>
        <v>0</v>
      </c>
      <c r="P88" s="154">
        <f>[23]Financials!CL$151</f>
        <v>12762.432522545649</v>
      </c>
      <c r="Q88" s="154">
        <f>[23]Financials!CM$151</f>
        <v>16817.839409258057</v>
      </c>
      <c r="R88" s="154">
        <f>[23]Financials!CN$151</f>
        <v>23453.269671103379</v>
      </c>
      <c r="W88" s="210"/>
    </row>
    <row r="89" spans="1:23" s="154" customFormat="1">
      <c r="A89" s="146"/>
      <c r="B89" s="146" t="s">
        <v>524</v>
      </c>
      <c r="C89" s="146"/>
      <c r="D89" s="146"/>
      <c r="E89" s="146"/>
      <c r="F89" s="146"/>
      <c r="G89" s="146"/>
      <c r="H89" s="154" t="e">
        <f>'Balance Sheet and Cflow'!#REF!</f>
        <v>#REF!</v>
      </c>
      <c r="I89" s="154" t="e">
        <f>'Balance Sheet and Cflow'!#REF!</f>
        <v>#REF!</v>
      </c>
      <c r="J89" s="154" t="e">
        <f>'Balance Sheet and Cflow'!#REF!</f>
        <v>#REF!</v>
      </c>
      <c r="K89" s="154" t="e">
        <f>'Balance Sheet and Cflow'!#REF!</f>
        <v>#REF!</v>
      </c>
      <c r="L89" s="154" t="e">
        <f>'Balance Sheet and Cflow'!#REF!</f>
        <v>#REF!</v>
      </c>
      <c r="M89" s="154" t="e">
        <f>'Balance Sheet and Cflow'!#REF!</f>
        <v>#REF!</v>
      </c>
      <c r="N89" s="163" t="e">
        <f>'Balance Sheet and Cflow'!#REF!</f>
        <v>#REF!</v>
      </c>
      <c r="O89" s="154" t="e">
        <f>'Balance Sheet and Cflow'!#REF!</f>
        <v>#REF!</v>
      </c>
      <c r="P89" s="154" t="e">
        <f>'Balance Sheet and Cflow'!#REF!</f>
        <v>#REF!</v>
      </c>
      <c r="Q89" s="154" t="e">
        <f>'Balance Sheet and Cflow'!#REF!</f>
        <v>#REF!</v>
      </c>
      <c r="R89" s="154" t="e">
        <f>'Balance Sheet and Cflow'!#REF!</f>
        <v>#REF!</v>
      </c>
      <c r="W89" s="210"/>
    </row>
    <row r="90" spans="1:23" s="154" customFormat="1">
      <c r="A90" s="146"/>
      <c r="B90" s="148" t="s">
        <v>597</v>
      </c>
      <c r="C90" s="149"/>
      <c r="D90" s="149"/>
      <c r="E90" s="149"/>
      <c r="F90" s="149"/>
      <c r="G90" s="149"/>
      <c r="H90" s="159" t="e">
        <f>SUM(H87:H89)</f>
        <v>#REF!</v>
      </c>
      <c r="I90" s="159" t="e">
        <f t="shared" ref="I90:R90" si="35">SUM(I87:I89)</f>
        <v>#REF!</v>
      </c>
      <c r="J90" s="159" t="e">
        <f t="shared" si="35"/>
        <v>#REF!</v>
      </c>
      <c r="K90" s="159" t="e">
        <f t="shared" si="35"/>
        <v>#REF!</v>
      </c>
      <c r="L90" s="159" t="e">
        <f t="shared" si="35"/>
        <v>#REF!</v>
      </c>
      <c r="M90" s="159" t="e">
        <f t="shared" si="35"/>
        <v>#REF!</v>
      </c>
      <c r="N90" s="193" t="e">
        <f t="shared" si="35"/>
        <v>#REF!</v>
      </c>
      <c r="O90" s="159" t="e">
        <f t="shared" si="35"/>
        <v>#REF!</v>
      </c>
      <c r="P90" s="159" t="e">
        <f t="shared" si="35"/>
        <v>#REF!</v>
      </c>
      <c r="Q90" s="159" t="e">
        <f t="shared" si="35"/>
        <v>#REF!</v>
      </c>
      <c r="R90" s="159" t="e">
        <f t="shared" si="35"/>
        <v>#REF!</v>
      </c>
      <c r="W90" s="210"/>
    </row>
    <row r="92" spans="1:23">
      <c r="B92" s="147" t="s">
        <v>410</v>
      </c>
    </row>
    <row r="93" spans="1:23">
      <c r="B93" s="146" t="s">
        <v>523</v>
      </c>
      <c r="H93" s="156">
        <f>H81/H87</f>
        <v>0.37046709765808966</v>
      </c>
      <c r="I93" s="189">
        <f t="shared" ref="I93:Q93" si="36">I81/I87</f>
        <v>0.30128666717198516</v>
      </c>
      <c r="J93" s="189">
        <f t="shared" si="36"/>
        <v>0.31634709711941494</v>
      </c>
      <c r="K93" s="189">
        <f t="shared" si="36"/>
        <v>0.37583864010298118</v>
      </c>
      <c r="L93" s="189">
        <f t="shared" si="36"/>
        <v>0.44421321961620469</v>
      </c>
      <c r="M93" s="189">
        <f t="shared" si="36"/>
        <v>0.54150501699906528</v>
      </c>
      <c r="N93" s="190">
        <f t="shared" si="36"/>
        <v>0.47509267601565347</v>
      </c>
      <c r="O93" s="189">
        <f t="shared" si="36"/>
        <v>0.33973414655566531</v>
      </c>
      <c r="P93" s="189">
        <f t="shared" si="36"/>
        <v>0.25483869678575238</v>
      </c>
      <c r="Q93" s="189">
        <f t="shared" si="36"/>
        <v>0.17789994663834982</v>
      </c>
      <c r="R93" s="189">
        <f t="shared" ref="R93" si="37">R81/R87</f>
        <v>9.6230583608598527E-2</v>
      </c>
    </row>
    <row r="94" spans="1:23">
      <c r="B94" s="146" t="s">
        <v>511</v>
      </c>
      <c r="H94" s="156">
        <f t="shared" ref="H94:Q96" si="38">H82/H88</f>
        <v>1.9732358262967431</v>
      </c>
      <c r="I94" s="189">
        <f t="shared" si="38"/>
        <v>1.6308810044438176</v>
      </c>
      <c r="J94" s="189">
        <f t="shared" si="38"/>
        <v>1.4888633909287257</v>
      </c>
      <c r="K94" s="189">
        <f t="shared" si="38"/>
        <v>2.05536788333196</v>
      </c>
      <c r="L94" s="189">
        <f t="shared" si="38"/>
        <v>2.1963087248322148</v>
      </c>
      <c r="M94" s="189">
        <f t="shared" si="38"/>
        <v>2.1543765094789951</v>
      </c>
      <c r="N94" s="190">
        <f t="shared" si="38"/>
        <v>3.2498812458979609</v>
      </c>
      <c r="O94" s="189" t="e">
        <f t="shared" si="38"/>
        <v>#DIV/0!</v>
      </c>
      <c r="P94" s="189">
        <f t="shared" si="38"/>
        <v>3.3510750753130445</v>
      </c>
      <c r="Q94" s="189">
        <f t="shared" si="38"/>
        <v>2.2553276917911838</v>
      </c>
      <c r="R94" s="189">
        <f t="shared" ref="R94" si="39">R82/R88</f>
        <v>1.3364129626428523</v>
      </c>
    </row>
    <row r="95" spans="1:23">
      <c r="B95" s="146" t="s">
        <v>524</v>
      </c>
      <c r="H95" s="156" t="e">
        <f t="shared" si="38"/>
        <v>#REF!</v>
      </c>
      <c r="I95" s="189" t="e">
        <f t="shared" si="38"/>
        <v>#REF!</v>
      </c>
      <c r="J95" s="189" t="e">
        <f t="shared" si="38"/>
        <v>#REF!</v>
      </c>
      <c r="K95" s="189" t="e">
        <f t="shared" si="38"/>
        <v>#REF!</v>
      </c>
      <c r="L95" s="189" t="e">
        <f t="shared" si="38"/>
        <v>#REF!</v>
      </c>
      <c r="M95" s="189" t="e">
        <f t="shared" si="38"/>
        <v>#REF!</v>
      </c>
      <c r="N95" s="190" t="e">
        <f t="shared" si="38"/>
        <v>#REF!</v>
      </c>
      <c r="O95" s="189" t="e">
        <f t="shared" si="38"/>
        <v>#REF!</v>
      </c>
      <c r="P95" s="189" t="e">
        <f t="shared" si="38"/>
        <v>#REF!</v>
      </c>
      <c r="Q95" s="189" t="e">
        <f t="shared" si="38"/>
        <v>#REF!</v>
      </c>
      <c r="R95" s="189" t="e">
        <f t="shared" ref="R95" si="40">R83/R89</f>
        <v>#REF!</v>
      </c>
    </row>
    <row r="96" spans="1:23">
      <c r="B96" s="148" t="s">
        <v>597</v>
      </c>
      <c r="C96" s="149"/>
      <c r="D96" s="149"/>
      <c r="E96" s="149"/>
      <c r="F96" s="149"/>
      <c r="G96" s="149"/>
      <c r="H96" s="161" t="e">
        <f t="shared" si="38"/>
        <v>#REF!</v>
      </c>
      <c r="I96" s="191" t="e">
        <f t="shared" si="38"/>
        <v>#REF!</v>
      </c>
      <c r="J96" s="191" t="e">
        <f t="shared" si="38"/>
        <v>#REF!</v>
      </c>
      <c r="K96" s="191" t="e">
        <f t="shared" si="38"/>
        <v>#REF!</v>
      </c>
      <c r="L96" s="191" t="e">
        <f t="shared" si="38"/>
        <v>#REF!</v>
      </c>
      <c r="M96" s="191" t="e">
        <f t="shared" si="38"/>
        <v>#REF!</v>
      </c>
      <c r="N96" s="192" t="e">
        <f t="shared" si="38"/>
        <v>#REF!</v>
      </c>
      <c r="O96" s="191" t="e">
        <f t="shared" si="38"/>
        <v>#REF!</v>
      </c>
      <c r="P96" s="191" t="e">
        <f t="shared" si="38"/>
        <v>#REF!</v>
      </c>
      <c r="Q96" s="191" t="e">
        <f t="shared" si="38"/>
        <v>#REF!</v>
      </c>
      <c r="R96" s="191" t="e">
        <f t="shared" ref="R96" si="41">R84/R90</f>
        <v>#REF!</v>
      </c>
    </row>
    <row r="114" spans="1:23" s="308" customFormat="1">
      <c r="A114" s="181" t="s">
        <v>615</v>
      </c>
      <c r="B114" s="305" t="s">
        <v>616</v>
      </c>
      <c r="C114" s="305"/>
      <c r="D114" s="305"/>
      <c r="E114" s="305"/>
      <c r="F114" s="305"/>
      <c r="G114" s="305"/>
      <c r="H114" s="305"/>
      <c r="I114" s="305"/>
      <c r="J114" s="305"/>
      <c r="K114" s="305"/>
      <c r="L114" s="305"/>
      <c r="M114" s="305"/>
      <c r="N114" s="306"/>
      <c r="O114" s="307"/>
      <c r="P114" s="307"/>
      <c r="Q114" s="307"/>
      <c r="R114" s="307"/>
      <c r="T114" s="305"/>
      <c r="U114" s="305"/>
      <c r="W114" s="309"/>
    </row>
    <row r="116" spans="1:23">
      <c r="C116" s="146" t="s">
        <v>617</v>
      </c>
    </row>
    <row r="117" spans="1:23">
      <c r="C117" s="146" t="s">
        <v>618</v>
      </c>
      <c r="W117" s="209" t="s">
        <v>620</v>
      </c>
    </row>
    <row r="118" spans="1:23">
      <c r="C118" s="146" t="s">
        <v>619</v>
      </c>
    </row>
    <row r="120" spans="1:23">
      <c r="C120" s="146" t="s">
        <v>629</v>
      </c>
    </row>
    <row r="121" spans="1:23">
      <c r="C121" s="146" t="s">
        <v>630</v>
      </c>
    </row>
    <row r="124" spans="1:23">
      <c r="B124" s="151" t="s">
        <v>641</v>
      </c>
      <c r="C124" s="223"/>
    </row>
    <row r="125" spans="1:23">
      <c r="B125" s="146" t="s">
        <v>623</v>
      </c>
      <c r="C125" s="211">
        <f>'Income Statement'!BV12</f>
        <v>3174</v>
      </c>
      <c r="D125" s="211"/>
      <c r="E125" s="211"/>
      <c r="F125" s="211"/>
      <c r="G125" s="211"/>
      <c r="H125" s="211"/>
      <c r="I125" s="211"/>
      <c r="J125" s="211"/>
      <c r="K125" s="211"/>
      <c r="L125" s="211"/>
      <c r="M125" s="211"/>
      <c r="N125" s="212"/>
      <c r="O125" s="211"/>
      <c r="P125" s="211"/>
      <c r="Q125" s="211"/>
      <c r="R125" s="211"/>
      <c r="W125" s="209" t="s">
        <v>624</v>
      </c>
    </row>
    <row r="126" spans="1:23">
      <c r="B126" s="146" t="s">
        <v>625</v>
      </c>
      <c r="C126" s="211">
        <f>C125*4</f>
        <v>12696</v>
      </c>
      <c r="D126" s="211"/>
      <c r="E126" s="211"/>
      <c r="F126" s="211"/>
      <c r="G126" s="211"/>
      <c r="H126" s="211"/>
      <c r="I126" s="211"/>
      <c r="J126" s="211"/>
      <c r="K126" s="211"/>
      <c r="L126" s="211"/>
      <c r="M126" s="211"/>
      <c r="N126" s="212"/>
      <c r="O126" s="211"/>
      <c r="P126" s="211"/>
      <c r="Q126" s="211"/>
      <c r="R126" s="211"/>
    </row>
    <row r="127" spans="1:23">
      <c r="B127" s="215" t="s">
        <v>626</v>
      </c>
      <c r="C127" s="216">
        <f>'Income Statement'!BZ12</f>
        <v>14235</v>
      </c>
      <c r="D127" s="156"/>
      <c r="E127" s="211"/>
      <c r="F127" s="211"/>
      <c r="G127" s="211"/>
      <c r="H127" s="211"/>
      <c r="I127" s="211"/>
      <c r="J127" s="211"/>
      <c r="K127" s="211"/>
      <c r="L127" s="211"/>
      <c r="M127" s="211"/>
      <c r="N127" s="212"/>
      <c r="O127" s="211"/>
      <c r="P127" s="211"/>
      <c r="Q127" s="211"/>
      <c r="R127" s="211"/>
    </row>
    <row r="128" spans="1:23">
      <c r="C128" s="211"/>
      <c r="D128" s="211"/>
      <c r="E128" s="211"/>
      <c r="F128" s="211"/>
      <c r="G128" s="211"/>
      <c r="H128" s="211"/>
      <c r="I128" s="211"/>
      <c r="J128" s="211"/>
      <c r="K128" s="211"/>
      <c r="L128" s="211"/>
      <c r="M128" s="211"/>
      <c r="N128" s="212"/>
      <c r="O128" s="211"/>
      <c r="P128" s="211"/>
      <c r="Q128" s="211"/>
      <c r="R128" s="211"/>
    </row>
    <row r="129" spans="2:23">
      <c r="B129" s="146" t="s">
        <v>626</v>
      </c>
      <c r="C129" s="211">
        <f>C127</f>
        <v>14235</v>
      </c>
      <c r="D129" s="211"/>
      <c r="E129" s="211"/>
      <c r="F129" s="211"/>
      <c r="G129" s="211"/>
      <c r="H129" s="211"/>
      <c r="I129" s="211"/>
      <c r="J129" s="211"/>
      <c r="K129" s="211"/>
      <c r="L129" s="211"/>
      <c r="M129" s="211"/>
      <c r="N129" s="212"/>
      <c r="O129" s="211"/>
      <c r="P129" s="211" t="s">
        <v>636</v>
      </c>
      <c r="Q129" s="211"/>
      <c r="R129" s="211"/>
    </row>
    <row r="130" spans="2:23">
      <c r="B130" s="146" t="s">
        <v>621</v>
      </c>
      <c r="C130" s="211">
        <f>-'Balance Sheet and Cflow'!R73</f>
        <v>-9063</v>
      </c>
      <c r="D130" s="211"/>
      <c r="E130" s="211"/>
      <c r="F130" s="211"/>
      <c r="G130" s="211"/>
      <c r="H130" s="211"/>
      <c r="I130" s="211"/>
      <c r="J130" s="211"/>
      <c r="K130" s="211"/>
      <c r="L130" s="211"/>
      <c r="M130" s="211"/>
      <c r="N130" s="212"/>
      <c r="O130" s="211"/>
      <c r="P130" s="211"/>
      <c r="Q130" s="211"/>
      <c r="R130" s="211"/>
      <c r="W130" s="209" t="s">
        <v>627</v>
      </c>
    </row>
    <row r="131" spans="2:23">
      <c r="B131" s="146" t="s">
        <v>622</v>
      </c>
      <c r="C131" s="211">
        <f>'Balance Sheet and Cflow'!R193</f>
        <v>-2664.9569999999999</v>
      </c>
      <c r="D131" s="211"/>
      <c r="E131" s="211"/>
      <c r="F131" s="211"/>
      <c r="G131" s="211"/>
      <c r="H131" s="211"/>
      <c r="I131" s="211"/>
      <c r="J131" s="211"/>
      <c r="K131" s="211"/>
      <c r="L131" s="211"/>
      <c r="M131" s="211"/>
      <c r="N131" s="212"/>
      <c r="O131" s="211"/>
      <c r="P131" s="211"/>
      <c r="Q131" s="211"/>
      <c r="R131" s="211"/>
      <c r="W131" s="209" t="s">
        <v>628</v>
      </c>
    </row>
    <row r="132" spans="2:23">
      <c r="B132" s="146" t="s">
        <v>637</v>
      </c>
      <c r="C132" s="211">
        <f>'Balance Sheet and Cflow'!R62</f>
        <v>323.43300000000085</v>
      </c>
      <c r="D132" s="211"/>
      <c r="E132" s="211"/>
      <c r="F132" s="211"/>
      <c r="G132" s="211"/>
      <c r="H132" s="211"/>
      <c r="I132" s="211"/>
      <c r="J132" s="211"/>
      <c r="K132" s="211"/>
      <c r="L132" s="211"/>
      <c r="M132" s="211"/>
      <c r="N132" s="212"/>
      <c r="O132" s="211"/>
      <c r="P132" s="211"/>
      <c r="Q132" s="211"/>
      <c r="R132" s="211"/>
    </row>
    <row r="133" spans="2:23">
      <c r="B133" s="146" t="s">
        <v>559</v>
      </c>
      <c r="C133" s="211"/>
      <c r="D133" s="211"/>
      <c r="E133" s="211"/>
      <c r="F133" s="211"/>
      <c r="G133" s="211"/>
      <c r="H133" s="211"/>
      <c r="I133" s="211"/>
      <c r="J133" s="211"/>
      <c r="K133" s="211"/>
      <c r="L133" s="211"/>
      <c r="M133" s="211"/>
      <c r="N133" s="212"/>
      <c r="O133" s="211"/>
      <c r="P133" s="211"/>
      <c r="Q133" s="211"/>
      <c r="R133" s="211"/>
    </row>
    <row r="134" spans="2:23">
      <c r="B134" s="147" t="s">
        <v>373</v>
      </c>
      <c r="C134" s="213">
        <f>SUM(C129:C133)</f>
        <v>2830.476000000001</v>
      </c>
      <c r="D134" s="211"/>
      <c r="E134" s="211"/>
      <c r="F134" s="211"/>
      <c r="G134" s="211"/>
      <c r="H134" s="211"/>
      <c r="I134" s="211"/>
      <c r="J134" s="211"/>
      <c r="K134" s="211"/>
      <c r="L134" s="211"/>
      <c r="M134" s="211"/>
      <c r="N134" s="212"/>
      <c r="O134" s="211"/>
      <c r="P134" s="211"/>
      <c r="Q134" s="211"/>
      <c r="R134" s="211"/>
      <c r="W134" s="209" t="s">
        <v>642</v>
      </c>
    </row>
    <row r="135" spans="2:23">
      <c r="C135" s="211"/>
      <c r="D135" s="211"/>
      <c r="E135" s="211"/>
      <c r="F135" s="211"/>
      <c r="G135" s="211"/>
      <c r="H135" s="211"/>
      <c r="I135" s="211"/>
      <c r="J135" s="211"/>
      <c r="K135" s="211"/>
      <c r="L135" s="211"/>
      <c r="M135" s="211"/>
      <c r="N135" s="212"/>
      <c r="O135" s="211"/>
      <c r="P135" s="211"/>
      <c r="Q135" s="211"/>
      <c r="R135" s="211"/>
    </row>
    <row r="136" spans="2:23">
      <c r="B136" s="147"/>
    </row>
    <row r="137" spans="2:23">
      <c r="B137" s="146" t="s">
        <v>633</v>
      </c>
      <c r="C137" s="154">
        <f>O35</f>
        <v>3273.0208000000002</v>
      </c>
    </row>
    <row r="138" spans="2:23">
      <c r="B138" s="146" t="s">
        <v>406</v>
      </c>
      <c r="C138" s="170">
        <f>$C$12</f>
        <v>0.25</v>
      </c>
    </row>
    <row r="139" spans="2:23">
      <c r="B139" s="146" t="s">
        <v>631</v>
      </c>
      <c r="C139" s="214">
        <f>C137*(1-C138)</f>
        <v>2454.7656000000002</v>
      </c>
    </row>
    <row r="140" spans="2:23">
      <c r="B140" s="146" t="s">
        <v>632</v>
      </c>
      <c r="C140" s="154">
        <f>O57</f>
        <v>39927</v>
      </c>
    </row>
    <row r="142" spans="2:23">
      <c r="B142" s="249" t="s">
        <v>613</v>
      </c>
      <c r="C142" s="222"/>
      <c r="D142" s="222"/>
      <c r="E142" s="222"/>
      <c r="F142" s="222"/>
      <c r="G142" s="222"/>
      <c r="H142" s="222"/>
      <c r="I142" s="222"/>
      <c r="J142" s="222"/>
      <c r="K142" s="222"/>
      <c r="L142" s="222"/>
      <c r="M142" s="222"/>
      <c r="N142" s="250"/>
      <c r="O142" s="222"/>
      <c r="P142" s="222"/>
      <c r="Q142" s="222"/>
      <c r="R142" s="222"/>
    </row>
    <row r="143" spans="2:23">
      <c r="B143" s="146" t="s">
        <v>406</v>
      </c>
      <c r="C143" s="224">
        <f>$C$12</f>
        <v>0.25</v>
      </c>
    </row>
    <row r="144" spans="2:23">
      <c r="B144" s="146" t="s">
        <v>634</v>
      </c>
      <c r="C144" s="228">
        <v>0.125</v>
      </c>
      <c r="D144" s="146" t="s">
        <v>635</v>
      </c>
    </row>
    <row r="145" spans="2:18">
      <c r="B145" s="146" t="s">
        <v>643</v>
      </c>
      <c r="C145" s="225">
        <f>DCF!$B$46</f>
        <v>0.106223</v>
      </c>
    </row>
    <row r="146" spans="2:18">
      <c r="B146" s="146" t="s">
        <v>644</v>
      </c>
      <c r="C146" s="225">
        <f>DCF!$B$46</f>
        <v>0.106223</v>
      </c>
    </row>
    <row r="147" spans="2:18">
      <c r="C147" s="175"/>
    </row>
    <row r="148" spans="2:18">
      <c r="B148" s="249" t="s">
        <v>645</v>
      </c>
      <c r="C148" s="222"/>
      <c r="D148" s="222"/>
      <c r="E148" s="222"/>
      <c r="F148" s="222"/>
      <c r="G148" s="222"/>
      <c r="H148" s="222"/>
      <c r="I148" s="222"/>
      <c r="J148" s="222"/>
      <c r="K148" s="222"/>
      <c r="L148" s="222"/>
      <c r="M148" s="222"/>
      <c r="N148" s="250"/>
      <c r="O148" s="222"/>
      <c r="P148" s="222"/>
      <c r="Q148" s="222"/>
      <c r="R148" s="222"/>
    </row>
    <row r="149" spans="2:18">
      <c r="C149" s="170"/>
    </row>
    <row r="150" spans="2:18">
      <c r="B150" s="147" t="s">
        <v>683</v>
      </c>
    </row>
    <row r="151" spans="2:18">
      <c r="B151" s="232" t="s">
        <v>591</v>
      </c>
      <c r="C151" s="230" t="s">
        <v>646</v>
      </c>
      <c r="D151" s="230" t="s">
        <v>647</v>
      </c>
      <c r="E151" s="229"/>
      <c r="F151" s="233"/>
    </row>
    <row r="152" spans="2:18">
      <c r="B152" s="204" t="s">
        <v>77</v>
      </c>
      <c r="C152" s="154">
        <f>N35</f>
        <v>2948.22235</v>
      </c>
      <c r="F152" s="162"/>
    </row>
    <row r="153" spans="2:18">
      <c r="B153" s="204" t="s">
        <v>631</v>
      </c>
      <c r="C153" s="154">
        <f>C152*(1-$C$143)</f>
        <v>2211.1667625</v>
      </c>
      <c r="F153" s="162"/>
    </row>
    <row r="154" spans="2:18">
      <c r="B154" s="204" t="s">
        <v>648</v>
      </c>
      <c r="C154" s="154">
        <f>N57</f>
        <v>37561</v>
      </c>
      <c r="D154" s="154">
        <f>O57</f>
        <v>39927</v>
      </c>
      <c r="E154" s="234" t="s">
        <v>650</v>
      </c>
      <c r="F154" s="162"/>
    </row>
    <row r="155" spans="2:18">
      <c r="B155" s="204"/>
      <c r="E155" s="234"/>
      <c r="F155" s="162"/>
    </row>
    <row r="156" spans="2:18">
      <c r="B156" s="242" t="s">
        <v>227</v>
      </c>
      <c r="C156" s="246">
        <f>C153/C154</f>
        <v>5.8868687268709564E-2</v>
      </c>
      <c r="D156" s="243">
        <f>$C$145</f>
        <v>0.106223</v>
      </c>
      <c r="E156" s="244" t="s">
        <v>652</v>
      </c>
      <c r="F156" s="245"/>
    </row>
    <row r="157" spans="2:18">
      <c r="B157" s="235"/>
      <c r="C157" s="236"/>
      <c r="D157" s="147"/>
      <c r="E157" s="234"/>
      <c r="F157" s="162"/>
    </row>
    <row r="158" spans="2:18">
      <c r="B158" s="235" t="s">
        <v>649</v>
      </c>
      <c r="C158" s="236"/>
      <c r="D158" s="154">
        <f>(D156*D154)/(1-$C$143)</f>
        <v>5654.8876280000004</v>
      </c>
      <c r="E158" s="234"/>
      <c r="F158" s="162"/>
    </row>
    <row r="159" spans="2:18">
      <c r="B159" s="235" t="s">
        <v>583</v>
      </c>
      <c r="C159" s="237"/>
      <c r="D159" s="256">
        <f>$C$144</f>
        <v>0.125</v>
      </c>
      <c r="E159" s="234" t="s">
        <v>656</v>
      </c>
      <c r="F159" s="162"/>
    </row>
    <row r="160" spans="2:18">
      <c r="B160" s="204"/>
      <c r="E160" s="234" t="s">
        <v>655</v>
      </c>
      <c r="F160" s="162"/>
    </row>
    <row r="161" spans="2:10">
      <c r="B161" s="235" t="s">
        <v>663</v>
      </c>
      <c r="C161" s="226" t="e">
        <f>'Income Statement'!#REF!</f>
        <v>#REF!</v>
      </c>
      <c r="D161" s="226">
        <f>D158/D159</f>
        <v>45239.101024000003</v>
      </c>
      <c r="E161" s="234"/>
      <c r="F161" s="162"/>
    </row>
    <row r="162" spans="2:10">
      <c r="B162" s="238" t="s">
        <v>651</v>
      </c>
      <c r="D162" s="239" t="e">
        <f>D161/C161-1</f>
        <v>#REF!</v>
      </c>
      <c r="E162" s="234"/>
      <c r="F162" s="162"/>
    </row>
    <row r="163" spans="2:10">
      <c r="B163" s="204"/>
      <c r="D163" s="154"/>
      <c r="E163" s="234"/>
      <c r="F163" s="162"/>
    </row>
    <row r="164" spans="2:10">
      <c r="B164" s="235" t="s">
        <v>659</v>
      </c>
      <c r="C164" s="226">
        <f>'Income Statement'!$BU$200</f>
        <v>24806.534</v>
      </c>
      <c r="D164" s="226" t="e">
        <f>D165*D161</f>
        <v>#REF!</v>
      </c>
      <c r="E164" s="234" t="e">
        <f>D173*D169*12/10^6</f>
        <v>#REF!</v>
      </c>
      <c r="F164" s="162"/>
    </row>
    <row r="165" spans="2:10">
      <c r="B165" s="238" t="s">
        <v>660</v>
      </c>
      <c r="C165" s="157" t="e">
        <f>$C$164/$C$161</f>
        <v>#REF!</v>
      </c>
      <c r="D165" s="225" t="e">
        <f>C165</f>
        <v>#REF!</v>
      </c>
      <c r="E165" s="234" t="s">
        <v>661</v>
      </c>
      <c r="F165" s="162"/>
    </row>
    <row r="166" spans="2:10">
      <c r="B166" s="238" t="s">
        <v>651</v>
      </c>
      <c r="D166" s="257" t="e">
        <f>D164/C164-1</f>
        <v>#REF!</v>
      </c>
      <c r="E166" s="234"/>
      <c r="F166" s="162"/>
      <c r="J166" s="189"/>
    </row>
    <row r="167" spans="2:10">
      <c r="B167" s="238"/>
      <c r="E167" s="234"/>
      <c r="F167" s="162"/>
      <c r="J167" s="189"/>
    </row>
    <row r="168" spans="2:10">
      <c r="B168" s="235" t="s">
        <v>662</v>
      </c>
      <c r="E168" s="234"/>
      <c r="F168" s="162"/>
    </row>
    <row r="169" spans="2:10">
      <c r="B169" s="235" t="s">
        <v>653</v>
      </c>
      <c r="C169" s="226">
        <f>'Income Statement'!$BU$53</f>
        <v>57910</v>
      </c>
      <c r="D169" s="254">
        <f>'Income Statement'!$BZ$53</f>
        <v>57500</v>
      </c>
      <c r="E169" s="234" t="s">
        <v>657</v>
      </c>
      <c r="F169" s="162"/>
    </row>
    <row r="170" spans="2:10">
      <c r="B170" s="204" t="s">
        <v>21</v>
      </c>
      <c r="D170" s="154">
        <f>D169-C169</f>
        <v>-410</v>
      </c>
      <c r="E170" s="234"/>
      <c r="F170" s="162"/>
    </row>
    <row r="171" spans="2:10">
      <c r="B171" s="238" t="s">
        <v>651</v>
      </c>
      <c r="D171" s="255">
        <f>D169/C169-1</f>
        <v>-7.0799516491106829E-3</v>
      </c>
      <c r="E171" s="234"/>
      <c r="F171" s="162"/>
    </row>
    <row r="172" spans="2:10">
      <c r="B172" s="204"/>
      <c r="E172" s="234"/>
      <c r="F172" s="162"/>
    </row>
    <row r="173" spans="2:10" ht="15" thickBot="1">
      <c r="B173" s="235" t="s">
        <v>517</v>
      </c>
      <c r="C173" s="226">
        <f>C164*10^6/C169/12</f>
        <v>35696.963679272434</v>
      </c>
      <c r="D173" s="226" t="e">
        <f>D164*10^6/D169/12</f>
        <v>#REF!</v>
      </c>
      <c r="E173" s="234"/>
      <c r="F173" s="162"/>
    </row>
    <row r="174" spans="2:10" ht="15" thickBot="1">
      <c r="B174" s="238" t="s">
        <v>651</v>
      </c>
      <c r="D174" s="231" t="e">
        <f>D173/C173-1</f>
        <v>#REF!</v>
      </c>
      <c r="E174" s="234"/>
      <c r="F174" s="162"/>
    </row>
    <row r="175" spans="2:10">
      <c r="B175" s="206"/>
      <c r="C175" s="150"/>
      <c r="D175" s="150"/>
      <c r="E175" s="240"/>
      <c r="F175" s="241"/>
    </row>
    <row r="176" spans="2:10">
      <c r="B176" s="147"/>
    </row>
    <row r="177" spans="2:6">
      <c r="B177" s="284" t="s">
        <v>591</v>
      </c>
      <c r="C177" s="275" t="s">
        <v>646</v>
      </c>
      <c r="D177" s="275" t="s">
        <v>647</v>
      </c>
      <c r="E177" s="276"/>
      <c r="F177" s="285"/>
    </row>
    <row r="178" spans="2:6">
      <c r="B178" s="235"/>
      <c r="F178" s="162"/>
    </row>
    <row r="179" spans="2:6" ht="15" thickBot="1">
      <c r="B179" s="235" t="s">
        <v>40</v>
      </c>
      <c r="C179" s="226">
        <f>C173</f>
        <v>35696.963679272434</v>
      </c>
      <c r="D179" s="226">
        <f>C179*(1+D180)</f>
        <v>39642.480905791352</v>
      </c>
      <c r="F179" s="162"/>
    </row>
    <row r="180" spans="2:6" ht="15" thickBot="1">
      <c r="B180" s="204" t="s">
        <v>682</v>
      </c>
      <c r="D180" s="252">
        <v>0.11052809034315429</v>
      </c>
      <c r="F180" s="162"/>
    </row>
    <row r="181" spans="2:6">
      <c r="B181" s="204"/>
      <c r="F181" s="162"/>
    </row>
    <row r="182" spans="2:6">
      <c r="B182" s="235" t="s">
        <v>653</v>
      </c>
      <c r="C182" s="154">
        <f>'Income Statement'!$BU$53</f>
        <v>57910</v>
      </c>
      <c r="D182" s="254">
        <f>'Income Statement'!$BZ$53</f>
        <v>57500</v>
      </c>
      <c r="E182" s="234" t="s">
        <v>657</v>
      </c>
      <c r="F182" s="162"/>
    </row>
    <row r="183" spans="2:6">
      <c r="B183" s="204" t="s">
        <v>21</v>
      </c>
      <c r="D183" s="154">
        <f>D182-C182</f>
        <v>-410</v>
      </c>
      <c r="F183" s="162"/>
    </row>
    <row r="184" spans="2:6">
      <c r="B184" s="238" t="s">
        <v>651</v>
      </c>
      <c r="D184" s="255">
        <f>D182/C182-1</f>
        <v>-7.0799516491106829E-3</v>
      </c>
      <c r="F184" s="162"/>
    </row>
    <row r="185" spans="2:6">
      <c r="B185" s="204"/>
      <c r="F185" s="162"/>
    </row>
    <row r="186" spans="2:6">
      <c r="B186" s="235" t="s">
        <v>659</v>
      </c>
      <c r="C186" s="226">
        <f>'Income Statement'!$BU$200</f>
        <v>24806.534</v>
      </c>
      <c r="D186" s="226">
        <f>D179*12*D182/10^6</f>
        <v>27353.311824996032</v>
      </c>
      <c r="F186" s="162"/>
    </row>
    <row r="187" spans="2:6">
      <c r="B187" s="238" t="s">
        <v>660</v>
      </c>
      <c r="C187" s="157" t="e">
        <f>C186/C190</f>
        <v>#REF!</v>
      </c>
      <c r="D187" s="277" t="e">
        <f>C187</f>
        <v>#REF!</v>
      </c>
      <c r="E187" s="234" t="s">
        <v>661</v>
      </c>
      <c r="F187" s="162"/>
    </row>
    <row r="188" spans="2:6">
      <c r="B188" s="238" t="s">
        <v>651</v>
      </c>
      <c r="F188" s="162"/>
    </row>
    <row r="189" spans="2:6">
      <c r="B189" s="204"/>
      <c r="F189" s="162"/>
    </row>
    <row r="190" spans="2:6">
      <c r="B190" s="235" t="s">
        <v>663</v>
      </c>
      <c r="C190" s="226" t="e">
        <f>'Income Statement'!#REF!</f>
        <v>#REF!</v>
      </c>
      <c r="D190" s="226" t="e">
        <f>D186/D187</f>
        <v>#REF!</v>
      </c>
      <c r="F190" s="162"/>
    </row>
    <row r="191" spans="2:6">
      <c r="B191" s="238" t="s">
        <v>651</v>
      </c>
      <c r="D191" s="157" t="e">
        <f>D190/C190-1</f>
        <v>#REF!</v>
      </c>
      <c r="F191" s="162"/>
    </row>
    <row r="192" spans="2:6">
      <c r="B192" s="238"/>
      <c r="F192" s="162"/>
    </row>
    <row r="193" spans="2:12">
      <c r="B193" s="238" t="s">
        <v>675</v>
      </c>
      <c r="C193" s="253"/>
      <c r="D193" s="283">
        <v>0.75</v>
      </c>
      <c r="E193" s="234" t="s">
        <v>673</v>
      </c>
      <c r="F193" s="162"/>
    </row>
    <row r="194" spans="2:12">
      <c r="B194" s="204"/>
      <c r="D194" s="304">
        <f>((D186-C186)*$D$193)+C195</f>
        <v>4858.305718747024</v>
      </c>
      <c r="F194" s="162"/>
    </row>
    <row r="195" spans="2:12">
      <c r="B195" s="235" t="s">
        <v>77</v>
      </c>
      <c r="C195" s="154">
        <f>C152</f>
        <v>2948.22235</v>
      </c>
      <c r="D195" s="279">
        <f>C195+((D179-C179)*$D$193*C182*12/10^6)+(D179*D183*$D$193*12/10^6)</f>
        <v>4858.305718747024</v>
      </c>
      <c r="E195" s="234" t="s">
        <v>680</v>
      </c>
      <c r="F195" s="162"/>
      <c r="J195" s="146" t="s">
        <v>690</v>
      </c>
      <c r="L195" s="214">
        <f>((D186-C186)*$D$193)+C195</f>
        <v>4858.305718747024</v>
      </c>
    </row>
    <row r="196" spans="2:12">
      <c r="B196" s="286" t="s">
        <v>679</v>
      </c>
      <c r="C196" s="239" t="e">
        <f>C195/C$190</f>
        <v>#REF!</v>
      </c>
      <c r="D196" s="239" t="e">
        <f>D195/D$190</f>
        <v>#REF!</v>
      </c>
      <c r="E196" s="154"/>
      <c r="F196" s="162"/>
    </row>
    <row r="197" spans="2:12">
      <c r="B197" s="204"/>
      <c r="D197" s="154"/>
      <c r="F197" s="162"/>
    </row>
    <row r="198" spans="2:12">
      <c r="B198" s="204" t="s">
        <v>406</v>
      </c>
      <c r="C198" s="278">
        <f>$C$12</f>
        <v>0.25</v>
      </c>
      <c r="D198" s="278">
        <f>$C$12</f>
        <v>0.25</v>
      </c>
      <c r="F198" s="162"/>
    </row>
    <row r="199" spans="2:12">
      <c r="B199" s="204"/>
      <c r="C199" s="154"/>
      <c r="F199" s="162"/>
    </row>
    <row r="200" spans="2:12">
      <c r="B200" s="204" t="s">
        <v>681</v>
      </c>
      <c r="C200" s="154">
        <f>N57</f>
        <v>37561</v>
      </c>
      <c r="D200" s="154">
        <f>O57</f>
        <v>39927</v>
      </c>
      <c r="F200" s="162"/>
    </row>
    <row r="201" spans="2:12">
      <c r="B201" s="204"/>
      <c r="F201" s="162"/>
    </row>
    <row r="202" spans="2:12">
      <c r="B202" s="280" t="s">
        <v>227</v>
      </c>
      <c r="C202" s="282">
        <f>C195*(1-C198)/C200</f>
        <v>5.8868687268709564E-2</v>
      </c>
      <c r="D202" s="282">
        <f>D195*(1-D198)/D200</f>
        <v>9.1259781327429262E-2</v>
      </c>
      <c r="E202" s="274"/>
      <c r="F202" s="281"/>
      <c r="G202" s="172">
        <f>(D202-C202)/(J277*100)</f>
        <v>9.2683768091638252E-2</v>
      </c>
    </row>
    <row r="204" spans="2:12">
      <c r="B204" s="280" t="s">
        <v>676</v>
      </c>
      <c r="C204" s="274"/>
      <c r="D204" s="274"/>
      <c r="E204" s="281"/>
    </row>
    <row r="205" spans="2:12">
      <c r="B205" s="235" t="s">
        <v>669</v>
      </c>
      <c r="C205" s="226">
        <f>C186</f>
        <v>24806.534</v>
      </c>
      <c r="E205" s="162"/>
    </row>
    <row r="206" spans="2:12">
      <c r="B206" s="204" t="s">
        <v>671</v>
      </c>
      <c r="C206" s="154">
        <f>(D179-C179)*C182*12/10^6</f>
        <v>2741.8188310525265</v>
      </c>
      <c r="D206" s="157">
        <f>C206/($C$208-$C$205)</f>
        <v>1.076583439726156</v>
      </c>
      <c r="E206" s="162"/>
    </row>
    <row r="207" spans="2:12">
      <c r="B207" s="204" t="s">
        <v>672</v>
      </c>
      <c r="C207" s="154">
        <f>C208-C206-C205</f>
        <v>-195.04100605649364</v>
      </c>
      <c r="D207" s="157">
        <f>C207/($C$208-$C$205)</f>
        <v>-7.658343972615575E-2</v>
      </c>
      <c r="E207" s="162"/>
    </row>
    <row r="208" spans="2:12">
      <c r="B208" s="235" t="s">
        <v>670</v>
      </c>
      <c r="C208" s="226">
        <f>D186</f>
        <v>27353.311824996032</v>
      </c>
      <c r="E208" s="162"/>
    </row>
    <row r="209" spans="2:5">
      <c r="B209" s="204"/>
      <c r="C209" s="154"/>
      <c r="E209" s="162"/>
    </row>
    <row r="210" spans="2:5">
      <c r="B210" s="280" t="s">
        <v>677</v>
      </c>
      <c r="C210" s="274"/>
      <c r="D210" s="274"/>
      <c r="E210" s="281"/>
    </row>
    <row r="211" spans="2:5">
      <c r="B211" s="235" t="s">
        <v>674</v>
      </c>
      <c r="C211" s="226">
        <f>C195</f>
        <v>2948.22235</v>
      </c>
      <c r="E211" s="162"/>
    </row>
    <row r="212" spans="2:5">
      <c r="B212" s="204" t="s">
        <v>678</v>
      </c>
      <c r="C212" s="154">
        <f>((D179-C179)*$D$193*C182*12/10^6)</f>
        <v>2056.3641232893942</v>
      </c>
      <c r="D212" s="157">
        <f>C212/($C$214-$C$211)</f>
        <v>1.0765834397261558</v>
      </c>
      <c r="E212" s="162"/>
    </row>
    <row r="213" spans="2:5">
      <c r="B213" s="204" t="s">
        <v>672</v>
      </c>
      <c r="C213" s="154">
        <f>C214-C212-C211</f>
        <v>-146.28075454237023</v>
      </c>
      <c r="D213" s="157">
        <f>C213/($C$214-$C$211)</f>
        <v>-7.658343972615575E-2</v>
      </c>
      <c r="E213" s="162"/>
    </row>
    <row r="214" spans="2:5">
      <c r="B214" s="206" t="s">
        <v>633</v>
      </c>
      <c r="C214" s="247">
        <f>D195</f>
        <v>4858.305718747024</v>
      </c>
      <c r="D214" s="150"/>
      <c r="E214" s="241"/>
    </row>
    <row r="215" spans="2:5">
      <c r="C215" s="154"/>
    </row>
    <row r="216" spans="2:5">
      <c r="C216" s="154"/>
    </row>
    <row r="217" spans="2:5">
      <c r="B217" s="251" t="s">
        <v>138</v>
      </c>
      <c r="C217" s="274"/>
      <c r="D217" s="274"/>
    </row>
    <row r="218" spans="2:5">
      <c r="B218" s="147" t="str">
        <f>B205</f>
        <v>FY21 Service revenue</v>
      </c>
      <c r="C218" s="226">
        <f>C205</f>
        <v>24806.534</v>
      </c>
    </row>
    <row r="219" spans="2:5">
      <c r="B219" s="146" t="str">
        <f>B206</f>
        <v>Price gain contribution</v>
      </c>
      <c r="C219" s="154">
        <f>C221-C220-C218</f>
        <v>2741.8188310525256</v>
      </c>
      <c r="D219" s="170">
        <f>C219/($C$208-$C$205)</f>
        <v>1.0765834397261558</v>
      </c>
    </row>
    <row r="220" spans="2:5">
      <c r="B220" s="146" t="str">
        <f>B207</f>
        <v>Subscriber gain contribution</v>
      </c>
      <c r="C220" s="154">
        <f>D183*12*D179/10^6</f>
        <v>-195.04100605649347</v>
      </c>
      <c r="D220" s="170">
        <f>C220/($C$208-$C$205)</f>
        <v>-7.658343972615568E-2</v>
      </c>
    </row>
    <row r="221" spans="2:5">
      <c r="B221" s="147" t="str">
        <f>B208</f>
        <v>FY22E Service revenue</v>
      </c>
      <c r="C221" s="226">
        <f>C208</f>
        <v>27353.311824996032</v>
      </c>
    </row>
    <row r="223" spans="2:5">
      <c r="B223" s="147" t="s">
        <v>674</v>
      </c>
      <c r="C223" s="226">
        <f>C211</f>
        <v>2948.22235</v>
      </c>
    </row>
    <row r="224" spans="2:5">
      <c r="B224" s="146" t="s">
        <v>678</v>
      </c>
      <c r="C224" s="154">
        <f>C226-C223-C225</f>
        <v>2056.3641232893942</v>
      </c>
      <c r="D224" s="157">
        <f>C224/($C$214-$C$211)</f>
        <v>1.0765834397261558</v>
      </c>
      <c r="E224" s="154"/>
    </row>
    <row r="225" spans="1:5">
      <c r="B225" s="146" t="s">
        <v>672</v>
      </c>
      <c r="C225" s="154">
        <f>D179*D183*$D$193*12/10^6</f>
        <v>-146.28075454237009</v>
      </c>
      <c r="D225" s="157">
        <f>C225/($C$214-$C$211)</f>
        <v>-7.6583439726155667E-2</v>
      </c>
    </row>
    <row r="226" spans="1:5">
      <c r="B226" s="147" t="s">
        <v>633</v>
      </c>
      <c r="C226" s="226">
        <f>C214</f>
        <v>4858.305718747024</v>
      </c>
    </row>
    <row r="229" spans="1:5">
      <c r="B229" s="287" t="s">
        <v>658</v>
      </c>
      <c r="C229" s="288">
        <v>6187.7939999999999</v>
      </c>
      <c r="D229" s="289"/>
      <c r="E229" s="289"/>
    </row>
    <row r="230" spans="1:5">
      <c r="B230" s="289" t="s">
        <v>665</v>
      </c>
      <c r="C230" s="290" t="e">
        <f>C231-C229</f>
        <v>#REF!</v>
      </c>
      <c r="D230" s="289"/>
      <c r="E230" s="289"/>
    </row>
    <row r="231" spans="1:5">
      <c r="B231" s="287" t="s">
        <v>664</v>
      </c>
      <c r="C231" s="288" t="e">
        <f>D164</f>
        <v>#REF!</v>
      </c>
      <c r="D231" s="289"/>
      <c r="E231" s="289"/>
    </row>
    <row r="232" spans="1:5">
      <c r="B232" s="289"/>
      <c r="C232" s="289"/>
      <c r="D232" s="289"/>
      <c r="E232" s="289"/>
    </row>
    <row r="233" spans="1:5">
      <c r="A233" s="147"/>
      <c r="B233" s="291"/>
      <c r="C233" s="292" t="s">
        <v>666</v>
      </c>
      <c r="D233" s="292" t="s">
        <v>667</v>
      </c>
      <c r="E233" s="292" t="s">
        <v>647</v>
      </c>
    </row>
    <row r="234" spans="1:5">
      <c r="B234" s="287" t="s">
        <v>437</v>
      </c>
      <c r="C234" s="290">
        <f>E244</f>
        <v>57000</v>
      </c>
      <c r="D234" s="290">
        <f>C234+D235</f>
        <v>58839.339680000005</v>
      </c>
      <c r="E234" s="290">
        <f>D244</f>
        <v>58839.339680000005</v>
      </c>
    </row>
    <row r="235" spans="1:5">
      <c r="B235" s="289" t="s">
        <v>668</v>
      </c>
      <c r="C235" s="289"/>
      <c r="D235" s="290">
        <f>E234-C234</f>
        <v>1839.3396800000046</v>
      </c>
      <c r="E235" s="289"/>
    </row>
    <row r="236" spans="1:5">
      <c r="B236" s="289"/>
      <c r="C236" s="289"/>
      <c r="D236" s="289"/>
      <c r="E236" s="289"/>
    </row>
    <row r="237" spans="1:5">
      <c r="B237" s="287" t="s">
        <v>40</v>
      </c>
      <c r="C237" s="290">
        <f>E248</f>
        <v>36185.929824561405</v>
      </c>
      <c r="D237" s="290" t="e">
        <f>D239*10^6/(D234*9)</f>
        <v>#REF!</v>
      </c>
      <c r="E237" s="290" t="e">
        <f>E239*10^6/E234/12</f>
        <v>#REF!</v>
      </c>
    </row>
    <row r="238" spans="1:5">
      <c r="B238" s="289"/>
      <c r="C238" s="289"/>
      <c r="D238" s="289" t="e">
        <f>D237/C237-1</f>
        <v>#REF!</v>
      </c>
      <c r="E238" s="289"/>
    </row>
    <row r="239" spans="1:5">
      <c r="B239" s="287" t="s">
        <v>259</v>
      </c>
      <c r="C239" s="290">
        <f>C234*C237*3/10^6</f>
        <v>6187.7939999999999</v>
      </c>
      <c r="D239" s="290" t="e">
        <f>E239-C239</f>
        <v>#REF!</v>
      </c>
      <c r="E239" s="290" t="e">
        <f>C231</f>
        <v>#REF!</v>
      </c>
    </row>
    <row r="241" spans="2:18">
      <c r="B241" s="151" t="s">
        <v>654</v>
      </c>
      <c r="C241" s="223"/>
      <c r="D241" s="223"/>
      <c r="E241" s="223"/>
      <c r="F241" s="223"/>
      <c r="G241" s="223"/>
      <c r="H241" s="223"/>
      <c r="I241" s="223"/>
      <c r="J241" s="223"/>
      <c r="K241" s="223"/>
      <c r="L241" s="223"/>
      <c r="M241" s="223"/>
      <c r="N241" s="248"/>
      <c r="O241" s="223"/>
      <c r="P241" s="223"/>
      <c r="Q241" s="223"/>
      <c r="R241" s="223"/>
    </row>
    <row r="242" spans="2:18">
      <c r="B242" s="147"/>
    </row>
    <row r="243" spans="2:18">
      <c r="B243" s="251"/>
      <c r="C243" s="227" t="s">
        <v>646</v>
      </c>
      <c r="D243" s="227" t="s">
        <v>647</v>
      </c>
      <c r="E243" s="227" t="s">
        <v>588</v>
      </c>
    </row>
    <row r="244" spans="2:18">
      <c r="B244" s="148" t="s">
        <v>653</v>
      </c>
      <c r="C244" s="226">
        <f>'Income Statement'!$BU$53</f>
        <v>57910</v>
      </c>
      <c r="D244" s="226">
        <f>C244*(1+$D$246)</f>
        <v>58839.339680000005</v>
      </c>
      <c r="E244" s="226">
        <f>'Income Statement'!$BV$53</f>
        <v>57000</v>
      </c>
    </row>
    <row r="245" spans="2:18" ht="15" thickBot="1">
      <c r="B245" s="146" t="s">
        <v>21</v>
      </c>
      <c r="D245" s="154">
        <f>D244-C244</f>
        <v>929.33968000000459</v>
      </c>
      <c r="E245" s="154">
        <f>E244-C244</f>
        <v>-910</v>
      </c>
    </row>
    <row r="246" spans="2:18" ht="15" thickBot="1">
      <c r="B246" s="253" t="s">
        <v>651</v>
      </c>
      <c r="D246" s="252">
        <v>1.6048000000000062E-2</v>
      </c>
    </row>
    <row r="248" spans="2:18" ht="15" thickBot="1">
      <c r="B248" s="147" t="s">
        <v>517</v>
      </c>
      <c r="C248" s="226">
        <f>$C$173</f>
        <v>35696.963679272434</v>
      </c>
      <c r="D248" s="226">
        <f>C248*(1+$D$249)</f>
        <v>39642.480905791352</v>
      </c>
      <c r="E248" s="226">
        <f>6187.794*10^6/E244/3</f>
        <v>36185.929824561405</v>
      </c>
      <c r="F248" s="170"/>
    </row>
    <row r="249" spans="2:18" ht="15" thickBot="1">
      <c r="B249" s="253" t="s">
        <v>651</v>
      </c>
      <c r="D249" s="252">
        <v>0.11052809034315429</v>
      </c>
    </row>
    <row r="250" spans="2:18" ht="15" thickBot="1">
      <c r="B250" s="147"/>
    </row>
    <row r="251" spans="2:18" ht="15" thickBot="1">
      <c r="B251" s="147" t="s">
        <v>684</v>
      </c>
      <c r="D251" s="252">
        <v>0.75</v>
      </c>
    </row>
    <row r="252" spans="2:18">
      <c r="B252" s="147"/>
    </row>
    <row r="253" spans="2:18">
      <c r="B253" s="181" t="s">
        <v>259</v>
      </c>
      <c r="C253" s="154">
        <f>C244*C248*12/10^6</f>
        <v>24806.534</v>
      </c>
      <c r="D253" s="154">
        <f>D244*D248*12/10^6</f>
        <v>27990.448797285262</v>
      </c>
    </row>
    <row r="254" spans="2:18">
      <c r="B254" s="181"/>
      <c r="C254" s="170" t="e">
        <f>C253/C255</f>
        <v>#REF!</v>
      </c>
      <c r="D254" s="228" t="e">
        <f>C254</f>
        <v>#REF!</v>
      </c>
    </row>
    <row r="255" spans="2:18">
      <c r="B255" s="181" t="s">
        <v>687</v>
      </c>
      <c r="C255" s="154" t="e">
        <f>C190</f>
        <v>#REF!</v>
      </c>
      <c r="D255" s="154" t="e">
        <f>D253/D254</f>
        <v>#REF!</v>
      </c>
    </row>
    <row r="256" spans="2:18">
      <c r="B256" s="181"/>
      <c r="C256" s="154"/>
      <c r="D256" s="154"/>
    </row>
    <row r="257" spans="2:7">
      <c r="B257" s="146" t="s">
        <v>77</v>
      </c>
      <c r="C257" s="154">
        <f>C195</f>
        <v>2948.22235</v>
      </c>
      <c r="D257" s="226">
        <f>((D248-C248)*C244*12*$D$251/10^6)+(D245*D248*12*$D$251/10^6)+C257</f>
        <v>5336.1584479639441</v>
      </c>
    </row>
    <row r="258" spans="2:7">
      <c r="B258" s="253" t="s">
        <v>583</v>
      </c>
      <c r="C258" s="293"/>
      <c r="D258" s="170" t="e">
        <f>D257/D255</f>
        <v>#REF!</v>
      </c>
    </row>
    <row r="259" spans="2:7">
      <c r="B259" s="253"/>
      <c r="C259" s="293"/>
      <c r="D259" s="170">
        <f>D257/C257-1</f>
        <v>0.80995793887931966</v>
      </c>
    </row>
    <row r="260" spans="2:7">
      <c r="B260" s="253"/>
      <c r="C260" s="293"/>
    </row>
    <row r="261" spans="2:7">
      <c r="B261" s="146" t="s">
        <v>631</v>
      </c>
      <c r="C261" s="154"/>
      <c r="D261" s="154">
        <f>D257*(1-$D$262)</f>
        <v>4002.1188359729581</v>
      </c>
    </row>
    <row r="262" spans="2:7">
      <c r="B262" s="253" t="s">
        <v>406</v>
      </c>
      <c r="D262" s="294">
        <f>$C$143</f>
        <v>0.25</v>
      </c>
    </row>
    <row r="263" spans="2:7">
      <c r="B263" s="146" t="s">
        <v>632</v>
      </c>
      <c r="D263" s="154">
        <f>C140</f>
        <v>39927</v>
      </c>
    </row>
    <row r="264" spans="2:7">
      <c r="B264" s="147" t="s">
        <v>227</v>
      </c>
      <c r="D264" s="218">
        <f>D261/D263</f>
        <v>0.10023590141941438</v>
      </c>
    </row>
    <row r="266" spans="2:7">
      <c r="B266" s="147" t="s">
        <v>602</v>
      </c>
      <c r="D266" s="295">
        <f>$C$146</f>
        <v>0.106223</v>
      </c>
    </row>
    <row r="268" spans="2:7">
      <c r="B268" s="147" t="s">
        <v>603</v>
      </c>
      <c r="D268" s="172">
        <f>D264-D266</f>
        <v>-5.9870985805856175E-3</v>
      </c>
    </row>
    <row r="272" spans="2:7">
      <c r="G272" s="219" t="s">
        <v>638</v>
      </c>
    </row>
    <row r="274" spans="3:13" ht="14.5" customHeight="1">
      <c r="C274" s="1547" t="s">
        <v>640</v>
      </c>
      <c r="D274" s="222"/>
      <c r="E274" s="298" t="s">
        <v>639</v>
      </c>
      <c r="F274" s="299"/>
      <c r="G274" s="299"/>
      <c r="H274" s="299"/>
      <c r="I274" s="299"/>
    </row>
    <row r="275" spans="3:13">
      <c r="C275" s="1547"/>
      <c r="D275" s="220">
        <f>$D$264</f>
        <v>0.10023590141941438</v>
      </c>
      <c r="E275" s="296">
        <v>0</v>
      </c>
      <c r="F275" s="297">
        <f>E275+0.005</f>
        <v>5.0000000000000001E-3</v>
      </c>
      <c r="G275" s="297">
        <f>F275+0.005</f>
        <v>0.01</v>
      </c>
      <c r="H275" s="297">
        <f t="shared" ref="H275:I275" si="42">G275+0.005</f>
        <v>1.4999999999999999E-2</v>
      </c>
      <c r="I275" s="297">
        <f t="shared" si="42"/>
        <v>0.02</v>
      </c>
    </row>
    <row r="276" spans="3:13">
      <c r="C276" s="1547"/>
      <c r="D276" s="221">
        <v>0</v>
      </c>
      <c r="E276" s="217">
        <f t="dataTable" ref="E276:I280" dt2D="1" dtr="1" r1="D246" r2="D249" ca="1"/>
        <v>5.5380237996844238E-2</v>
      </c>
      <c r="F276" s="217">
        <v>5.7127636420843009E-2</v>
      </c>
      <c r="G276" s="217">
        <v>5.8875034844841828E-2</v>
      </c>
      <c r="H276" s="217">
        <v>6.0622433268840599E-2</v>
      </c>
      <c r="I276" s="217">
        <v>6.236983169283946E-2</v>
      </c>
      <c r="K276" s="172">
        <f>G276-E276</f>
        <v>3.4947968479975902E-3</v>
      </c>
      <c r="L276" s="172">
        <f t="shared" ref="L276:M276" si="43">H276-F276</f>
        <v>3.4947968479975902E-3</v>
      </c>
      <c r="M276" s="172">
        <f t="shared" si="43"/>
        <v>3.4947968479976319E-3</v>
      </c>
    </row>
    <row r="277" spans="3:13">
      <c r="C277" s="1547"/>
      <c r="D277" s="221">
        <v>0.01</v>
      </c>
      <c r="E277" s="217">
        <v>5.8875034844841828E-2</v>
      </c>
      <c r="F277" s="217">
        <v>6.0639907253080591E-2</v>
      </c>
      <c r="G277" s="217">
        <v>6.2404779661319403E-2</v>
      </c>
      <c r="H277" s="217">
        <v>6.4169652069558158E-2</v>
      </c>
      <c r="I277" s="217">
        <v>6.5934524477797005E-2</v>
      </c>
      <c r="J277" s="303">
        <f>E277-E276</f>
        <v>3.4947968479975902E-3</v>
      </c>
      <c r="K277" s="303">
        <f t="shared" ref="K277:M279" si="44">F277-F276</f>
        <v>3.5122708322375823E-3</v>
      </c>
      <c r="L277" s="303">
        <f t="shared" si="44"/>
        <v>3.5297448164775744E-3</v>
      </c>
      <c r="M277" s="303">
        <f t="shared" si="44"/>
        <v>3.5472188007175595E-3</v>
      </c>
    </row>
    <row r="278" spans="3:13">
      <c r="C278" s="1547"/>
      <c r="D278" s="221">
        <f>D277+0.01</f>
        <v>0.02</v>
      </c>
      <c r="E278" s="217">
        <v>6.2369831692839439E-2</v>
      </c>
      <c r="F278" s="217">
        <v>6.4152178085318187E-2</v>
      </c>
      <c r="G278" s="217">
        <v>6.5934524477796963E-2</v>
      </c>
      <c r="H278" s="217">
        <v>6.7716870870275725E-2</v>
      </c>
      <c r="I278" s="217">
        <v>6.949921726275457E-2</v>
      </c>
      <c r="J278" s="303">
        <f t="shared" ref="J278:J279" si="45">E278-E277</f>
        <v>3.494796847997611E-3</v>
      </c>
      <c r="K278" s="303">
        <f t="shared" si="44"/>
        <v>3.5122708322375962E-3</v>
      </c>
      <c r="L278" s="303">
        <f t="shared" si="44"/>
        <v>3.5297448164775605E-3</v>
      </c>
      <c r="M278" s="303">
        <f t="shared" si="44"/>
        <v>3.5472188007175665E-3</v>
      </c>
    </row>
    <row r="279" spans="3:13">
      <c r="C279" s="1547"/>
      <c r="D279" s="221">
        <f t="shared" ref="D279:D280" si="46">D278+0.01</f>
        <v>0.03</v>
      </c>
      <c r="E279" s="217">
        <v>6.5864628540837036E-2</v>
      </c>
      <c r="F279" s="217">
        <v>6.766444891755577E-2</v>
      </c>
      <c r="G279" s="217">
        <v>6.9464269294274544E-2</v>
      </c>
      <c r="H279" s="217">
        <v>7.1264089670993291E-2</v>
      </c>
      <c r="I279" s="217">
        <v>7.3063910047712108E-2</v>
      </c>
      <c r="J279" s="303">
        <f t="shared" si="45"/>
        <v>3.4947968479975972E-3</v>
      </c>
      <c r="K279" s="303">
        <f t="shared" si="44"/>
        <v>3.5122708322375823E-3</v>
      </c>
      <c r="L279" s="303">
        <f t="shared" si="44"/>
        <v>3.5297448164775813E-3</v>
      </c>
      <c r="M279" s="303">
        <f t="shared" si="44"/>
        <v>3.5472188007175665E-3</v>
      </c>
    </row>
    <row r="280" spans="3:13">
      <c r="C280" s="1547"/>
      <c r="D280" s="221">
        <f t="shared" si="46"/>
        <v>0.04</v>
      </c>
      <c r="E280" s="217">
        <v>6.9359425388834633E-2</v>
      </c>
      <c r="F280" s="217">
        <v>7.1176719749793352E-2</v>
      </c>
      <c r="G280" s="217">
        <v>7.2994014110752126E-2</v>
      </c>
      <c r="H280" s="217">
        <v>7.4811308471710844E-2</v>
      </c>
      <c r="I280" s="217">
        <v>7.6628602832669659E-2</v>
      </c>
    </row>
    <row r="282" spans="3:13">
      <c r="G282" s="219" t="s">
        <v>689</v>
      </c>
    </row>
    <row r="284" spans="3:13">
      <c r="C284" s="1547" t="s">
        <v>640</v>
      </c>
      <c r="D284" s="222"/>
      <c r="E284" s="298" t="s">
        <v>639</v>
      </c>
      <c r="F284" s="299"/>
      <c r="G284" s="299"/>
      <c r="H284" s="299"/>
      <c r="I284" s="299"/>
    </row>
    <row r="285" spans="3:13">
      <c r="C285" s="1547"/>
      <c r="D285" s="220">
        <f>$D$268</f>
        <v>-5.9870985805856175E-3</v>
      </c>
      <c r="E285" s="296">
        <v>0</v>
      </c>
      <c r="F285" s="297">
        <f>E285+0.005</f>
        <v>5.0000000000000001E-3</v>
      </c>
      <c r="G285" s="297">
        <f>F285+0.005</f>
        <v>0.01</v>
      </c>
      <c r="H285" s="297">
        <f t="shared" ref="H285" si="47">G285+0.005</f>
        <v>1.4999999999999999E-2</v>
      </c>
      <c r="I285" s="297">
        <f t="shared" ref="I285" si="48">H285+0.005</f>
        <v>0.02</v>
      </c>
    </row>
    <row r="286" spans="3:13">
      <c r="C286" s="1547"/>
      <c r="D286" s="221">
        <v>0</v>
      </c>
      <c r="E286" s="217">
        <f t="dataTable" ref="E286:I290" dt2D="1" dtr="1" r1="D246" r2="D249" ca="1"/>
        <v>-5.084276200315576E-2</v>
      </c>
      <c r="F286" s="217">
        <v>-4.9095363579156989E-2</v>
      </c>
      <c r="G286" s="217">
        <v>-4.734796515515817E-2</v>
      </c>
      <c r="H286" s="217">
        <v>-4.5600566731159399E-2</v>
      </c>
      <c r="I286" s="217">
        <v>-4.3853168307160538E-2</v>
      </c>
    </row>
    <row r="287" spans="3:13">
      <c r="C287" s="1547"/>
      <c r="D287" s="221">
        <v>0.05</v>
      </c>
      <c r="E287" s="217">
        <v>-3.3368777763167781E-2</v>
      </c>
      <c r="F287" s="217">
        <v>-3.1534009417969064E-2</v>
      </c>
      <c r="G287" s="217">
        <v>-2.9699241072770305E-2</v>
      </c>
      <c r="H287" s="217">
        <v>-2.7864472727571588E-2</v>
      </c>
      <c r="I287" s="217">
        <v>-2.6029704382372787E-2</v>
      </c>
    </row>
    <row r="288" spans="3:13">
      <c r="C288" s="1547"/>
      <c r="D288" s="221">
        <f>D287+0.05</f>
        <v>0.1</v>
      </c>
      <c r="E288" s="217">
        <v>-1.5894793523179795E-2</v>
      </c>
      <c r="F288" s="217">
        <v>-1.3972655256781139E-2</v>
      </c>
      <c r="G288" s="217">
        <v>-1.2050516990382454E-2</v>
      </c>
      <c r="H288" s="217">
        <v>-1.0128378723983783E-2</v>
      </c>
      <c r="I288" s="217">
        <v>-8.2062404575850428E-3</v>
      </c>
    </row>
    <row r="289" spans="3:11">
      <c r="C289" s="1547"/>
      <c r="D289" s="221">
        <f>D288+0.05</f>
        <v>0.15000000000000002</v>
      </c>
      <c r="E289" s="217">
        <v>1.579190716808121E-3</v>
      </c>
      <c r="F289" s="217">
        <v>3.5886989044066897E-3</v>
      </c>
      <c r="G289" s="217">
        <v>5.5982070920053695E-3</v>
      </c>
      <c r="H289" s="217">
        <v>7.6077152796039382E-3</v>
      </c>
      <c r="I289" s="217">
        <v>9.6172234672026319E-3</v>
      </c>
    </row>
    <row r="290" spans="3:11">
      <c r="C290" s="1547"/>
      <c r="D290" s="221">
        <f>D289+0.05</f>
        <v>0.2</v>
      </c>
      <c r="E290" s="217">
        <v>1.9053174956796134E-2</v>
      </c>
      <c r="F290" s="217">
        <v>2.1150053065594629E-2</v>
      </c>
      <c r="G290" s="217">
        <v>2.3246931174393234E-2</v>
      </c>
      <c r="H290" s="217">
        <v>2.5343809283191757E-2</v>
      </c>
      <c r="I290" s="217">
        <v>2.7440687391990362E-2</v>
      </c>
    </row>
    <row r="293" spans="3:11">
      <c r="E293" s="147" t="s">
        <v>688</v>
      </c>
    </row>
    <row r="295" spans="3:11">
      <c r="C295" s="1547" t="s">
        <v>640</v>
      </c>
      <c r="D295" s="222"/>
      <c r="E295" s="298" t="s">
        <v>639</v>
      </c>
      <c r="F295" s="299"/>
      <c r="G295" s="299"/>
      <c r="H295" s="299"/>
      <c r="I295" s="299"/>
    </row>
    <row r="296" spans="3:11">
      <c r="C296" s="1547"/>
      <c r="D296" s="220" t="e">
        <f>$D$258</f>
        <v>#REF!</v>
      </c>
      <c r="E296" s="296">
        <v>0</v>
      </c>
      <c r="F296" s="297">
        <f>E296+0.005</f>
        <v>5.0000000000000001E-3</v>
      </c>
      <c r="G296" s="297">
        <f>F296+0.005</f>
        <v>0.01</v>
      </c>
      <c r="H296" s="297">
        <f t="shared" ref="H296" si="49">G296+0.005</f>
        <v>1.4999999999999999E-2</v>
      </c>
      <c r="I296" s="297">
        <f t="shared" ref="I296" si="50">H296+0.005</f>
        <v>0.02</v>
      </c>
    </row>
    <row r="297" spans="3:11">
      <c r="C297" s="1547"/>
      <c r="D297" s="221">
        <v>0</v>
      </c>
      <c r="E297" s="217" t="e">
        <f t="dataTable" ref="E297:I301" dt2D="1" dtr="1" r1="D246" r2="D249"/>
        <v>#REF!</v>
      </c>
      <c r="F297" s="217" t="e">
        <v>#REF!</v>
      </c>
      <c r="G297" s="217" t="e">
        <v>#REF!</v>
      </c>
      <c r="H297" s="217" t="e">
        <v>#REF!</v>
      </c>
      <c r="I297" s="217" t="e">
        <v>#REF!</v>
      </c>
    </row>
    <row r="298" spans="3:11">
      <c r="C298" s="1547"/>
      <c r="D298" s="221">
        <v>0.05</v>
      </c>
      <c r="E298" s="217" t="e">
        <v>#REF!</v>
      </c>
      <c r="F298" s="217" t="e">
        <v>#REF!</v>
      </c>
      <c r="G298" s="217" t="e">
        <v>#REF!</v>
      </c>
      <c r="H298" s="217" t="e">
        <v>#REF!</v>
      </c>
      <c r="I298" s="217" t="e">
        <v>#REF!</v>
      </c>
      <c r="K298" s="172" t="e">
        <f>E298-E297</f>
        <v>#REF!</v>
      </c>
    </row>
    <row r="299" spans="3:11">
      <c r="C299" s="1547"/>
      <c r="D299" s="221">
        <f>D298+0.05</f>
        <v>0.1</v>
      </c>
      <c r="E299" s="217" t="e">
        <v>#REF!</v>
      </c>
      <c r="F299" s="217" t="e">
        <v>#REF!</v>
      </c>
      <c r="G299" s="217" t="e">
        <v>#REF!</v>
      </c>
      <c r="H299" s="217" t="e">
        <v>#REF!</v>
      </c>
      <c r="I299" s="217" t="e">
        <v>#REF!</v>
      </c>
      <c r="K299" s="172" t="e">
        <f t="shared" ref="K299:K301" si="51">E299-E298</f>
        <v>#REF!</v>
      </c>
    </row>
    <row r="300" spans="3:11">
      <c r="C300" s="1547"/>
      <c r="D300" s="221">
        <f>D299+0.05</f>
        <v>0.15000000000000002</v>
      </c>
      <c r="E300" s="217" t="e">
        <v>#REF!</v>
      </c>
      <c r="F300" s="217" t="e">
        <v>#REF!</v>
      </c>
      <c r="G300" s="217" t="e">
        <v>#REF!</v>
      </c>
      <c r="H300" s="217" t="e">
        <v>#REF!</v>
      </c>
      <c r="I300" s="217" t="e">
        <v>#REF!</v>
      </c>
      <c r="K300" s="172" t="e">
        <f t="shared" si="51"/>
        <v>#REF!</v>
      </c>
    </row>
    <row r="301" spans="3:11">
      <c r="C301" s="1547"/>
      <c r="D301" s="221">
        <f>D300+0.05</f>
        <v>0.2</v>
      </c>
      <c r="E301" s="217" t="e">
        <v>#REF!</v>
      </c>
      <c r="F301" s="217" t="e">
        <v>#REF!</v>
      </c>
      <c r="G301" s="217" t="e">
        <v>#REF!</v>
      </c>
      <c r="H301" s="217" t="e">
        <v>#REF!</v>
      </c>
      <c r="I301" s="217" t="e">
        <v>#REF!</v>
      </c>
      <c r="K301" s="172" t="e">
        <f t="shared" si="51"/>
        <v>#REF!</v>
      </c>
    </row>
  </sheetData>
  <mergeCells count="3">
    <mergeCell ref="C274:C280"/>
    <mergeCell ref="C284:C290"/>
    <mergeCell ref="C295:C301"/>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25"/>
  <sheetViews>
    <sheetView workbookViewId="0"/>
  </sheetViews>
  <sheetFormatPr defaultRowHeight="14.5"/>
  <cols>
    <col min="1" max="1" width="21.81640625" customWidth="1"/>
    <col min="2" max="8" width="12.1796875" customWidth="1"/>
  </cols>
  <sheetData>
    <row r="1" spans="1:9">
      <c r="A1" s="40" t="s">
        <v>509</v>
      </c>
      <c r="B1" s="80">
        <v>42705</v>
      </c>
      <c r="C1" s="80">
        <v>43070</v>
      </c>
      <c r="D1" s="80">
        <v>43435</v>
      </c>
      <c r="E1" s="80">
        <v>43800</v>
      </c>
      <c r="F1" s="80">
        <v>44166</v>
      </c>
      <c r="G1" s="80">
        <v>44531</v>
      </c>
      <c r="H1" s="80">
        <v>44896</v>
      </c>
      <c r="I1" s="79"/>
    </row>
    <row r="2" spans="1:9">
      <c r="A2" s="41" t="s">
        <v>413</v>
      </c>
      <c r="B2" s="81">
        <f>'Income Statement'!AV225</f>
        <v>21342</v>
      </c>
      <c r="C2" s="81">
        <f>'Income Statement'!BA225</f>
        <v>22875</v>
      </c>
      <c r="D2" s="81">
        <f>'Income Statement'!BF225</f>
        <v>22938.812000000002</v>
      </c>
      <c r="E2" s="81">
        <f>'Income Statement'!BK225</f>
        <v>25132.851999999999</v>
      </c>
      <c r="F2" s="81">
        <f>'Income Statement'!BP225</f>
        <v>26009.094999999998</v>
      </c>
      <c r="G2" s="81">
        <f>'Income Statement'!BU225</f>
        <v>26754.05</v>
      </c>
      <c r="H2" s="81">
        <f>'Income Statement'!BZ225</f>
        <v>31765.998</v>
      </c>
    </row>
    <row r="3" spans="1:9">
      <c r="A3" s="41" t="s">
        <v>5</v>
      </c>
      <c r="B3" s="81">
        <f>'Income Statement'!AV455</f>
        <v>21342</v>
      </c>
      <c r="C3" s="81">
        <f>'Income Statement'!BA455</f>
        <v>22875</v>
      </c>
      <c r="D3" s="81">
        <f>'Income Statement'!BF455</f>
        <v>22938.812000000002</v>
      </c>
      <c r="E3" s="81">
        <f>'Income Statement'!BK455</f>
        <v>25132.851999999999</v>
      </c>
      <c r="F3" s="81">
        <f>'Income Statement'!BP455</f>
        <v>26009.094999999998</v>
      </c>
      <c r="G3" s="81">
        <f>'Income Statement'!BU455</f>
        <v>26754.05</v>
      </c>
      <c r="H3" s="81">
        <f>'Income Statement'!BZ455</f>
        <v>31765.998</v>
      </c>
    </row>
    <row r="4" spans="1:9">
      <c r="A4" s="41" t="s">
        <v>414</v>
      </c>
      <c r="B4" s="81">
        <f>'Income Statement'!AV428</f>
        <v>8057</v>
      </c>
      <c r="C4" s="81">
        <f>'Income Statement'!BA428</f>
        <v>8321</v>
      </c>
      <c r="D4" s="81">
        <f>'Income Statement'!BF428</f>
        <v>8513</v>
      </c>
      <c r="E4" s="81">
        <f>'Income Statement'!BK428</f>
        <v>9966</v>
      </c>
      <c r="F4" s="81">
        <f>'Income Statement'!BP428</f>
        <v>13060</v>
      </c>
      <c r="G4" s="81">
        <f>'Income Statement'!BU428</f>
        <v>13287</v>
      </c>
      <c r="H4" s="81">
        <f>'Income Statement'!BZ428</f>
        <v>14235</v>
      </c>
    </row>
    <row r="5" spans="1:9">
      <c r="A5" s="42" t="s">
        <v>77</v>
      </c>
      <c r="B5" s="81">
        <f>'Income Statement'!AV464</f>
        <v>11</v>
      </c>
      <c r="C5" s="81">
        <f>'Income Statement'!BA464</f>
        <v>1370</v>
      </c>
      <c r="D5" s="81">
        <f>'Income Statement'!BF464</f>
        <v>-3108</v>
      </c>
      <c r="E5" s="81">
        <f>'Income Statement'!BK464</f>
        <v>2603</v>
      </c>
      <c r="F5" s="81">
        <f>'Income Statement'!BP464</f>
        <v>605.3119999999999</v>
      </c>
      <c r="G5" s="81">
        <f>'Income Statement'!BU464</f>
        <v>3330.7729999999992</v>
      </c>
      <c r="H5" s="81">
        <f>'Income Statement'!BZ464</f>
        <v>3670.7039999999997</v>
      </c>
    </row>
    <row r="6" spans="1:9">
      <c r="A6" s="43" t="s">
        <v>95</v>
      </c>
      <c r="B6" s="86">
        <f>'Income Statement'!AV466</f>
        <v>1.4409025787965617</v>
      </c>
      <c r="C6" s="86">
        <f>'Income Statement'!BA466</f>
        <v>1.0379274301926236</v>
      </c>
      <c r="D6" s="86">
        <f>'Income Statement'!BF466</f>
        <v>1.8523202937699332</v>
      </c>
      <c r="E6" s="86">
        <f>'Income Statement'!BK466</f>
        <v>0.76768852535972132</v>
      </c>
      <c r="F6" s="86">
        <f>'Income Statement'!BP466</f>
        <v>1.6356933080465998</v>
      </c>
      <c r="G6" s="86" t="e">
        <f>'Income Statement'!BU466</f>
        <v>#DIV/0!</v>
      </c>
      <c r="H6" s="86" t="e">
        <f>'Income Statement'!BZ466</f>
        <v>#DIV/0!</v>
      </c>
    </row>
    <row r="7" spans="1:9">
      <c r="A7" s="44" t="s">
        <v>1</v>
      </c>
      <c r="B7" s="82"/>
      <c r="C7" s="82"/>
      <c r="D7" s="82"/>
      <c r="E7" s="82"/>
      <c r="F7" s="82"/>
      <c r="G7" s="82"/>
      <c r="H7" s="82"/>
    </row>
    <row r="8" spans="1:9">
      <c r="A8" s="44" t="s">
        <v>248</v>
      </c>
      <c r="B8" s="87" t="e">
        <f>'Income Statement'!#REF!</f>
        <v>#REF!</v>
      </c>
      <c r="C8" s="87" t="e">
        <f>'Income Statement'!#REF!</f>
        <v>#REF!</v>
      </c>
      <c r="D8" s="87" t="e">
        <f>'Income Statement'!#REF!</f>
        <v>#REF!</v>
      </c>
      <c r="E8" s="87" t="e">
        <f>'Income Statement'!#REF!</f>
        <v>#REF!</v>
      </c>
      <c r="F8" s="87" t="e">
        <f>'Income Statement'!#REF!</f>
        <v>#REF!</v>
      </c>
      <c r="G8" s="87" t="e">
        <f>'Income Statement'!#REF!</f>
        <v>#REF!</v>
      </c>
      <c r="H8" s="87" t="e">
        <f>'Income Statement'!#REF!</f>
        <v>#REF!</v>
      </c>
    </row>
    <row r="9" spans="1:9">
      <c r="A9" s="78" t="s">
        <v>415</v>
      </c>
      <c r="B9" s="83"/>
      <c r="C9" s="83"/>
      <c r="D9" s="83"/>
      <c r="E9" s="83"/>
      <c r="F9" s="83"/>
      <c r="G9" s="83"/>
      <c r="H9" s="83"/>
    </row>
    <row r="10" spans="1:9">
      <c r="A10" s="78"/>
      <c r="B10" s="83"/>
      <c r="C10" s="83"/>
      <c r="D10" s="83"/>
      <c r="E10" s="83"/>
      <c r="F10" s="83"/>
      <c r="G10" s="83"/>
      <c r="H10" s="83"/>
    </row>
    <row r="11" spans="1:9">
      <c r="A11" s="78" t="s">
        <v>416</v>
      </c>
      <c r="B11" s="83"/>
      <c r="C11" s="83"/>
      <c r="D11" s="83"/>
      <c r="E11" s="83"/>
      <c r="F11" s="83"/>
      <c r="G11" s="83"/>
      <c r="H11" s="83"/>
    </row>
    <row r="12" spans="1:9">
      <c r="A12" s="78" t="s">
        <v>417</v>
      </c>
      <c r="B12" s="89">
        <f>'Income Statement'!AV271</f>
        <v>374</v>
      </c>
      <c r="C12" s="89">
        <f>'Income Statement'!BA271</f>
        <v>361</v>
      </c>
      <c r="D12" s="89">
        <f>'Income Statement'!BF271</f>
        <v>-3294</v>
      </c>
      <c r="E12" s="89">
        <f>'Income Statement'!BK271</f>
        <v>711</v>
      </c>
      <c r="F12" s="89">
        <f>'Income Statement'!BP271</f>
        <v>-1654.7730000000001</v>
      </c>
      <c r="G12" s="89">
        <f>'Income Statement'!BU271</f>
        <v>1287.8070000000002</v>
      </c>
      <c r="H12" s="89">
        <f>'Income Statement'!BZ271</f>
        <v>1121.1880000000001</v>
      </c>
    </row>
    <row r="13" spans="1:9">
      <c r="A13" s="78"/>
      <c r="B13" s="84"/>
      <c r="C13" s="84"/>
      <c r="D13" s="84"/>
      <c r="E13" s="84"/>
      <c r="F13" s="84"/>
      <c r="G13" s="84"/>
      <c r="H13" s="84"/>
    </row>
    <row r="14" spans="1:9">
      <c r="A14" s="78" t="s">
        <v>150</v>
      </c>
      <c r="B14" s="90">
        <f>'Balance Sheet and Cflow'!L49</f>
        <v>13271</v>
      </c>
      <c r="C14" s="90">
        <f>'Balance Sheet and Cflow'!M49</f>
        <v>12296</v>
      </c>
      <c r="D14" s="90">
        <f>'Balance Sheet and Cflow'!N49</f>
        <v>11516.451999999999</v>
      </c>
      <c r="E14" s="90">
        <f>'Balance Sheet and Cflow'!O49</f>
        <v>25325.744000000002</v>
      </c>
      <c r="F14" s="90">
        <f>'Balance Sheet and Cflow'!P49</f>
        <v>30662.310000000005</v>
      </c>
      <c r="G14" s="90">
        <f>'Balance Sheet and Cflow'!Q49</f>
        <v>32984.250999999997</v>
      </c>
      <c r="H14" s="90">
        <f>'Balance Sheet and Cflow'!R49</f>
        <v>38775.660000000003</v>
      </c>
    </row>
    <row r="15" spans="1:9">
      <c r="A15" s="78"/>
      <c r="B15" s="84"/>
      <c r="C15" s="84"/>
      <c r="D15" s="84"/>
      <c r="E15" s="84"/>
      <c r="F15" s="84"/>
      <c r="G15" s="84"/>
      <c r="H15" s="84"/>
    </row>
    <row r="16" spans="1:9">
      <c r="A16" s="78" t="s">
        <v>111</v>
      </c>
      <c r="B16" s="88">
        <f>B12</f>
        <v>374</v>
      </c>
      <c r="C16" s="88">
        <f t="shared" ref="C16:H16" si="0">C12</f>
        <v>361</v>
      </c>
      <c r="D16" s="88">
        <f t="shared" si="0"/>
        <v>-3294</v>
      </c>
      <c r="E16" s="88">
        <f t="shared" si="0"/>
        <v>711</v>
      </c>
      <c r="F16" s="88">
        <f t="shared" si="0"/>
        <v>-1654.7730000000001</v>
      </c>
      <c r="G16" s="88">
        <f t="shared" si="0"/>
        <v>1287.8070000000002</v>
      </c>
      <c r="H16" s="88">
        <f t="shared" si="0"/>
        <v>1121.1880000000001</v>
      </c>
    </row>
    <row r="17" spans="2:8">
      <c r="B17" s="85"/>
      <c r="C17" s="85"/>
      <c r="D17" s="85"/>
      <c r="E17" s="85"/>
      <c r="F17" s="85"/>
      <c r="G17" s="85"/>
      <c r="H17" s="85"/>
    </row>
    <row r="18" spans="2:8">
      <c r="B18" s="85"/>
      <c r="C18" s="85"/>
      <c r="D18" s="85"/>
      <c r="E18" s="85"/>
      <c r="F18" s="85"/>
      <c r="G18" s="85"/>
      <c r="H18" s="85"/>
    </row>
    <row r="19" spans="2:8">
      <c r="B19" s="85"/>
      <c r="C19" s="85"/>
      <c r="D19" s="85"/>
      <c r="E19" s="85"/>
      <c r="F19" s="85"/>
      <c r="G19" s="85"/>
      <c r="H19" s="85"/>
    </row>
    <row r="20" spans="2:8">
      <c r="B20" s="85"/>
      <c r="C20" s="85"/>
      <c r="D20" s="85"/>
      <c r="E20" s="85"/>
      <c r="F20" s="85"/>
      <c r="G20" s="85"/>
      <c r="H20" s="85"/>
    </row>
    <row r="21" spans="2:8">
      <c r="B21" s="85"/>
      <c r="C21" s="85"/>
      <c r="D21" s="85"/>
      <c r="E21" s="85"/>
      <c r="F21" s="85"/>
      <c r="G21" s="85"/>
      <c r="H21" s="85"/>
    </row>
    <row r="22" spans="2:8">
      <c r="B22" s="85"/>
      <c r="C22" s="85"/>
      <c r="D22" s="85"/>
      <c r="E22" s="85"/>
      <c r="F22" s="85"/>
      <c r="G22" s="85"/>
      <c r="H22" s="85"/>
    </row>
    <row r="23" spans="2:8">
      <c r="B23" s="85"/>
      <c r="C23" s="85"/>
      <c r="D23" s="85"/>
      <c r="E23" s="85"/>
      <c r="F23" s="85"/>
      <c r="G23" s="85"/>
      <c r="H23" s="85"/>
    </row>
    <row r="24" spans="2:8">
      <c r="B24" s="85"/>
      <c r="C24" s="85"/>
      <c r="D24" s="85"/>
      <c r="E24" s="85"/>
      <c r="F24" s="85"/>
      <c r="G24" s="85"/>
      <c r="H24" s="85"/>
    </row>
    <row r="25" spans="2:8">
      <c r="B25" s="85"/>
      <c r="C25" s="85"/>
      <c r="D25" s="85"/>
      <c r="E25" s="85"/>
      <c r="F25" s="85"/>
      <c r="G25" s="85"/>
      <c r="H25" s="8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N70"/>
  <sheetViews>
    <sheetView zoomScale="80" zoomScaleNormal="80" workbookViewId="0">
      <selection activeCell="B9" sqref="B9"/>
    </sheetView>
  </sheetViews>
  <sheetFormatPr defaultRowHeight="14.5"/>
  <cols>
    <col min="1" max="1" width="13.6328125" bestFit="1" customWidth="1"/>
  </cols>
  <sheetData>
    <row r="1" spans="1:14">
      <c r="A1" s="128" t="s">
        <v>562</v>
      </c>
      <c r="B1" s="127">
        <f>'Income Statement'!BA4</f>
        <v>2017</v>
      </c>
      <c r="C1" s="127">
        <f>'Income Statement'!BF4</f>
        <v>2018</v>
      </c>
      <c r="D1" s="133">
        <f>'Income Statement'!BK4</f>
        <v>2019</v>
      </c>
      <c r="E1" s="127">
        <f>'Income Statement'!BP4</f>
        <v>2020</v>
      </c>
      <c r="F1" s="127">
        <f>'Income Statement'!BU4</f>
        <v>2021</v>
      </c>
      <c r="G1" s="127">
        <f>'Income Statement'!BZ4</f>
        <v>2022</v>
      </c>
      <c r="H1" s="127">
        <f>'Income Statement'!CE4</f>
        <v>2023</v>
      </c>
      <c r="I1" s="127">
        <f>'Income Statement'!CJ4</f>
        <v>2024</v>
      </c>
      <c r="J1" s="127">
        <f>'Income Statement'!CO4</f>
        <v>2025</v>
      </c>
      <c r="K1" s="127">
        <f>'Income Statement'!CP4</f>
        <v>2026</v>
      </c>
      <c r="L1" s="127">
        <f>'Income Statement'!CQ4</f>
        <v>2027</v>
      </c>
      <c r="M1" s="127">
        <f>'Income Statement'!CR4</f>
        <v>2028</v>
      </c>
      <c r="N1" s="127"/>
    </row>
    <row r="2" spans="1:14">
      <c r="A2" s="122"/>
      <c r="B2" s="122"/>
      <c r="C2" s="122"/>
      <c r="D2" s="134"/>
      <c r="E2" s="122"/>
      <c r="F2" s="111"/>
    </row>
    <row r="3" spans="1:14">
      <c r="A3" s="122"/>
      <c r="B3" s="122"/>
      <c r="C3" s="122"/>
      <c r="D3" s="134"/>
      <c r="E3" s="122"/>
      <c r="F3" s="111"/>
    </row>
    <row r="4" spans="1:14">
      <c r="A4" s="128" t="s">
        <v>526</v>
      </c>
      <c r="B4" s="122"/>
      <c r="C4" s="122"/>
      <c r="D4" s="134"/>
      <c r="E4" s="122"/>
      <c r="F4" s="111"/>
    </row>
    <row r="5" spans="1:14">
      <c r="A5" s="122" t="s">
        <v>5</v>
      </c>
      <c r="B5" s="129">
        <f>'Income Statement'!BA5</f>
        <v>22901</v>
      </c>
      <c r="C5" s="129">
        <f>'Income Statement'!BF5</f>
        <v>22938.811999999998</v>
      </c>
      <c r="D5" s="135">
        <f>'Income Statement'!BK5</f>
        <v>25132.851999999999</v>
      </c>
      <c r="E5" s="129">
        <f>'Income Statement'!BP5</f>
        <v>26009.095000000001</v>
      </c>
      <c r="F5" s="129">
        <f>'Income Statement'!BU5</f>
        <v>26754.050000000003</v>
      </c>
      <c r="G5" s="129">
        <f>'Income Statement'!BZ5</f>
        <v>29141.994000000002</v>
      </c>
      <c r="H5" s="129">
        <f>'Income Statement'!CE5</f>
        <v>32322.651000000005</v>
      </c>
      <c r="I5" s="129">
        <f>'Income Statement'!CJ5</f>
        <v>34391.597000000002</v>
      </c>
      <c r="J5" s="129">
        <f>'Income Statement'!CO5</f>
        <v>42474.105831966364</v>
      </c>
      <c r="K5" s="129">
        <f>'Income Statement'!CP5</f>
        <v>47281.52542977938</v>
      </c>
      <c r="L5" s="129">
        <f>'Income Statement'!CQ5</f>
        <v>49342.820741226758</v>
      </c>
      <c r="M5" s="129">
        <f>'Income Statement'!CR5</f>
        <v>51491.024704882409</v>
      </c>
      <c r="N5" s="129"/>
    </row>
    <row r="6" spans="1:14">
      <c r="A6" s="122" t="s">
        <v>2</v>
      </c>
      <c r="B6" s="129">
        <f>'Income Statement'!BA12</f>
        <v>8321</v>
      </c>
      <c r="C6" s="129">
        <f>'Income Statement'!BF12</f>
        <v>8513</v>
      </c>
      <c r="D6" s="135">
        <f>'Income Statement'!BK12</f>
        <v>9966</v>
      </c>
      <c r="E6" s="129">
        <f>'Income Statement'!BP12</f>
        <v>13060</v>
      </c>
      <c r="F6" s="129">
        <f>'Income Statement'!BU12</f>
        <v>13287</v>
      </c>
      <c r="G6" s="129">
        <f>'Income Statement'!BZ12</f>
        <v>14235</v>
      </c>
      <c r="H6" s="129">
        <f>'Income Statement'!CE12</f>
        <v>15885</v>
      </c>
      <c r="I6" s="129">
        <f>'Income Statement'!CJ12</f>
        <v>17879</v>
      </c>
      <c r="J6" s="129">
        <f>'Income Statement'!CO12</f>
        <v>18547.777952688124</v>
      </c>
      <c r="K6" s="129">
        <f>'Income Statement'!CP12</f>
        <v>22026.102884302556</v>
      </c>
      <c r="L6" s="129">
        <f>'Income Statement'!CQ12</f>
        <v>24266.810115801967</v>
      </c>
      <c r="M6" s="129">
        <f>'Income Statement'!CR12</f>
        <v>26620.859772424206</v>
      </c>
      <c r="N6" s="129"/>
    </row>
    <row r="7" spans="1:14">
      <c r="A7" s="122" t="s">
        <v>248</v>
      </c>
      <c r="B7" s="129">
        <f>'Income Statement'!BA27</f>
        <v>6697</v>
      </c>
      <c r="C7" s="129">
        <f>'Income Statement'!BF27</f>
        <v>6792</v>
      </c>
      <c r="D7" s="135">
        <f>'Income Statement'!BK27</f>
        <v>7996</v>
      </c>
      <c r="E7" s="129">
        <f>'Income Statement'!BP27</f>
        <v>6155</v>
      </c>
      <c r="F7" s="129">
        <f>'Income Statement'!BU27</f>
        <v>9921</v>
      </c>
      <c r="G7" s="129">
        <f>'Income Statement'!BZ27</f>
        <v>9063</v>
      </c>
      <c r="H7" s="129">
        <f>'Income Statement'!CE27</f>
        <v>7158</v>
      </c>
      <c r="I7" s="129">
        <f>'Income Statement'!CJ27</f>
        <v>7382</v>
      </c>
      <c r="J7" s="129">
        <f>'Income Statement'!CO27</f>
        <v>20387.570799343855</v>
      </c>
      <c r="K7" s="129">
        <f>'Income Statement'!CP27</f>
        <v>10401.935594551464</v>
      </c>
      <c r="L7" s="129">
        <f>'Income Statement'!CQ27</f>
        <v>10361.99235565762</v>
      </c>
      <c r="M7" s="129">
        <f>'Income Statement'!CR27</f>
        <v>10813.115188025306</v>
      </c>
      <c r="N7" s="129"/>
    </row>
    <row r="8" spans="1:14">
      <c r="A8" s="122" t="s">
        <v>141</v>
      </c>
      <c r="B8" s="129">
        <f>B6-B7</f>
        <v>1624</v>
      </c>
      <c r="C8" s="129">
        <f t="shared" ref="C8:M8" si="0">C6-C7</f>
        <v>1721</v>
      </c>
      <c r="D8" s="135">
        <f t="shared" si="0"/>
        <v>1970</v>
      </c>
      <c r="E8" s="129">
        <f t="shared" si="0"/>
        <v>6905</v>
      </c>
      <c r="F8" s="129">
        <f t="shared" si="0"/>
        <v>3366</v>
      </c>
      <c r="G8" s="129">
        <f t="shared" si="0"/>
        <v>5172</v>
      </c>
      <c r="H8" s="129">
        <f t="shared" si="0"/>
        <v>8727</v>
      </c>
      <c r="I8" s="129">
        <f t="shared" si="0"/>
        <v>10497</v>
      </c>
      <c r="J8" s="129">
        <f t="shared" si="0"/>
        <v>-1839.7928466557314</v>
      </c>
      <c r="K8" s="129">
        <f t="shared" si="0"/>
        <v>11624.167289751093</v>
      </c>
      <c r="L8" s="129">
        <f t="shared" si="0"/>
        <v>13904.817760144348</v>
      </c>
      <c r="M8" s="129">
        <f t="shared" si="0"/>
        <v>15807.744584398901</v>
      </c>
      <c r="N8" s="129"/>
    </row>
    <row r="9" spans="1:14">
      <c r="A9" s="122" t="s">
        <v>564</v>
      </c>
      <c r="B9" s="129">
        <f>'Income Statement'!BA271</f>
        <v>361</v>
      </c>
      <c r="C9" s="129">
        <f>'Income Statement'!BF271</f>
        <v>-3294</v>
      </c>
      <c r="D9" s="135">
        <f>'Income Statement'!BK271</f>
        <v>711</v>
      </c>
      <c r="E9" s="129">
        <f>'Income Statement'!BP271</f>
        <v>-1654.7730000000001</v>
      </c>
      <c r="F9" s="129">
        <f>'Income Statement'!BU271</f>
        <v>1287.8070000000002</v>
      </c>
      <c r="G9" s="129">
        <f>'Income Statement'!BZ271</f>
        <v>1121.1880000000001</v>
      </c>
      <c r="H9" s="129">
        <f>'Income Statement'!CE271</f>
        <v>1284.4479999999999</v>
      </c>
      <c r="I9" s="129">
        <f>'Income Statement'!CJ271</f>
        <v>1847.6309999999999</v>
      </c>
      <c r="J9" s="129">
        <f>'Income Statement'!CO271</f>
        <v>-2284.2333262787533</v>
      </c>
      <c r="K9" s="129">
        <f>'Income Statement'!CP271</f>
        <v>736.32068869677698</v>
      </c>
      <c r="L9" s="129">
        <f>'Income Statement'!CQ271</f>
        <v>2202.5305303360401</v>
      </c>
      <c r="M9" s="129">
        <f>'Income Statement'!CR271</f>
        <v>4360.0040675784803</v>
      </c>
      <c r="N9" s="129"/>
    </row>
    <row r="10" spans="1:14">
      <c r="A10" s="122"/>
      <c r="B10" s="122"/>
      <c r="C10" s="122"/>
      <c r="D10" s="134"/>
      <c r="E10" s="122"/>
      <c r="F10" s="111"/>
    </row>
    <row r="11" spans="1:14">
      <c r="A11" s="122"/>
      <c r="B11" s="122"/>
      <c r="C11" s="122"/>
      <c r="D11" s="134"/>
      <c r="E11" s="122"/>
      <c r="F11" s="111"/>
    </row>
    <row r="12" spans="1:14">
      <c r="A12" s="128" t="s">
        <v>525</v>
      </c>
      <c r="B12" s="122"/>
      <c r="C12" s="122"/>
      <c r="D12" s="134"/>
      <c r="E12" s="122"/>
      <c r="F12" s="111"/>
    </row>
    <row r="13" spans="1:14">
      <c r="A13" s="130" t="s">
        <v>5</v>
      </c>
      <c r="B13" s="131">
        <v>22875</v>
      </c>
      <c r="C13" s="131">
        <v>22949.399999999998</v>
      </c>
      <c r="D13" s="136">
        <v>25296.568641607344</v>
      </c>
      <c r="E13" s="131">
        <v>27950.100756044525</v>
      </c>
      <c r="F13" s="131">
        <v>30458.43875773931</v>
      </c>
      <c r="G13" s="131">
        <v>32567.416807930156</v>
      </c>
      <c r="H13" s="131">
        <v>34509.732364130927</v>
      </c>
      <c r="I13" s="131">
        <v>36397.033514901079</v>
      </c>
      <c r="J13" s="131">
        <v>38348.274567702545</v>
      </c>
      <c r="K13" s="131">
        <v>40312.824144978651</v>
      </c>
      <c r="L13" s="131">
        <v>42280.273913507437</v>
      </c>
      <c r="M13" s="131">
        <v>44241.625585296402</v>
      </c>
    </row>
    <row r="14" spans="1:14">
      <c r="A14" s="130" t="s">
        <v>2</v>
      </c>
      <c r="B14" s="131">
        <v>8321</v>
      </c>
      <c r="C14" s="131">
        <v>8524.3999999999978</v>
      </c>
      <c r="D14" s="136">
        <v>9758.8032438099872</v>
      </c>
      <c r="E14" s="131">
        <v>11588.493834321147</v>
      </c>
      <c r="F14" s="131">
        <v>12939.709704564673</v>
      </c>
      <c r="G14" s="131">
        <v>14125.370710868145</v>
      </c>
      <c r="H14" s="131">
        <v>15231.878601568027</v>
      </c>
      <c r="I14" s="131">
        <v>16314.282761908034</v>
      </c>
      <c r="J14" s="131">
        <v>17462.492565062796</v>
      </c>
      <c r="K14" s="131">
        <v>18625.329053493355</v>
      </c>
      <c r="L14" s="131">
        <v>19798.233525267668</v>
      </c>
      <c r="M14" s="131">
        <v>20977.042215896487</v>
      </c>
    </row>
    <row r="15" spans="1:14">
      <c r="A15" s="130" t="s">
        <v>248</v>
      </c>
      <c r="B15" s="131">
        <v>6697</v>
      </c>
      <c r="C15" s="131">
        <v>6273.7529999999997</v>
      </c>
      <c r="D15" s="136">
        <v>7968.4191221063138</v>
      </c>
      <c r="E15" s="131">
        <v>8385.0302268133564</v>
      </c>
      <c r="F15" s="131">
        <v>8680.655045955702</v>
      </c>
      <c r="G15" s="131">
        <v>6513.4833615860316</v>
      </c>
      <c r="H15" s="131">
        <v>6556.8491491848763</v>
      </c>
      <c r="I15" s="131">
        <v>6569.6645494396444</v>
      </c>
      <c r="J15" s="131">
        <v>6575.7703814967936</v>
      </c>
      <c r="K15" s="131">
        <v>6567.0094442472018</v>
      </c>
      <c r="L15" s="131">
        <v>6543.1339973101149</v>
      </c>
      <c r="M15" s="131">
        <v>6504.332039163779</v>
      </c>
    </row>
    <row r="16" spans="1:14">
      <c r="A16" s="130" t="s">
        <v>141</v>
      </c>
      <c r="B16" s="131">
        <f>B14-B15</f>
        <v>1624</v>
      </c>
      <c r="C16" s="131">
        <f t="shared" ref="C16:M16" si="1">C14-C15</f>
        <v>2250.6469999999981</v>
      </c>
      <c r="D16" s="136">
        <f t="shared" si="1"/>
        <v>1790.3841217036734</v>
      </c>
      <c r="E16" s="131">
        <f t="shared" si="1"/>
        <v>3203.4636075077906</v>
      </c>
      <c r="F16" s="131">
        <f t="shared" si="1"/>
        <v>4259.0546586089713</v>
      </c>
      <c r="G16" s="131">
        <f t="shared" si="1"/>
        <v>7611.8873492821131</v>
      </c>
      <c r="H16" s="131">
        <f t="shared" si="1"/>
        <v>8675.0294523831508</v>
      </c>
      <c r="I16" s="131">
        <f t="shared" si="1"/>
        <v>9744.618212468391</v>
      </c>
      <c r="J16" s="131">
        <f t="shared" si="1"/>
        <v>10886.722183566002</v>
      </c>
      <c r="K16" s="131">
        <f t="shared" si="1"/>
        <v>12058.319609246153</v>
      </c>
      <c r="L16" s="131">
        <f t="shared" si="1"/>
        <v>13255.099527957553</v>
      </c>
      <c r="M16" s="131">
        <f t="shared" si="1"/>
        <v>14472.710176732708</v>
      </c>
    </row>
    <row r="17" spans="1:13">
      <c r="A17" s="130" t="s">
        <v>564</v>
      </c>
      <c r="B17" s="131">
        <v>361</v>
      </c>
      <c r="C17" s="131">
        <v>-3664</v>
      </c>
      <c r="D17" s="136">
        <v>-3568.7392738018189</v>
      </c>
      <c r="E17" s="131">
        <v>-2185.7775418367046</v>
      </c>
      <c r="F17" s="131">
        <v>-1165.8901452925525</v>
      </c>
      <c r="G17" s="131">
        <v>-74.53893309646304</v>
      </c>
      <c r="H17" s="131">
        <v>1343.3395053527693</v>
      </c>
      <c r="I17" s="131">
        <v>2848.15074080874</v>
      </c>
      <c r="J17" s="131">
        <v>4510.8777563184476</v>
      </c>
      <c r="K17" s="131">
        <v>6301.5126714273465</v>
      </c>
      <c r="L17" s="131">
        <v>8221.3912883851244</v>
      </c>
      <c r="M17" s="131">
        <v>10272.942992463617</v>
      </c>
    </row>
    <row r="18" spans="1:13">
      <c r="A18" s="122"/>
      <c r="B18" s="122"/>
      <c r="C18" s="122"/>
      <c r="D18" s="134"/>
      <c r="E18" s="122"/>
      <c r="F18" s="111"/>
    </row>
    <row r="19" spans="1:13">
      <c r="A19" s="122"/>
      <c r="B19" s="122"/>
      <c r="C19" s="122"/>
      <c r="D19" s="134"/>
      <c r="E19" s="122"/>
      <c r="F19" s="111"/>
    </row>
    <row r="20" spans="1:13">
      <c r="A20" s="122" t="s">
        <v>5</v>
      </c>
      <c r="B20" s="132">
        <f>B5/B13-1</f>
        <v>1.1366120218578857E-3</v>
      </c>
      <c r="C20" s="132">
        <f t="shared" ref="C20:M20" si="2">C5/C13-1</f>
        <v>-4.6136282430042641E-4</v>
      </c>
      <c r="D20" s="137">
        <f t="shared" si="2"/>
        <v>-6.4718912642589554E-3</v>
      </c>
      <c r="E20" s="132">
        <f t="shared" si="2"/>
        <v>-6.9445393881979456E-2</v>
      </c>
      <c r="F20" s="132">
        <f t="shared" si="2"/>
        <v>-0.12162109775892715</v>
      </c>
      <c r="G20" s="132">
        <f t="shared" si="2"/>
        <v>-0.10517944447764938</v>
      </c>
      <c r="H20" s="132">
        <f t="shared" si="2"/>
        <v>-6.3375784577342942E-2</v>
      </c>
      <c r="I20" s="132">
        <f t="shared" si="2"/>
        <v>-5.5098900136464235E-2</v>
      </c>
      <c r="J20" s="132">
        <f t="shared" si="2"/>
        <v>0.10758844591507777</v>
      </c>
      <c r="K20" s="132">
        <f t="shared" si="2"/>
        <v>0.17286561863636507</v>
      </c>
      <c r="L20" s="132">
        <f t="shared" si="2"/>
        <v>0.16704117958571274</v>
      </c>
      <c r="M20" s="132">
        <f t="shared" si="2"/>
        <v>0.16385923943073477</v>
      </c>
    </row>
    <row r="21" spans="1:13">
      <c r="A21" s="122" t="s">
        <v>2</v>
      </c>
      <c r="B21" s="132">
        <f>B6/B14-1</f>
        <v>0</v>
      </c>
      <c r="C21" s="132">
        <f t="shared" ref="C21:M21" si="3">C6/C14-1</f>
        <v>-1.3373375252214714E-3</v>
      </c>
      <c r="D21" s="137">
        <f t="shared" si="3"/>
        <v>2.1231779247259386E-2</v>
      </c>
      <c r="E21" s="132">
        <f t="shared" si="3"/>
        <v>0.12697993257076745</v>
      </c>
      <c r="F21" s="132">
        <f t="shared" si="3"/>
        <v>2.683911025552721E-2</v>
      </c>
      <c r="G21" s="132">
        <f t="shared" si="3"/>
        <v>7.7611619104274165E-3</v>
      </c>
      <c r="H21" s="132">
        <f t="shared" si="3"/>
        <v>4.2878584809935338E-2</v>
      </c>
      <c r="I21" s="132">
        <f t="shared" si="3"/>
        <v>9.591088133800163E-2</v>
      </c>
      <c r="J21" s="132">
        <f t="shared" si="3"/>
        <v>6.2149511794018286E-2</v>
      </c>
      <c r="K21" s="132">
        <f t="shared" si="3"/>
        <v>0.18258865768448551</v>
      </c>
      <c r="L21" s="132">
        <f t="shared" si="3"/>
        <v>0.22570582293775043</v>
      </c>
      <c r="M21" s="132">
        <f t="shared" si="3"/>
        <v>0.26904734702067823</v>
      </c>
    </row>
    <row r="22" spans="1:13">
      <c r="A22" s="122" t="s">
        <v>248</v>
      </c>
      <c r="B22" s="132">
        <f>B7/B15-1</f>
        <v>0</v>
      </c>
      <c r="C22" s="132">
        <f t="shared" ref="C22:M24" si="4">C7/C15-1</f>
        <v>8.2605579148557595E-2</v>
      </c>
      <c r="D22" s="137">
        <f t="shared" si="4"/>
        <v>3.4612734936556588E-3</v>
      </c>
      <c r="E22" s="132">
        <f t="shared" si="4"/>
        <v>-0.26595374929982285</v>
      </c>
      <c r="F22" s="132">
        <f t="shared" si="4"/>
        <v>0.14288610104627675</v>
      </c>
      <c r="G22" s="132">
        <f t="shared" si="4"/>
        <v>0.391421378835481</v>
      </c>
      <c r="H22" s="132">
        <f t="shared" si="4"/>
        <v>9.1682885657031976E-2</v>
      </c>
      <c r="I22" s="132">
        <f t="shared" si="4"/>
        <v>0.12364945644441505</v>
      </c>
      <c r="J22" s="132">
        <f t="shared" si="4"/>
        <v>2.1004079547411423</v>
      </c>
      <c r="K22" s="132">
        <f t="shared" si="4"/>
        <v>0.58396842320117481</v>
      </c>
      <c r="L22" s="132">
        <f t="shared" si="4"/>
        <v>0.58364361174896295</v>
      </c>
      <c r="M22" s="132">
        <f t="shared" si="4"/>
        <v>0.66244821496159045</v>
      </c>
    </row>
    <row r="23" spans="1:13">
      <c r="A23" s="139" t="s">
        <v>141</v>
      </c>
      <c r="B23" s="140">
        <f>B8/B16-1</f>
        <v>0</v>
      </c>
      <c r="C23" s="140">
        <f t="shared" si="4"/>
        <v>-0.23533099593139151</v>
      </c>
      <c r="D23" s="141">
        <f t="shared" si="4"/>
        <v>0.10032253755993414</v>
      </c>
      <c r="E23" s="140">
        <f t="shared" si="4"/>
        <v>1.155479457864641</v>
      </c>
      <c r="F23" s="140">
        <f t="shared" si="4"/>
        <v>-0.20968377496724766</v>
      </c>
      <c r="G23" s="140">
        <f t="shared" si="4"/>
        <v>-0.3205364500713771</v>
      </c>
      <c r="H23" s="140">
        <f t="shared" si="4"/>
        <v>5.9908208844838828E-3</v>
      </c>
      <c r="I23" s="140">
        <f t="shared" si="4"/>
        <v>7.7209981050763377E-2</v>
      </c>
      <c r="J23" s="140">
        <f t="shared" si="4"/>
        <v>-1.1689941945458093</v>
      </c>
      <c r="K23" s="140">
        <f t="shared" si="4"/>
        <v>-3.6004379844282619E-2</v>
      </c>
      <c r="L23" s="140">
        <f t="shared" si="4"/>
        <v>4.9016473306474628E-2</v>
      </c>
      <c r="M23" s="140">
        <f t="shared" si="4"/>
        <v>9.224494869056965E-2</v>
      </c>
    </row>
    <row r="24" spans="1:13">
      <c r="A24" s="122" t="s">
        <v>564</v>
      </c>
      <c r="B24" s="132">
        <f>B9/B17-1</f>
        <v>0</v>
      </c>
      <c r="C24" s="132">
        <f t="shared" si="4"/>
        <v>-0.1009825327510917</v>
      </c>
      <c r="D24" s="137">
        <f t="shared" si="4"/>
        <v>-1.1992300208702451</v>
      </c>
      <c r="E24" s="132">
        <f t="shared" si="4"/>
        <v>-0.24293622368839163</v>
      </c>
      <c r="F24" s="132">
        <f t="shared" si="4"/>
        <v>-2.1045697617393069</v>
      </c>
      <c r="G24" s="132">
        <f t="shared" si="4"/>
        <v>-16.041642715076662</v>
      </c>
      <c r="H24" s="132">
        <f t="shared" si="4"/>
        <v>-4.3839628863817315E-2</v>
      </c>
      <c r="I24" s="132">
        <f t="shared" si="4"/>
        <v>-0.35128749559254013</v>
      </c>
      <c r="J24" s="132">
        <f t="shared" si="4"/>
        <v>-1.5063833359436967</v>
      </c>
      <c r="K24" s="132">
        <f t="shared" si="4"/>
        <v>-0.88315175623855502</v>
      </c>
      <c r="L24" s="132">
        <f t="shared" si="4"/>
        <v>-0.73209759114035933</v>
      </c>
      <c r="M24" s="132">
        <f t="shared" si="4"/>
        <v>-0.57558373771011451</v>
      </c>
    </row>
    <row r="25" spans="1:13">
      <c r="A25" s="111"/>
      <c r="B25" s="111"/>
      <c r="C25" s="111"/>
      <c r="D25" s="111"/>
      <c r="E25" s="111"/>
      <c r="F25" s="111"/>
    </row>
    <row r="26" spans="1:13">
      <c r="A26" s="111"/>
      <c r="B26" s="111"/>
      <c r="C26" s="111"/>
      <c r="D26" s="111"/>
      <c r="E26" s="111"/>
      <c r="F26" s="111"/>
    </row>
    <row r="27" spans="1:13">
      <c r="A27" s="111"/>
      <c r="B27" s="111"/>
      <c r="C27" s="111"/>
      <c r="D27" s="111"/>
      <c r="E27" s="111"/>
      <c r="F27" s="111"/>
      <c r="G27" t="s">
        <v>565</v>
      </c>
    </row>
    <row r="28" spans="1:13">
      <c r="G28" s="138">
        <f>(G5/C5)^(1/4)-1</f>
        <v>6.1663986543002647E-2</v>
      </c>
    </row>
    <row r="29" spans="1:13">
      <c r="G29" s="138">
        <f>(G6/C6)^(1/4)-1</f>
        <v>0.13715249748973424</v>
      </c>
    </row>
    <row r="30" spans="1:13">
      <c r="G30" s="138">
        <f>(G7/C7)^(1/4)-1</f>
        <v>7.4777523755916953E-2</v>
      </c>
    </row>
    <row r="31" spans="1:13">
      <c r="G31" s="138">
        <f>(G8/C8)^(1/4)-1</f>
        <v>0.31664717444987445</v>
      </c>
    </row>
    <row r="32" spans="1:13">
      <c r="G32" s="138" t="e">
        <f>(G9/C9)^(1/4)-1</f>
        <v>#NUM!</v>
      </c>
    </row>
    <row r="36" spans="7:7">
      <c r="G36" s="138">
        <f>(G13/C13)^(1/4)-1</f>
        <v>9.1447861308231015E-2</v>
      </c>
    </row>
    <row r="37" spans="7:7">
      <c r="G37" s="138">
        <f>(G14/C14)^(1/4)-1</f>
        <v>0.13457708658810574</v>
      </c>
    </row>
    <row r="38" spans="7:7">
      <c r="G38" s="138">
        <f>(G15/C15)^(1/4)-1</f>
        <v>9.4189950264682576E-3</v>
      </c>
    </row>
    <row r="39" spans="7:7">
      <c r="G39" s="138">
        <f>(G16/C16)^(1/4)-1</f>
        <v>0.35611413312603935</v>
      </c>
    </row>
    <row r="40" spans="7:7">
      <c r="G40" s="138">
        <f>(G17/C17)^(1/4)-1</f>
        <v>-0.62233483630434572</v>
      </c>
    </row>
    <row r="51" spans="1:13">
      <c r="A51" s="128" t="s">
        <v>562</v>
      </c>
      <c r="B51" s="127">
        <v>2019</v>
      </c>
      <c r="C51" s="127">
        <v>2020</v>
      </c>
      <c r="D51" s="127">
        <v>2021</v>
      </c>
      <c r="E51" s="127">
        <v>2022</v>
      </c>
      <c r="F51" s="77" t="s">
        <v>566</v>
      </c>
      <c r="H51" s="127">
        <v>2023</v>
      </c>
      <c r="I51" s="127">
        <v>2024</v>
      </c>
      <c r="J51" s="127">
        <v>2025</v>
      </c>
      <c r="K51" s="127">
        <v>2026</v>
      </c>
      <c r="L51" s="127">
        <v>2027</v>
      </c>
      <c r="M51" s="127">
        <v>2028</v>
      </c>
    </row>
    <row r="52" spans="1:13">
      <c r="A52" s="122"/>
      <c r="B52" s="122"/>
      <c r="C52" s="122"/>
      <c r="D52" s="111"/>
    </row>
    <row r="53" spans="1:13">
      <c r="A53" s="128" t="s">
        <v>526</v>
      </c>
      <c r="B53" s="122"/>
      <c r="C53" s="122"/>
      <c r="D53" s="111"/>
    </row>
    <row r="54" spans="1:13">
      <c r="A54" s="122" t="s">
        <v>5</v>
      </c>
      <c r="B54" s="129">
        <v>25514.680228026209</v>
      </c>
      <c r="C54" s="129">
        <v>27894.291825509197</v>
      </c>
      <c r="D54" s="129">
        <v>30013.140899653863</v>
      </c>
      <c r="E54" s="129">
        <v>31888.463483987907</v>
      </c>
      <c r="H54" s="129">
        <v>33500.57197099366</v>
      </c>
      <c r="I54" s="129">
        <v>34977.675486551154</v>
      </c>
      <c r="J54" s="129">
        <v>36446.934841551069</v>
      </c>
      <c r="K54" s="129">
        <v>37860.775502214907</v>
      </c>
      <c r="L54" s="129">
        <v>39209.611213002026</v>
      </c>
      <c r="M54" s="129">
        <v>40486.047473269347</v>
      </c>
    </row>
    <row r="55" spans="1:13">
      <c r="A55" s="122" t="s">
        <v>2</v>
      </c>
      <c r="B55" s="129">
        <v>10220.6289975789</v>
      </c>
      <c r="C55" s="129">
        <v>11579.45079549275</v>
      </c>
      <c r="D55" s="129">
        <v>12656.980036580626</v>
      </c>
      <c r="E55" s="129">
        <v>13775.090423225662</v>
      </c>
      <c r="H55" s="129">
        <v>14855.495328290748</v>
      </c>
      <c r="I55" s="129">
        <v>15795.701367738289</v>
      </c>
      <c r="J55" s="129">
        <v>16556.502816212243</v>
      </c>
      <c r="K55" s="129">
        <v>17282.887441422859</v>
      </c>
      <c r="L55" s="129">
        <v>17971.021320250409</v>
      </c>
      <c r="M55" s="129">
        <v>18617.990328098116</v>
      </c>
    </row>
    <row r="56" spans="1:13">
      <c r="A56" s="122" t="s">
        <v>248</v>
      </c>
      <c r="B56" s="129">
        <v>7654.4040684078627</v>
      </c>
      <c r="C56" s="129">
        <v>8368.2875476527588</v>
      </c>
      <c r="D56" s="129">
        <v>9003.9422698961589</v>
      </c>
      <c r="E56" s="129">
        <v>8928.7697755166155</v>
      </c>
      <c r="H56" s="129">
        <v>8710.1487124583527</v>
      </c>
      <c r="I56" s="129">
        <v>8569.5304942050334</v>
      </c>
      <c r="J56" s="129">
        <v>8483.0240843710108</v>
      </c>
      <c r="K56" s="129">
        <v>8371.4907232334917</v>
      </c>
      <c r="L56" s="129">
        <v>8236.2484013681624</v>
      </c>
      <c r="M56" s="129">
        <v>8079.1539826697717</v>
      </c>
    </row>
    <row r="57" spans="1:13">
      <c r="A57" s="122" t="s">
        <v>141</v>
      </c>
      <c r="B57" s="129">
        <v>2566.2249291710377</v>
      </c>
      <c r="C57" s="129">
        <v>3211.1632478399915</v>
      </c>
      <c r="D57" s="129">
        <v>3653.037766684467</v>
      </c>
      <c r="E57" s="129">
        <v>4846.3206477090462</v>
      </c>
      <c r="H57" s="129">
        <v>6145.3466158323954</v>
      </c>
      <c r="I57" s="129">
        <v>7226.1708735332559</v>
      </c>
      <c r="J57" s="129">
        <v>8073.4787318412327</v>
      </c>
      <c r="K57" s="129">
        <v>8911.3967181893677</v>
      </c>
      <c r="L57" s="129">
        <v>9734.7729188822468</v>
      </c>
      <c r="M57" s="129">
        <v>10538.836345428344</v>
      </c>
    </row>
    <row r="58" spans="1:13">
      <c r="A58" s="122"/>
      <c r="B58" s="122"/>
      <c r="C58" s="122"/>
      <c r="D58" s="111"/>
    </row>
    <row r="59" spans="1:13">
      <c r="A59" s="122"/>
      <c r="B59" s="122"/>
      <c r="C59" s="122"/>
      <c r="D59" s="111"/>
    </row>
    <row r="60" spans="1:13">
      <c r="A60" s="128" t="s">
        <v>525</v>
      </c>
      <c r="B60" s="122"/>
      <c r="C60" s="122"/>
      <c r="D60" s="111"/>
    </row>
    <row r="61" spans="1:13">
      <c r="A61" s="130" t="s">
        <v>5</v>
      </c>
      <c r="B61" s="131">
        <v>25296.568641607344</v>
      </c>
      <c r="C61" s="131">
        <v>27950.100756044525</v>
      </c>
      <c r="D61" s="131">
        <v>30458.43875773931</v>
      </c>
      <c r="E61" s="131">
        <v>32567.416807930156</v>
      </c>
      <c r="H61" s="131">
        <v>34509.732364130927</v>
      </c>
      <c r="I61" s="131">
        <v>36397.033514901079</v>
      </c>
      <c r="J61" s="131">
        <v>38348.274567702545</v>
      </c>
      <c r="K61" s="131">
        <v>40312.824144978651</v>
      </c>
      <c r="L61" s="131">
        <v>42280.273913507437</v>
      </c>
      <c r="M61" s="131">
        <v>44241.625585296402</v>
      </c>
    </row>
    <row r="62" spans="1:13">
      <c r="A62" s="130" t="s">
        <v>2</v>
      </c>
      <c r="B62" s="131">
        <v>9758.8032438099872</v>
      </c>
      <c r="C62" s="131">
        <v>11588.493834321147</v>
      </c>
      <c r="D62" s="131">
        <v>12939.709704564673</v>
      </c>
      <c r="E62" s="131">
        <v>14125.370710868145</v>
      </c>
      <c r="H62" s="131">
        <v>15231.878601568027</v>
      </c>
      <c r="I62" s="131">
        <v>16314.282761908034</v>
      </c>
      <c r="J62" s="131">
        <v>17462.492565062796</v>
      </c>
      <c r="K62" s="131">
        <v>18625.329053493355</v>
      </c>
      <c r="L62" s="131">
        <v>19798.233525267668</v>
      </c>
      <c r="M62" s="131">
        <v>20977.042215896487</v>
      </c>
    </row>
    <row r="63" spans="1:13">
      <c r="A63" s="130" t="s">
        <v>248</v>
      </c>
      <c r="B63" s="131">
        <v>7968.4191221063138</v>
      </c>
      <c r="C63" s="131">
        <v>8385.0302268133564</v>
      </c>
      <c r="D63" s="131">
        <v>8680.655045955702</v>
      </c>
      <c r="E63" s="131">
        <v>6513.4833615860316</v>
      </c>
      <c r="H63" s="131">
        <v>6556.8491491848763</v>
      </c>
      <c r="I63" s="131">
        <v>6569.6645494396444</v>
      </c>
      <c r="J63" s="131">
        <v>6575.7703814967936</v>
      </c>
      <c r="K63" s="131">
        <v>6567.0094442472018</v>
      </c>
      <c r="L63" s="131">
        <v>6543.1339973101149</v>
      </c>
      <c r="M63" s="131">
        <v>6504.332039163779</v>
      </c>
    </row>
    <row r="64" spans="1:13">
      <c r="A64" s="130" t="s">
        <v>141</v>
      </c>
      <c r="B64" s="131">
        <v>1790.3841217036734</v>
      </c>
      <c r="C64" s="131">
        <v>3203.4636075077906</v>
      </c>
      <c r="D64" s="131">
        <v>4259.0546586089713</v>
      </c>
      <c r="E64" s="131">
        <v>7611.8873492821131</v>
      </c>
      <c r="H64" s="131">
        <v>8675.0294523831508</v>
      </c>
      <c r="I64" s="131">
        <v>9744.618212468391</v>
      </c>
      <c r="J64" s="131">
        <v>10886.722183566002</v>
      </c>
      <c r="K64" s="131">
        <v>12058.319609246153</v>
      </c>
      <c r="L64" s="131">
        <v>13255.099527957553</v>
      </c>
      <c r="M64" s="131">
        <v>14472.710176732708</v>
      </c>
    </row>
    <row r="65" spans="1:13">
      <c r="A65" s="122"/>
      <c r="B65" s="122"/>
      <c r="C65" s="122"/>
      <c r="D65" s="111"/>
    </row>
    <row r="66" spans="1:13">
      <c r="A66" s="122"/>
      <c r="B66" s="122"/>
      <c r="C66" s="122"/>
      <c r="D66" s="111"/>
    </row>
    <row r="67" spans="1:13">
      <c r="A67" s="122" t="s">
        <v>5</v>
      </c>
      <c r="B67" s="132">
        <v>8.622180719803918E-3</v>
      </c>
      <c r="C67" s="132">
        <v>-1.9967345027641636E-3</v>
      </c>
      <c r="D67" s="132">
        <v>-1.4619851714241294E-2</v>
      </c>
      <c r="E67" s="132">
        <v>-2.0847625955305205E-2</v>
      </c>
      <c r="F67" s="143">
        <f>AVERAGE(B67:E67)</f>
        <v>-7.2105078631266861E-3</v>
      </c>
      <c r="H67" s="132">
        <v>-2.9242776573549345E-2</v>
      </c>
      <c r="I67" s="132">
        <v>-3.8996530521335893E-2</v>
      </c>
      <c r="J67" s="132">
        <v>-4.9580841578536372E-2</v>
      </c>
      <c r="K67" s="132">
        <v>-6.082552375753536E-2</v>
      </c>
      <c r="L67" s="132">
        <v>-7.2626367246036549E-2</v>
      </c>
      <c r="M67" s="132">
        <v>-8.4887886969397752E-2</v>
      </c>
    </row>
    <row r="68" spans="1:13">
      <c r="A68" s="122" t="s">
        <v>2</v>
      </c>
      <c r="B68" s="132">
        <v>4.7324015274295972E-2</v>
      </c>
      <c r="C68" s="132">
        <v>-7.8034634678880721E-4</v>
      </c>
      <c r="D68" s="132">
        <v>-2.1849769000946817E-2</v>
      </c>
      <c r="E68" s="132">
        <v>-2.479795361214665E-2</v>
      </c>
      <c r="F68" s="144">
        <f t="shared" ref="F68:F70" si="5">AVERAGE(B68:E68)</f>
        <v>-2.6013421396575698E-5</v>
      </c>
      <c r="H68" s="132">
        <v>-2.4710233262923542E-2</v>
      </c>
      <c r="I68" s="132">
        <v>-3.1786956358300533E-2</v>
      </c>
      <c r="J68" s="132">
        <v>-5.1882040635090387E-2</v>
      </c>
      <c r="K68" s="132">
        <v>-7.2076128599655953E-2</v>
      </c>
      <c r="L68" s="132">
        <v>-9.2291678582599901E-2</v>
      </c>
      <c r="M68" s="132">
        <v>-0.11245874721130478</v>
      </c>
    </row>
    <row r="69" spans="1:13">
      <c r="A69" s="122" t="s">
        <v>248</v>
      </c>
      <c r="B69" s="132">
        <v>-3.9407446933520052E-2</v>
      </c>
      <c r="C69" s="132">
        <v>-1.9967345027640526E-3</v>
      </c>
      <c r="D69" s="132">
        <v>3.724226135343045E-2</v>
      </c>
      <c r="E69" s="132">
        <v>0.3708133236625728</v>
      </c>
      <c r="F69" s="144">
        <f t="shared" si="5"/>
        <v>9.1662850894929787E-2</v>
      </c>
      <c r="H69" s="132">
        <v>0.32840462153093264</v>
      </c>
      <c r="I69" s="132">
        <v>0.30440914139763287</v>
      </c>
      <c r="J69" s="132">
        <v>0.29004262500420275</v>
      </c>
      <c r="K69" s="132">
        <v>0.27477975999669724</v>
      </c>
      <c r="L69" s="132">
        <v>0.25876199459679228</v>
      </c>
      <c r="M69" s="132">
        <v>0.24211893458447387</v>
      </c>
    </row>
    <row r="70" spans="1:13">
      <c r="A70" s="139" t="s">
        <v>141</v>
      </c>
      <c r="B70" s="140">
        <v>0.43333762741880144</v>
      </c>
      <c r="C70" s="140">
        <v>2.4035360708190012E-3</v>
      </c>
      <c r="D70" s="140">
        <v>-0.14228906189300528</v>
      </c>
      <c r="E70" s="140">
        <v>-0.36332207436489339</v>
      </c>
      <c r="F70" s="142">
        <f t="shared" si="5"/>
        <v>-1.7467493192069555E-2</v>
      </c>
      <c r="H70" s="140">
        <v>-0.29160510064387346</v>
      </c>
      <c r="I70" s="140">
        <v>-0.2584449471517255</v>
      </c>
      <c r="J70" s="140">
        <v>-0.25841051184088148</v>
      </c>
      <c r="K70" s="140">
        <v>-0.26097524307149467</v>
      </c>
      <c r="L70" s="140">
        <v>-0.26558281223390745</v>
      </c>
      <c r="M70" s="140">
        <v>-0.271813211434906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3:W197"/>
  <sheetViews>
    <sheetView topLeftCell="A4" zoomScale="70" zoomScaleNormal="70" workbookViewId="0">
      <selection activeCell="C190" sqref="A185:C190"/>
    </sheetView>
  </sheetViews>
  <sheetFormatPr defaultRowHeight="14.5"/>
  <cols>
    <col min="1" max="1" width="14.36328125" style="39" customWidth="1"/>
    <col min="2" max="3" width="13.08984375" style="39" bestFit="1" customWidth="1"/>
    <col min="4" max="4" width="22.08984375" style="39" customWidth="1"/>
    <col min="5" max="7" width="13.08984375" style="39" bestFit="1" customWidth="1"/>
    <col min="8" max="8" width="19" style="39" customWidth="1"/>
    <col min="9" max="9" width="13" style="39" bestFit="1" customWidth="1"/>
    <col min="10" max="16" width="13.08984375" style="39" bestFit="1" customWidth="1"/>
    <col min="17" max="17" width="9.1796875" style="39" bestFit="1" customWidth="1"/>
    <col min="18" max="263" width="9.08984375" style="39"/>
    <col min="264" max="264" width="19" style="39" customWidth="1"/>
    <col min="265" max="519" width="9.08984375" style="39"/>
    <col min="520" max="520" width="19" style="39" customWidth="1"/>
    <col min="521" max="775" width="9.08984375" style="39"/>
    <col min="776" max="776" width="19" style="39" customWidth="1"/>
    <col min="777" max="1031" width="9.08984375" style="39"/>
    <col min="1032" max="1032" width="19" style="39" customWidth="1"/>
    <col min="1033" max="1287" width="9.08984375" style="39"/>
    <col min="1288" max="1288" width="19" style="39" customWidth="1"/>
    <col min="1289" max="1543" width="9.08984375" style="39"/>
    <col min="1544" max="1544" width="19" style="39" customWidth="1"/>
    <col min="1545" max="1799" width="9.08984375" style="39"/>
    <col min="1800" max="1800" width="19" style="39" customWidth="1"/>
    <col min="1801" max="2055" width="9.08984375" style="39"/>
    <col min="2056" max="2056" width="19" style="39" customWidth="1"/>
    <col min="2057" max="2311" width="9.08984375" style="39"/>
    <col min="2312" max="2312" width="19" style="39" customWidth="1"/>
    <col min="2313" max="2567" width="9.08984375" style="39"/>
    <col min="2568" max="2568" width="19" style="39" customWidth="1"/>
    <col min="2569" max="2823" width="9.08984375" style="39"/>
    <col min="2824" max="2824" width="19" style="39" customWidth="1"/>
    <col min="2825" max="3079" width="9.08984375" style="39"/>
    <col min="3080" max="3080" width="19" style="39" customWidth="1"/>
    <col min="3081" max="3335" width="9.08984375" style="39"/>
    <col min="3336" max="3336" width="19" style="39" customWidth="1"/>
    <col min="3337" max="3591" width="9.08984375" style="39"/>
    <col min="3592" max="3592" width="19" style="39" customWidth="1"/>
    <col min="3593" max="3847" width="9.08984375" style="39"/>
    <col min="3848" max="3848" width="19" style="39" customWidth="1"/>
    <col min="3849" max="4103" width="9.08984375" style="39"/>
    <col min="4104" max="4104" width="19" style="39" customWidth="1"/>
    <col min="4105" max="4359" width="9.08984375" style="39"/>
    <col min="4360" max="4360" width="19" style="39" customWidth="1"/>
    <col min="4361" max="4615" width="9.08984375" style="39"/>
    <col min="4616" max="4616" width="19" style="39" customWidth="1"/>
    <col min="4617" max="4871" width="9.08984375" style="39"/>
    <col min="4872" max="4872" width="19" style="39" customWidth="1"/>
    <col min="4873" max="5127" width="9.08984375" style="39"/>
    <col min="5128" max="5128" width="19" style="39" customWidth="1"/>
    <col min="5129" max="5383" width="9.08984375" style="39"/>
    <col min="5384" max="5384" width="19" style="39" customWidth="1"/>
    <col min="5385" max="5639" width="9.08984375" style="39"/>
    <col min="5640" max="5640" width="19" style="39" customWidth="1"/>
    <col min="5641" max="5895" width="9.08984375" style="39"/>
    <col min="5896" max="5896" width="19" style="39" customWidth="1"/>
    <col min="5897" max="6151" width="9.08984375" style="39"/>
    <col min="6152" max="6152" width="19" style="39" customWidth="1"/>
    <col min="6153" max="6407" width="9.08984375" style="39"/>
    <col min="6408" max="6408" width="19" style="39" customWidth="1"/>
    <col min="6409" max="6663" width="9.08984375" style="39"/>
    <col min="6664" max="6664" width="19" style="39" customWidth="1"/>
    <col min="6665" max="6919" width="9.08984375" style="39"/>
    <col min="6920" max="6920" width="19" style="39" customWidth="1"/>
    <col min="6921" max="7175" width="9.08984375" style="39"/>
    <col min="7176" max="7176" width="19" style="39" customWidth="1"/>
    <col min="7177" max="7431" width="9.08984375" style="39"/>
    <col min="7432" max="7432" width="19" style="39" customWidth="1"/>
    <col min="7433" max="7687" width="9.08984375" style="39"/>
    <col min="7688" max="7688" width="19" style="39" customWidth="1"/>
    <col min="7689" max="7943" width="9.08984375" style="39"/>
    <col min="7944" max="7944" width="19" style="39" customWidth="1"/>
    <col min="7945" max="8199" width="9.08984375" style="39"/>
    <col min="8200" max="8200" width="19" style="39" customWidth="1"/>
    <col min="8201" max="8455" width="9.08984375" style="39"/>
    <col min="8456" max="8456" width="19" style="39" customWidth="1"/>
    <col min="8457" max="8711" width="9.08984375" style="39"/>
    <col min="8712" max="8712" width="19" style="39" customWidth="1"/>
    <col min="8713" max="8967" width="9.08984375" style="39"/>
    <col min="8968" max="8968" width="19" style="39" customWidth="1"/>
    <col min="8969" max="9223" width="9.08984375" style="39"/>
    <col min="9224" max="9224" width="19" style="39" customWidth="1"/>
    <col min="9225" max="9479" width="9.08984375" style="39"/>
    <col min="9480" max="9480" width="19" style="39" customWidth="1"/>
    <col min="9481" max="9735" width="9.08984375" style="39"/>
    <col min="9736" max="9736" width="19" style="39" customWidth="1"/>
    <col min="9737" max="9991" width="9.08984375" style="39"/>
    <col min="9992" max="9992" width="19" style="39" customWidth="1"/>
    <col min="9993" max="10247" width="9.08984375" style="39"/>
    <col min="10248" max="10248" width="19" style="39" customWidth="1"/>
    <col min="10249" max="10503" width="9.08984375" style="39"/>
    <col min="10504" max="10504" width="19" style="39" customWidth="1"/>
    <col min="10505" max="10759" width="9.08984375" style="39"/>
    <col min="10760" max="10760" width="19" style="39" customWidth="1"/>
    <col min="10761" max="11015" width="9.08984375" style="39"/>
    <col min="11016" max="11016" width="19" style="39" customWidth="1"/>
    <col min="11017" max="11271" width="9.08984375" style="39"/>
    <col min="11272" max="11272" width="19" style="39" customWidth="1"/>
    <col min="11273" max="11527" width="9.08984375" style="39"/>
    <col min="11528" max="11528" width="19" style="39" customWidth="1"/>
    <col min="11529" max="11783" width="9.08984375" style="39"/>
    <col min="11784" max="11784" width="19" style="39" customWidth="1"/>
    <col min="11785" max="12039" width="9.08984375" style="39"/>
    <col min="12040" max="12040" width="19" style="39" customWidth="1"/>
    <col min="12041" max="12295" width="9.08984375" style="39"/>
    <col min="12296" max="12296" width="19" style="39" customWidth="1"/>
    <col min="12297" max="12551" width="9.08984375" style="39"/>
    <col min="12552" max="12552" width="19" style="39" customWidth="1"/>
    <col min="12553" max="12807" width="9.08984375" style="39"/>
    <col min="12808" max="12808" width="19" style="39" customWidth="1"/>
    <col min="12809" max="13063" width="9.08984375" style="39"/>
    <col min="13064" max="13064" width="19" style="39" customWidth="1"/>
    <col min="13065" max="13319" width="9.08984375" style="39"/>
    <col min="13320" max="13320" width="19" style="39" customWidth="1"/>
    <col min="13321" max="13575" width="9.08984375" style="39"/>
    <col min="13576" max="13576" width="19" style="39" customWidth="1"/>
    <col min="13577" max="13831" width="9.08984375" style="39"/>
    <col min="13832" max="13832" width="19" style="39" customWidth="1"/>
    <col min="13833" max="14087" width="9.08984375" style="39"/>
    <col min="14088" max="14088" width="19" style="39" customWidth="1"/>
    <col min="14089" max="14343" width="9.08984375" style="39"/>
    <col min="14344" max="14344" width="19" style="39" customWidth="1"/>
    <col min="14345" max="14599" width="9.08984375" style="39"/>
    <col min="14600" max="14600" width="19" style="39" customWidth="1"/>
    <col min="14601" max="14855" width="9.08984375" style="39"/>
    <col min="14856" max="14856" width="19" style="39" customWidth="1"/>
    <col min="14857" max="15111" width="9.08984375" style="39"/>
    <col min="15112" max="15112" width="19" style="39" customWidth="1"/>
    <col min="15113" max="15367" width="9.08984375" style="39"/>
    <col min="15368" max="15368" width="19" style="39" customWidth="1"/>
    <col min="15369" max="15623" width="9.08984375" style="39"/>
    <col min="15624" max="15624" width="19" style="39" customWidth="1"/>
    <col min="15625" max="15879" width="9.08984375" style="39"/>
    <col min="15880" max="15880" width="19" style="39" customWidth="1"/>
    <col min="15881" max="16135" width="9.08984375" style="39"/>
    <col min="16136" max="16136" width="19" style="39" customWidth="1"/>
    <col min="16137" max="16384" width="9.08984375" style="39"/>
  </cols>
  <sheetData>
    <row r="3" spans="2:23">
      <c r="C3" s="39" t="s">
        <v>418</v>
      </c>
      <c r="D3" s="39" t="s">
        <v>419</v>
      </c>
    </row>
    <row r="4" spans="2:23">
      <c r="B4" s="39" t="s">
        <v>5</v>
      </c>
      <c r="C4" s="39">
        <v>1785</v>
      </c>
      <c r="D4" s="51" t="e">
        <f>'Income Statement'!#REF!</f>
        <v>#REF!</v>
      </c>
    </row>
    <row r="5" spans="2:23">
      <c r="B5" s="39" t="s">
        <v>64</v>
      </c>
      <c r="C5" s="45">
        <v>3.1299910469191561E-2</v>
      </c>
      <c r="D5" s="50">
        <f>'Income Statement'!AU6</f>
        <v>0</v>
      </c>
    </row>
    <row r="6" spans="2:23">
      <c r="H6" s="39" t="s">
        <v>420</v>
      </c>
      <c r="I6" s="39" t="s">
        <v>421</v>
      </c>
      <c r="J6" s="39" t="s">
        <v>422</v>
      </c>
      <c r="K6" s="39" t="s">
        <v>423</v>
      </c>
      <c r="L6" s="39" t="s">
        <v>424</v>
      </c>
      <c r="M6" s="39" t="s">
        <v>425</v>
      </c>
      <c r="N6" s="39" t="s">
        <v>426</v>
      </c>
      <c r="O6" s="39" t="s">
        <v>427</v>
      </c>
      <c r="P6" s="39" t="s">
        <v>428</v>
      </c>
      <c r="Q6" s="39" t="s">
        <v>429</v>
      </c>
      <c r="R6" s="39" t="s">
        <v>430</v>
      </c>
      <c r="S6" s="39" t="s">
        <v>431</v>
      </c>
      <c r="T6" s="39" t="s">
        <v>432</v>
      </c>
      <c r="U6" s="39" t="s">
        <v>433</v>
      </c>
    </row>
    <row r="7" spans="2:23">
      <c r="B7" s="39" t="s">
        <v>2</v>
      </c>
      <c r="C7" s="39">
        <v>805</v>
      </c>
      <c r="D7" s="51">
        <f>'Income Statement'!AU13</f>
        <v>0</v>
      </c>
      <c r="H7" s="39" t="s">
        <v>455</v>
      </c>
      <c r="I7" s="45">
        <f>'Income Statement'!AC211</f>
        <v>-0.10728346456692917</v>
      </c>
      <c r="J7" s="45">
        <f>'Income Statement'!AD211</f>
        <v>-8.2896617436874709E-2</v>
      </c>
      <c r="K7" s="45">
        <f>'Income Statement'!AE211</f>
        <v>-6.7262464722483539E-2</v>
      </c>
      <c r="L7" s="45">
        <f>'Income Statement'!AF211</f>
        <v>-4.14431984397855E-2</v>
      </c>
      <c r="M7" s="45">
        <f>'Income Statement'!AH211</f>
        <v>3.3627342888643774E-2</v>
      </c>
      <c r="N7" s="45">
        <f>'Income Statement'!AI211</f>
        <v>6.7532467532467555E-2</v>
      </c>
      <c r="O7" s="45">
        <f>'Income Statement'!AJ211</f>
        <v>1.5128593040847127E-2</v>
      </c>
      <c r="P7" s="45">
        <f>'Income Statement'!AK211</f>
        <v>1.4242115971515812E-2</v>
      </c>
      <c r="Q7" s="45">
        <f>'Income Statement'!AM211</f>
        <v>-3.1999999999999806E-3</v>
      </c>
      <c r="R7" s="45">
        <f>'Income Statement'!AN211</f>
        <v>-2.9197080291970767E-2</v>
      </c>
      <c r="S7" s="45">
        <f>'Income Statement'!AO211</f>
        <v>0.10283159463487324</v>
      </c>
      <c r="T7" s="45">
        <f>'Income Statement'!AP211</f>
        <v>9.9297893681043137E-2</v>
      </c>
      <c r="U7" s="45">
        <f>'Income Statement'!AR211</f>
        <v>7.3301230604601475E-2</v>
      </c>
      <c r="V7" s="45"/>
      <c r="W7" s="45"/>
    </row>
    <row r="8" spans="2:23">
      <c r="B8" s="39" t="s">
        <v>64</v>
      </c>
      <c r="C8" s="45">
        <v>2.4972479507623824E-2</v>
      </c>
      <c r="D8" s="50" t="e">
        <f>'Income Statement'!#REF!</f>
        <v>#REF!</v>
      </c>
      <c r="H8" s="39" t="s">
        <v>435</v>
      </c>
      <c r="I8" s="45">
        <f>'Income Statement'!AC109</f>
        <v>3.4471145974427797E-2</v>
      </c>
      <c r="J8" s="45">
        <f>'Income Statement'!AD109</f>
        <v>-0.11704408380890607</v>
      </c>
      <c r="K8" s="45">
        <f>'Income Statement'!AE109</f>
        <v>-0.17040865376860959</v>
      </c>
      <c r="L8" s="45">
        <f>'Income Statement'!AF109</f>
        <v>-0.1093629287075033</v>
      </c>
      <c r="M8" s="45">
        <f>'Income Statement'!AH109</f>
        <v>0.12276974207000557</v>
      </c>
      <c r="N8" s="45">
        <f>'Income Statement'!AI109</f>
        <v>0.20901267407291502</v>
      </c>
      <c r="O8" s="45">
        <f>'Income Statement'!AJ109</f>
        <v>0.21424851070019613</v>
      </c>
      <c r="P8" s="45">
        <f>'Income Statement'!AK109</f>
        <v>0.20649192469145938</v>
      </c>
      <c r="Q8" s="45">
        <f>'Income Statement'!AM109</f>
        <v>0.21360399999999991</v>
      </c>
      <c r="R8" s="45">
        <f>'Income Statement'!AN109</f>
        <v>0.25573988055739871</v>
      </c>
      <c r="S8" s="45">
        <f>'Income Statement'!AO109</f>
        <v>0.8075290395820669</v>
      </c>
      <c r="T8" s="45">
        <f>'Income Statement'!AP109</f>
        <v>1.0184587375572094</v>
      </c>
      <c r="U8" s="45">
        <f>'Income Statement'!AR109</f>
        <v>1.2595815381149502</v>
      </c>
      <c r="V8" s="45"/>
      <c r="W8" s="45"/>
    </row>
    <row r="9" spans="2:23">
      <c r="B9" s="39" t="s">
        <v>260</v>
      </c>
      <c r="C9" s="45">
        <v>0.45007372742165541</v>
      </c>
      <c r="D9" s="50">
        <f>'Income Statement'!AU14</f>
        <v>0.34639528248050216</v>
      </c>
      <c r="H9" s="39" t="s">
        <v>436</v>
      </c>
      <c r="I9" s="45">
        <f>'Income Statement'!AC103</f>
        <v>-0.15612725338082334</v>
      </c>
      <c r="J9" s="45">
        <f>'Income Statement'!AD103</f>
        <v>-7.1930171736026005E-2</v>
      </c>
      <c r="K9" s="45">
        <f>'Income Statement'!AE103</f>
        <v>-0.11695249099083238</v>
      </c>
      <c r="L9" s="45">
        <f>'Income Statement'!AF103</f>
        <v>-0.20051870999474131</v>
      </c>
      <c r="M9" s="45">
        <f>'Income Statement'!AH103</f>
        <v>-0.32274878738588242</v>
      </c>
      <c r="N9" s="45">
        <f>'Income Statement'!AI103</f>
        <v>-0.30567792668184357</v>
      </c>
      <c r="O9" s="45">
        <f>'Income Statement'!AJ103</f>
        <v>-0.22489054791452168</v>
      </c>
      <c r="P9" s="45">
        <f>'Income Statement'!AK103</f>
        <v>-0.15403925128970952</v>
      </c>
      <c r="Q9" s="45">
        <f>'Income Statement'!AM103</f>
        <v>-5.1433970796666673E-2</v>
      </c>
      <c r="R9" s="45">
        <f>'Income Statement'!AN103</f>
        <v>3.5266038670482169E-2</v>
      </c>
      <c r="S9" s="45">
        <f>'Income Statement'!AO103</f>
        <v>-0.15540974197608559</v>
      </c>
      <c r="T9" s="45">
        <f>'Income Statement'!AP103</f>
        <v>-0.23129316652735721</v>
      </c>
      <c r="U9" s="45">
        <f>'Income Statement'!AR103</f>
        <v>-0.37210059171597643</v>
      </c>
      <c r="V9" s="45"/>
      <c r="W9" s="45"/>
    </row>
    <row r="10" spans="2:23">
      <c r="H10" s="39" t="s">
        <v>437</v>
      </c>
      <c r="I10" s="45">
        <f>'Income Statement'!AC98</f>
        <v>5.8189655172413701E-2</v>
      </c>
      <c r="J10" s="45">
        <f>'Income Statement'!AD98</f>
        <v>0.18082788671023975</v>
      </c>
      <c r="K10" s="45">
        <f>'Income Statement'!AE98</f>
        <v>0.3735224586288417</v>
      </c>
      <c r="L10" s="45">
        <f>'Income Statement'!AF98</f>
        <v>0.32096069868995625</v>
      </c>
      <c r="M10" s="45">
        <f>'Income Statement'!AH98</f>
        <v>0.39511201629327908</v>
      </c>
      <c r="N10" s="45">
        <f>'Income Statement'!AI98</f>
        <v>0.1599261992619927</v>
      </c>
      <c r="O10" s="45">
        <f>'Income Statement'!AJ98</f>
        <v>2.6850258175559194E-3</v>
      </c>
      <c r="P10" s="45">
        <f>'Income Statement'!AK98</f>
        <v>-1.4876033057851235E-2</v>
      </c>
      <c r="Q10" s="45">
        <f>'Income Statement'!AM98</f>
        <v>-0.23941605839416058</v>
      </c>
      <c r="R10" s="45">
        <f>'Income Statement'!AN98</f>
        <v>-0.26830820131068267</v>
      </c>
      <c r="S10" s="45">
        <f>'Income Statement'!AO98</f>
        <v>-0.28762702554243336</v>
      </c>
      <c r="T10" s="45">
        <f>'Income Statement'!AP98</f>
        <v>-0.29530201342281881</v>
      </c>
      <c r="U10" s="45">
        <f>'Income Statement'!AR98</f>
        <v>-0.18426103646833014</v>
      </c>
      <c r="V10" s="45"/>
      <c r="W10" s="45"/>
    </row>
    <row r="11" spans="2:23">
      <c r="B11" s="39" t="s">
        <v>99</v>
      </c>
      <c r="C11" s="39">
        <v>479</v>
      </c>
      <c r="D11" s="51">
        <f>'Income Statement'!AU271</f>
        <v>215</v>
      </c>
    </row>
    <row r="12" spans="2:23">
      <c r="B12" s="39" t="s">
        <v>64</v>
      </c>
      <c r="C12" s="45">
        <v>-3.8465535350413083E-2</v>
      </c>
      <c r="D12" s="50">
        <f>'Income Statement'!AU272</f>
        <v>-0.55394190871369298</v>
      </c>
    </row>
    <row r="13" spans="2:23">
      <c r="C13" s="45"/>
      <c r="D13" s="45"/>
    </row>
    <row r="14" spans="2:23">
      <c r="B14" s="39" t="s">
        <v>438</v>
      </c>
    </row>
    <row r="16" spans="2:23">
      <c r="B16" s="39" t="s">
        <v>439</v>
      </c>
      <c r="C16" s="39">
        <v>916</v>
      </c>
      <c r="D16" s="51">
        <f>'Income Statement'!AU210</f>
        <v>0</v>
      </c>
    </row>
    <row r="17" spans="2:23">
      <c r="B17" s="39" t="s">
        <v>64</v>
      </c>
      <c r="C17" s="45">
        <v>-6.815869786368256E-2</v>
      </c>
      <c r="D17" s="50">
        <f>'Income Statement'!AU211</f>
        <v>0</v>
      </c>
    </row>
    <row r="18" spans="2:23">
      <c r="C18" s="45"/>
      <c r="D18" s="45"/>
    </row>
    <row r="19" spans="2:23">
      <c r="B19" s="39" t="s">
        <v>80</v>
      </c>
      <c r="C19" s="39">
        <v>672</v>
      </c>
      <c r="D19" s="51">
        <f>'Income Statement'!AU208</f>
        <v>2436</v>
      </c>
    </row>
    <row r="21" spans="2:23">
      <c r="B21" s="39" t="s">
        <v>440</v>
      </c>
      <c r="C21" s="39">
        <v>1588</v>
      </c>
      <c r="D21" s="51">
        <f>'Income Statement'!AU225</f>
        <v>5258</v>
      </c>
    </row>
    <row r="22" spans="2:23">
      <c r="B22" s="39" t="s">
        <v>64</v>
      </c>
      <c r="C22" s="45">
        <v>2.8497409326424972E-2</v>
      </c>
      <c r="D22" s="45">
        <f>[19]Financials!BA116</f>
        <v>2.1879021879021909E-2</v>
      </c>
    </row>
    <row r="23" spans="2:23">
      <c r="D23" s="45"/>
    </row>
    <row r="32" spans="2:23">
      <c r="H32" s="39" t="s">
        <v>441</v>
      </c>
      <c r="I32" s="39" t="s">
        <v>421</v>
      </c>
      <c r="J32" s="39" t="s">
        <v>422</v>
      </c>
      <c r="K32" s="39" t="s">
        <v>423</v>
      </c>
      <c r="L32" s="39" t="s">
        <v>424</v>
      </c>
      <c r="M32" s="39" t="s">
        <v>425</v>
      </c>
      <c r="N32" s="39" t="s">
        <v>426</v>
      </c>
      <c r="O32" s="39" t="s">
        <v>427</v>
      </c>
      <c r="P32" s="39" t="s">
        <v>428</v>
      </c>
      <c r="Q32" s="39" t="s">
        <v>429</v>
      </c>
      <c r="R32" s="39" t="s">
        <v>430</v>
      </c>
      <c r="S32" s="39" t="str">
        <f>S6</f>
        <v>Q3 15</v>
      </c>
      <c r="T32" s="39" t="str">
        <f>T6</f>
        <v>Q4 15</v>
      </c>
      <c r="U32" s="39" t="str">
        <f>U6</f>
        <v>Q1 16</v>
      </c>
      <c r="V32" s="39" t="s">
        <v>434</v>
      </c>
      <c r="W32" s="39" t="s">
        <v>442</v>
      </c>
    </row>
    <row r="33" spans="8:23">
      <c r="H33" s="39" t="s">
        <v>443</v>
      </c>
      <c r="I33" s="46">
        <f>'Income Statement'!AC158</f>
        <v>8.1809999999999992</v>
      </c>
      <c r="J33" s="46">
        <f>'Income Statement'!AD158</f>
        <v>11.919000000000002</v>
      </c>
      <c r="K33" s="46">
        <f>'Income Statement'!AE158</f>
        <v>15.799999999999995</v>
      </c>
      <c r="L33" s="46">
        <f>'Income Statement'!AF158</f>
        <v>17.399999999999999</v>
      </c>
      <c r="M33" s="46">
        <f>'Income Statement'!AH158</f>
        <v>22.57</v>
      </c>
      <c r="N33" s="46">
        <f>'Income Statement'!AI158</f>
        <v>29.229999999999997</v>
      </c>
      <c r="O33" s="46">
        <f>'Income Statement'!AJ158</f>
        <v>32.700000000000003</v>
      </c>
      <c r="P33" s="46">
        <f>'Income Statement'!AK158</f>
        <v>36.400000000000006</v>
      </c>
      <c r="Q33" s="46">
        <f>'Income Statement'!AM158</f>
        <v>42.4</v>
      </c>
      <c r="R33" s="46">
        <f>'Income Statement'!AN158</f>
        <v>45.362000000000002</v>
      </c>
      <c r="S33" s="46">
        <f>'Income Statement'!AO158</f>
        <v>43.882000000000012</v>
      </c>
      <c r="T33" s="46">
        <f>'Income Statement'!AP158</f>
        <v>54.656000000000013</v>
      </c>
      <c r="U33" s="46">
        <f>'Income Statement'!AR158</f>
        <v>84.367000000000004</v>
      </c>
      <c r="V33" s="46">
        <f>'Income Statement'!AS158</f>
        <v>112.89399999999999</v>
      </c>
      <c r="W33" s="46">
        <f>'Income Statement'!AT158</f>
        <v>129.839</v>
      </c>
    </row>
    <row r="34" spans="8:23">
      <c r="H34" s="39" t="s">
        <v>444</v>
      </c>
      <c r="I34" s="46">
        <f>'Income Statement'!AC161</f>
        <v>0</v>
      </c>
      <c r="J34" s="46">
        <f>'Income Statement'!AD161</f>
        <v>411.69561204799055</v>
      </c>
      <c r="K34" s="46">
        <f>'Income Statement'!AE161</f>
        <v>330.06329113924062</v>
      </c>
      <c r="L34" s="46">
        <f>'Income Statement'!AF161</f>
        <v>299.88505747126442</v>
      </c>
      <c r="M34" s="46">
        <f>'Income Statement'!AH161</f>
        <v>188.03721754541425</v>
      </c>
      <c r="N34" s="46">
        <f>'Income Statement'!AI161</f>
        <v>167.90968183373249</v>
      </c>
      <c r="O34" s="46">
        <f>'Income Statement'!AJ161</f>
        <v>149.93883792048928</v>
      </c>
      <c r="P34" s="46">
        <f>'Income Statement'!AK161</f>
        <v>133.3241758241758</v>
      </c>
      <c r="Q34" s="46">
        <f>'Income Statement'!AM161</f>
        <v>107.12264150943396</v>
      </c>
      <c r="R34" s="46">
        <f>'Income Statement'!AN161</f>
        <v>103.28027864732596</v>
      </c>
      <c r="S34" s="46">
        <f>'Income Statement'!AO161</f>
        <v>112.43790164532152</v>
      </c>
      <c r="T34" s="46">
        <f>'Income Statement'!AP161</f>
        <v>92.066744730679133</v>
      </c>
      <c r="U34" s="46">
        <f>'Income Statement'!AR161</f>
        <v>56.669076771723539</v>
      </c>
      <c r="V34" s="46">
        <f>'Income Statement'!AS161</f>
        <v>39.58580615444577</v>
      </c>
      <c r="W34" s="46">
        <f>'Income Statement'!AT161</f>
        <v>34.958679595499042</v>
      </c>
    </row>
    <row r="36" spans="8:23">
      <c r="H36" s="39" t="s">
        <v>5</v>
      </c>
      <c r="I36" s="45">
        <f>'Income Statement'!AC209</f>
        <v>4.667444574095736E-3</v>
      </c>
      <c r="J36" s="45">
        <f>'Income Statement'!AD209</f>
        <v>1.5452538631346657E-2</v>
      </c>
      <c r="K36" s="45">
        <f>'Income Statement'!AE209</f>
        <v>5.9623430962343127E-2</v>
      </c>
      <c r="L36" s="45">
        <f>'Income Statement'!AF209</f>
        <v>6.7067067067066999E-2</v>
      </c>
      <c r="M36" s="45">
        <f>'Income Statement'!AH209</f>
        <v>0.30313588850174211</v>
      </c>
      <c r="N36" s="45">
        <f>'Income Statement'!AI209</f>
        <v>0.54891304347826098</v>
      </c>
      <c r="O36" s="45">
        <f>'Income Statement'!AJ209</f>
        <v>0.4323790720631786</v>
      </c>
      <c r="P36" s="45">
        <f>'Income Statement'!AK209</f>
        <v>0.37523452157598491</v>
      </c>
      <c r="Q36" s="45">
        <f>'Income Statement'!AM209</f>
        <v>0.28966131907308368</v>
      </c>
      <c r="R36" s="45">
        <f>'Income Statement'!AN209</f>
        <v>3.0175438596491189E-2</v>
      </c>
      <c r="S36" s="45">
        <f>'Income Statement'!AO209</f>
        <v>5.8580289455547829E-2</v>
      </c>
      <c r="T36" s="45">
        <f>'Income Statement'!AP209</f>
        <v>0.20395634379263305</v>
      </c>
      <c r="U36" s="45">
        <f>'Income Statement'!AR209</f>
        <v>0.23151347615756745</v>
      </c>
      <c r="V36" s="45"/>
      <c r="W36" s="45"/>
    </row>
    <row r="37" spans="8:23">
      <c r="H37" s="39" t="s">
        <v>445</v>
      </c>
      <c r="I37" s="45"/>
      <c r="J37" s="45"/>
      <c r="K37" s="45"/>
      <c r="L37" s="45"/>
      <c r="M37" s="45"/>
      <c r="N37" s="45">
        <f>'Income Statement'!AI159</f>
        <v>1.4523869452135241</v>
      </c>
      <c r="O37" s="45">
        <f>'Income Statement'!AJ159</f>
        <v>1.0696202531645578</v>
      </c>
      <c r="P37" s="45">
        <f>'Income Statement'!AK159</f>
        <v>1.0919540229885061</v>
      </c>
      <c r="Q37" s="45">
        <f>'Income Statement'!AM159</f>
        <v>0.87859991138679661</v>
      </c>
      <c r="R37" s="45">
        <f>'Income Statement'!AN159</f>
        <v>0.55189873417721547</v>
      </c>
      <c r="S37" s="45">
        <f>'Income Statement'!AO159</f>
        <v>0.34195718654434271</v>
      </c>
      <c r="T37" s="45">
        <f>'Income Statement'!AP159</f>
        <v>0.50153846153846171</v>
      </c>
      <c r="U37" s="45">
        <f>'Income Statement'!AR159</f>
        <v>0.98978773584905677</v>
      </c>
      <c r="V37" s="45">
        <f>'Income Statement'!AS159</f>
        <v>1.4887350645915078</v>
      </c>
      <c r="W37" s="45">
        <f>'Income Statement'!AT159</f>
        <v>1.9588213846223956</v>
      </c>
    </row>
    <row r="38" spans="8:23">
      <c r="H38" s="39" t="s">
        <v>446</v>
      </c>
      <c r="I38" s="45"/>
      <c r="J38" s="45"/>
      <c r="K38" s="45"/>
      <c r="L38" s="45"/>
      <c r="M38" s="45"/>
      <c r="N38" s="45">
        <f>'Income Statement'!AI162</f>
        <v>-0.59215090732091746</v>
      </c>
      <c r="O38" s="45">
        <f>'Income Statement'!AJ162</f>
        <v>-0.54572701071069418</v>
      </c>
      <c r="P38" s="45">
        <f>'Income Statement'!AK162</f>
        <v>-0.55541574178983166</v>
      </c>
      <c r="Q38" s="45">
        <f>'Income Statement'!AM162</f>
        <v>-0.43031149414045133</v>
      </c>
      <c r="R38" s="45">
        <f>'Income Statement'!AN162</f>
        <v>-0.38490575695571771</v>
      </c>
      <c r="S38" s="45">
        <f>'Income Statement'!AO162</f>
        <v>-0.25010822276116373</v>
      </c>
      <c r="T38" s="45">
        <f>'Income Statement'!AP162</f>
        <v>-0.30945198677174512</v>
      </c>
      <c r="U38" s="45">
        <f>'Income Statement'!AR162</f>
        <v>-0.47098880336391935</v>
      </c>
      <c r="V38" s="45"/>
      <c r="W38" s="45"/>
    </row>
    <row r="39" spans="8:23">
      <c r="H39" s="39" t="s">
        <v>447</v>
      </c>
      <c r="I39" s="45"/>
      <c r="J39" s="45"/>
      <c r="K39" s="45"/>
      <c r="L39" s="45"/>
      <c r="M39" s="45">
        <f>'Income Statement'!AH166</f>
        <v>0</v>
      </c>
      <c r="N39" s="45">
        <f>'Income Statement'!AI166</f>
        <v>0</v>
      </c>
      <c r="O39" s="45">
        <f>'Income Statement'!AJ166</f>
        <v>0</v>
      </c>
      <c r="P39" s="45">
        <f>'Income Statement'!AK166</f>
        <v>0</v>
      </c>
      <c r="Q39" s="45">
        <f>'Income Statement'!AM166</f>
        <v>0</v>
      </c>
      <c r="R39" s="45">
        <f>'Income Statement'!AN166</f>
        <v>0</v>
      </c>
      <c r="S39" s="45">
        <f>'Income Statement'!AO166</f>
        <v>0</v>
      </c>
      <c r="T39" s="45">
        <f>'Income Statement'!AP166</f>
        <v>0</v>
      </c>
      <c r="U39" s="45">
        <f>'Income Statement'!AR166</f>
        <v>-0.1607142857142857</v>
      </c>
      <c r="V39" s="45">
        <f>'Income Statement'!AS166</f>
        <v>-4.0000000000000036E-2</v>
      </c>
      <c r="W39" s="45">
        <f>'Income Statement'!AT166</f>
        <v>0.30000000000000004</v>
      </c>
    </row>
    <row r="40" spans="8:23">
      <c r="H40" s="39" t="s">
        <v>273</v>
      </c>
      <c r="I40" s="45"/>
      <c r="J40" s="45"/>
      <c r="K40" s="45"/>
      <c r="L40" s="45"/>
      <c r="M40" s="45"/>
      <c r="N40" s="45"/>
      <c r="O40" s="45"/>
      <c r="P40" s="45"/>
      <c r="Q40" s="45"/>
      <c r="R40" s="45"/>
      <c r="S40" s="45"/>
      <c r="T40" s="45"/>
      <c r="U40" s="45"/>
      <c r="V40" s="45"/>
      <c r="W40" s="45"/>
    </row>
    <row r="43" spans="8:23">
      <c r="I43" s="47"/>
      <c r="J43" s="47"/>
      <c r="K43" s="47"/>
      <c r="L43" s="47"/>
      <c r="M43" s="47"/>
      <c r="N43" s="47"/>
      <c r="O43" s="47"/>
      <c r="P43" s="47"/>
      <c r="Q43" s="47"/>
      <c r="R43" s="47"/>
      <c r="S43" s="47"/>
      <c r="T43" s="47"/>
      <c r="U43" s="47"/>
    </row>
    <row r="44" spans="8:23">
      <c r="I44" s="47">
        <f>I48/SUM(I48:I51)</f>
        <v>0.3933217692974848</v>
      </c>
      <c r="J44" s="47">
        <f t="shared" ref="J44:T44" si="0">J48/SUM(J48:J51)</f>
        <v>0.39229671897289586</v>
      </c>
      <c r="K44" s="47">
        <f t="shared" si="0"/>
        <v>0.38024928092042187</v>
      </c>
      <c r="L44" s="47">
        <f t="shared" si="0"/>
        <v>0.37677270985051742</v>
      </c>
      <c r="M44" s="47">
        <f t="shared" si="0"/>
        <v>0.44180018850141378</v>
      </c>
      <c r="N44" s="47">
        <f t="shared" si="0"/>
        <v>0.4187041564792176</v>
      </c>
      <c r="O44" s="47">
        <f t="shared" si="0"/>
        <v>0.41056496022843159</v>
      </c>
      <c r="P44" s="47">
        <f t="shared" si="0"/>
        <v>0.41087986812281063</v>
      </c>
      <c r="Q44" s="47">
        <f t="shared" si="0"/>
        <v>0.41149273447820345</v>
      </c>
      <c r="R44" s="47">
        <f t="shared" si="0"/>
        <v>0.42582710779082178</v>
      </c>
      <c r="S44" s="47">
        <f t="shared" si="0"/>
        <v>0.449939197405756</v>
      </c>
      <c r="T44" s="47">
        <f t="shared" si="0"/>
        <v>0.43561208267090618</v>
      </c>
      <c r="U44" s="47">
        <f>U48/SUM(U48:U51)</f>
        <v>0.41957749424806529</v>
      </c>
      <c r="V44" s="47"/>
      <c r="W44" s="47"/>
    </row>
    <row r="47" spans="8:23">
      <c r="I47" s="39" t="s">
        <v>421</v>
      </c>
      <c r="J47" s="39" t="s">
        <v>422</v>
      </c>
      <c r="K47" s="39" t="s">
        <v>423</v>
      </c>
      <c r="L47" s="39" t="s">
        <v>424</v>
      </c>
      <c r="M47" s="39" t="s">
        <v>425</v>
      </c>
      <c r="N47" s="39" t="s">
        <v>426</v>
      </c>
      <c r="O47" s="39" t="s">
        <v>427</v>
      </c>
      <c r="P47" s="39" t="s">
        <v>428</v>
      </c>
      <c r="Q47" s="39" t="s">
        <v>429</v>
      </c>
      <c r="R47" s="39" t="s">
        <v>430</v>
      </c>
      <c r="S47" s="39" t="str">
        <f>S6</f>
        <v>Q3 15</v>
      </c>
      <c r="T47" s="39" t="s">
        <v>432</v>
      </c>
      <c r="U47" s="39" t="s">
        <v>433</v>
      </c>
    </row>
    <row r="48" spans="8:23">
      <c r="H48" s="39" t="s">
        <v>439</v>
      </c>
      <c r="I48" s="39">
        <f>'Income Statement'!AC210</f>
        <v>1814</v>
      </c>
      <c r="J48" s="39">
        <f>'Income Statement'!AD210</f>
        <v>1925</v>
      </c>
      <c r="K48" s="39">
        <f>'Income Statement'!AE210</f>
        <v>1983</v>
      </c>
      <c r="L48" s="39">
        <f>'Income Statement'!AF210</f>
        <v>1966</v>
      </c>
      <c r="M48" s="39">
        <f>'Income Statement'!AH210</f>
        <v>1875</v>
      </c>
      <c r="N48" s="39">
        <f>'Income Statement'!AI210</f>
        <v>2055</v>
      </c>
      <c r="O48" s="39">
        <f>'Income Statement'!AJ210</f>
        <v>2013</v>
      </c>
      <c r="P48" s="39">
        <f>'Income Statement'!AK210</f>
        <v>1994</v>
      </c>
      <c r="Q48" s="39">
        <f>'Income Statement'!AM210</f>
        <v>1869</v>
      </c>
      <c r="R48" s="39">
        <f>'Income Statement'!AN210</f>
        <v>1995</v>
      </c>
      <c r="S48" s="39">
        <f>'Income Statement'!AO210</f>
        <v>2220</v>
      </c>
      <c r="T48" s="39">
        <f>'Income Statement'!AP210</f>
        <v>2192</v>
      </c>
      <c r="U48" s="39">
        <f>'Income Statement'!AR210</f>
        <v>2006</v>
      </c>
    </row>
    <row r="49" spans="8:23">
      <c r="H49" s="39" t="s">
        <v>449</v>
      </c>
      <c r="I49" s="39">
        <f>'Income Statement'!AC208</f>
        <v>861</v>
      </c>
      <c r="J49" s="39">
        <f>'Income Statement'!AD208</f>
        <v>920</v>
      </c>
      <c r="K49" s="39">
        <f>'Income Statement'!AE208</f>
        <v>1013</v>
      </c>
      <c r="L49" s="39">
        <f>'Income Statement'!AF208</f>
        <v>1066</v>
      </c>
      <c r="M49" s="39">
        <f>'Income Statement'!AH208</f>
        <v>1122</v>
      </c>
      <c r="N49" s="39">
        <f>'Income Statement'!AI208</f>
        <v>1425</v>
      </c>
      <c r="O49" s="39">
        <f>'Income Statement'!AJ208</f>
        <v>1451</v>
      </c>
      <c r="P49" s="39">
        <f>'Income Statement'!AK208</f>
        <v>1466</v>
      </c>
      <c r="Q49" s="39">
        <f>'Income Statement'!AM208</f>
        <v>1447</v>
      </c>
      <c r="R49" s="39">
        <f>'Income Statement'!AN208</f>
        <v>1468</v>
      </c>
      <c r="S49" s="39">
        <f>'Income Statement'!AO208</f>
        <v>1536</v>
      </c>
      <c r="T49" s="39">
        <f>'Income Statement'!AP208</f>
        <v>1765</v>
      </c>
      <c r="U49" s="39">
        <f>'Income Statement'!AR208</f>
        <v>1782</v>
      </c>
    </row>
    <row r="50" spans="8:23">
      <c r="H50" s="39" t="s">
        <v>450</v>
      </c>
      <c r="I50" s="39">
        <f>'Income Statement'!AC212</f>
        <v>1076</v>
      </c>
      <c r="J50" s="39">
        <f>'Income Statement'!AD212</f>
        <v>1142</v>
      </c>
      <c r="K50" s="39">
        <f>'Income Statement'!AE212</f>
        <v>1206</v>
      </c>
      <c r="L50" s="39">
        <f>'Income Statement'!AF212</f>
        <v>1120</v>
      </c>
      <c r="M50" s="39">
        <f>'Income Statement'!AH212</f>
        <v>1097</v>
      </c>
      <c r="N50" s="39">
        <f>'Income Statement'!AI212</f>
        <v>1225</v>
      </c>
      <c r="O50" s="39">
        <f>'Income Statement'!AJ212</f>
        <v>1224</v>
      </c>
      <c r="P50" s="39">
        <f>'Income Statement'!AK212</f>
        <v>1150</v>
      </c>
      <c r="Q50" s="39">
        <f>'Income Statement'!AM212</f>
        <v>1005</v>
      </c>
      <c r="R50" s="39">
        <f>'Income Statement'!AN212</f>
        <v>983</v>
      </c>
      <c r="S50" s="39">
        <f>'Income Statement'!AO212</f>
        <v>994</v>
      </c>
      <c r="T50" s="39">
        <f>'Income Statement'!AP212</f>
        <v>908</v>
      </c>
      <c r="U50" s="39">
        <f>'Income Statement'!AR212</f>
        <v>828</v>
      </c>
    </row>
    <row r="51" spans="8:23">
      <c r="H51" s="39" t="s">
        <v>257</v>
      </c>
      <c r="I51" s="39">
        <f>'Income Statement'!AC214</f>
        <v>861</v>
      </c>
      <c r="J51" s="39">
        <f>'Income Statement'!AD214</f>
        <v>920</v>
      </c>
      <c r="K51" s="39">
        <f>'Income Statement'!AE214</f>
        <v>1013</v>
      </c>
      <c r="L51" s="39">
        <f>'Income Statement'!AF214</f>
        <v>1066</v>
      </c>
      <c r="M51" s="39">
        <f>'Income Statement'!AH214</f>
        <v>150</v>
      </c>
      <c r="N51" s="39">
        <f>'Income Statement'!AI214</f>
        <v>203</v>
      </c>
      <c r="O51" s="39">
        <f>'Income Statement'!AJ214</f>
        <v>215</v>
      </c>
      <c r="P51" s="39">
        <f>'Income Statement'!AK214</f>
        <v>243</v>
      </c>
      <c r="Q51" s="39">
        <f>'Income Statement'!AM214</f>
        <v>221</v>
      </c>
      <c r="R51" s="39">
        <f>'Income Statement'!AN214</f>
        <v>239</v>
      </c>
      <c r="S51" s="39">
        <f>'Income Statement'!AO214</f>
        <v>184</v>
      </c>
      <c r="T51" s="39">
        <f>'Income Statement'!AP214</f>
        <v>167</v>
      </c>
      <c r="U51" s="39">
        <f>'Income Statement'!AR214</f>
        <v>165</v>
      </c>
    </row>
    <row r="52" spans="8:23">
      <c r="H52" s="39" t="s">
        <v>451</v>
      </c>
      <c r="I52" s="48">
        <f>'Income Statement'!AC334</f>
        <v>0</v>
      </c>
      <c r="J52" s="48">
        <f>'Income Statement'!AD334</f>
        <v>0</v>
      </c>
      <c r="K52" s="48">
        <f>'Income Statement'!AE334</f>
        <v>0</v>
      </c>
      <c r="L52" s="48">
        <f>'Income Statement'!AF334</f>
        <v>0</v>
      </c>
      <c r="M52" s="48">
        <f>'Income Statement'!AH334</f>
        <v>0</v>
      </c>
      <c r="N52" s="48">
        <f>'Income Statement'!AI334</f>
        <v>0</v>
      </c>
      <c r="O52" s="48">
        <f>'Income Statement'!AJ334</f>
        <v>0</v>
      </c>
      <c r="P52" s="48">
        <f>'Income Statement'!AK334</f>
        <v>0</v>
      </c>
      <c r="Q52" s="48">
        <f>'Income Statement'!AM334</f>
        <v>0</v>
      </c>
      <c r="R52" s="48">
        <f>'Income Statement'!AN334</f>
        <v>0</v>
      </c>
      <c r="S52" s="48">
        <f>'Income Statement'!AO334</f>
        <v>0</v>
      </c>
      <c r="T52" s="48">
        <f>'Income Statement'!AP334</f>
        <v>0</v>
      </c>
      <c r="U52" s="48">
        <f>'Income Statement'!AR334</f>
        <v>0</v>
      </c>
      <c r="V52" s="48"/>
      <c r="W52" s="48"/>
    </row>
    <row r="53" spans="8:23">
      <c r="H53" s="39" t="s">
        <v>1</v>
      </c>
      <c r="I53" s="39">
        <v>0</v>
      </c>
      <c r="J53" s="39">
        <v>0</v>
      </c>
      <c r="K53" s="39">
        <v>0</v>
      </c>
      <c r="L53" s="39">
        <v>0</v>
      </c>
      <c r="M53" s="39">
        <v>0</v>
      </c>
      <c r="N53" s="39">
        <v>0</v>
      </c>
      <c r="O53" s="39">
        <v>0</v>
      </c>
      <c r="P53" s="39">
        <v>0</v>
      </c>
      <c r="Q53" s="39">
        <v>0</v>
      </c>
      <c r="R53" s="39">
        <v>0</v>
      </c>
      <c r="S53" s="39">
        <v>0</v>
      </c>
      <c r="T53" s="39">
        <v>0</v>
      </c>
      <c r="U53" s="39">
        <v>0</v>
      </c>
    </row>
    <row r="54" spans="8:23">
      <c r="M54" s="47">
        <f t="shared" ref="M54:U57" si="1">M48/I48-1</f>
        <v>3.3627342888643774E-2</v>
      </c>
      <c r="N54" s="47">
        <f t="shared" si="1"/>
        <v>6.7532467532467555E-2</v>
      </c>
      <c r="O54" s="47">
        <f t="shared" si="1"/>
        <v>1.5128593040847127E-2</v>
      </c>
      <c r="P54" s="47">
        <f t="shared" si="1"/>
        <v>1.4242115971515812E-2</v>
      </c>
      <c r="Q54" s="47">
        <f t="shared" si="1"/>
        <v>-3.1999999999999806E-3</v>
      </c>
      <c r="R54" s="47">
        <f t="shared" si="1"/>
        <v>-2.9197080291970767E-2</v>
      </c>
      <c r="S54" s="47">
        <f t="shared" si="1"/>
        <v>0.10283159463487324</v>
      </c>
      <c r="T54" s="47">
        <f t="shared" si="1"/>
        <v>9.9297893681043137E-2</v>
      </c>
      <c r="U54" s="47">
        <f t="shared" si="1"/>
        <v>7.3301230604601475E-2</v>
      </c>
      <c r="V54" s="47"/>
      <c r="W54" s="47"/>
    </row>
    <row r="55" spans="8:23">
      <c r="M55" s="47">
        <f t="shared" si="1"/>
        <v>0.30313588850174211</v>
      </c>
      <c r="N55" s="47">
        <f t="shared" si="1"/>
        <v>0.54891304347826098</v>
      </c>
      <c r="O55" s="47">
        <f t="shared" si="1"/>
        <v>0.4323790720631786</v>
      </c>
      <c r="P55" s="47">
        <f t="shared" si="1"/>
        <v>0.37523452157598491</v>
      </c>
      <c r="Q55" s="47">
        <f t="shared" si="1"/>
        <v>0.28966131907308368</v>
      </c>
      <c r="R55" s="47">
        <f t="shared" si="1"/>
        <v>3.0175438596491189E-2</v>
      </c>
      <c r="S55" s="47">
        <f t="shared" si="1"/>
        <v>5.8580289455547829E-2</v>
      </c>
      <c r="T55" s="47">
        <f t="shared" si="1"/>
        <v>0.20395634379263305</v>
      </c>
      <c r="U55" s="47">
        <f t="shared" si="1"/>
        <v>0.23151347615756745</v>
      </c>
      <c r="V55" s="47"/>
      <c r="W55" s="47"/>
    </row>
    <row r="56" spans="8:23">
      <c r="M56" s="47">
        <f t="shared" si="1"/>
        <v>1.951672862453524E-2</v>
      </c>
      <c r="N56" s="47">
        <f t="shared" si="1"/>
        <v>7.2679509632224137E-2</v>
      </c>
      <c r="O56" s="47">
        <f t="shared" si="1"/>
        <v>1.4925373134328401E-2</v>
      </c>
      <c r="P56" s="47">
        <f t="shared" si="1"/>
        <v>2.6785714285714191E-2</v>
      </c>
      <c r="Q56" s="47">
        <f t="shared" si="1"/>
        <v>-8.3865086599817729E-2</v>
      </c>
      <c r="R56" s="47">
        <f t="shared" si="1"/>
        <v>-0.1975510204081633</v>
      </c>
      <c r="S56" s="47">
        <f t="shared" si="1"/>
        <v>-0.18790849673202614</v>
      </c>
      <c r="T56" s="47">
        <f t="shared" si="1"/>
        <v>-0.21043478260869564</v>
      </c>
      <c r="U56" s="47">
        <f t="shared" si="1"/>
        <v>-0.17611940298507467</v>
      </c>
      <c r="V56" s="47"/>
      <c r="W56" s="47"/>
    </row>
    <row r="57" spans="8:23">
      <c r="M57" s="47">
        <f t="shared" si="1"/>
        <v>-0.82578397212543553</v>
      </c>
      <c r="N57" s="47">
        <f t="shared" si="1"/>
        <v>-0.77934782608695652</v>
      </c>
      <c r="O57" s="47">
        <f t="shared" si="1"/>
        <v>-0.78775913129318853</v>
      </c>
      <c r="P57" s="47">
        <f t="shared" si="1"/>
        <v>-0.77204502814258913</v>
      </c>
      <c r="Q57" s="47">
        <f t="shared" si="1"/>
        <v>0.47333333333333338</v>
      </c>
      <c r="R57" s="47">
        <f t="shared" si="1"/>
        <v>0.17733990147783252</v>
      </c>
      <c r="S57" s="47">
        <f t="shared" si="1"/>
        <v>-0.14418604651162792</v>
      </c>
      <c r="T57" s="47">
        <f t="shared" si="1"/>
        <v>-0.31275720164609055</v>
      </c>
      <c r="U57" s="47">
        <f t="shared" si="1"/>
        <v>-0.25339366515837103</v>
      </c>
      <c r="V57" s="47"/>
      <c r="W57" s="47"/>
    </row>
    <row r="61" spans="8:23">
      <c r="I61" s="39" t="s">
        <v>421</v>
      </c>
      <c r="J61" s="39" t="s">
        <v>422</v>
      </c>
      <c r="K61" s="39" t="s">
        <v>423</v>
      </c>
      <c r="L61" s="39" t="s">
        <v>424</v>
      </c>
      <c r="M61" s="39" t="s">
        <v>425</v>
      </c>
      <c r="N61" s="39" t="s">
        <v>426</v>
      </c>
      <c r="O61" s="39" t="s">
        <v>427</v>
      </c>
      <c r="P61" s="39" t="s">
        <v>428</v>
      </c>
      <c r="Q61" s="39" t="s">
        <v>429</v>
      </c>
      <c r="R61" s="39" t="s">
        <v>430</v>
      </c>
      <c r="S61" s="39" t="str">
        <f>S47</f>
        <v>Q3 15</v>
      </c>
      <c r="T61" s="39" t="str">
        <f>T47</f>
        <v>Q4 15</v>
      </c>
      <c r="U61" s="39" t="str">
        <f>U47</f>
        <v>Q1 16</v>
      </c>
    </row>
    <row r="62" spans="8:23">
      <c r="H62" s="39" t="s">
        <v>452</v>
      </c>
      <c r="I62" s="47">
        <f>'Income Statement'!AC430</f>
        <v>0.35168461271274748</v>
      </c>
      <c r="J62" s="47">
        <f>'Income Statement'!AD430</f>
        <v>0.3532617671345995</v>
      </c>
      <c r="K62" s="47">
        <f>'Income Statement'!AE430</f>
        <v>0.35300563556668751</v>
      </c>
      <c r="L62" s="47">
        <f>'Income Statement'!AF430</f>
        <v>0.35093216355945478</v>
      </c>
      <c r="M62" s="47">
        <f>'Income Statement'!AH430</f>
        <v>0.39967314327219899</v>
      </c>
      <c r="N62" s="47">
        <f>'Income Statement'!AI430</f>
        <v>0.34116868068200629</v>
      </c>
      <c r="O62" s="47">
        <f>'Income Statement'!AJ430</f>
        <v>0.34315684315684314</v>
      </c>
      <c r="P62" s="47">
        <f>'Income Statement'!AK430</f>
        <v>0.38943447341686421</v>
      </c>
      <c r="Q62" s="47">
        <f>'Income Statement'!AM430</f>
        <v>0.34245575624885971</v>
      </c>
      <c r="R62" s="47">
        <f>'Income Statement'!AN430</f>
        <v>0.35644270183567989</v>
      </c>
      <c r="S62" s="47">
        <f>'Income Statement'!AO430</f>
        <v>0.37667238421955401</v>
      </c>
      <c r="T62" s="47">
        <f>'Income Statement'!AP430</f>
        <v>0.3884145320609409</v>
      </c>
      <c r="U62" s="47">
        <f>'Income Statement'!AR430</f>
        <v>0.3903133903133903</v>
      </c>
      <c r="V62" s="47"/>
      <c r="W62" s="47"/>
    </row>
    <row r="63" spans="8:23">
      <c r="H63" s="39" t="s">
        <v>453</v>
      </c>
      <c r="I63" s="47">
        <f>'Income Statement'!AC431</f>
        <v>0.35168461271274748</v>
      </c>
      <c r="J63" s="47">
        <f>'Income Statement'!AD431</f>
        <v>0.3532617671345995</v>
      </c>
      <c r="K63" s="47">
        <f>'Income Statement'!AE431</f>
        <v>0.35300563556668751</v>
      </c>
      <c r="L63" s="47">
        <f>'Income Statement'!AF431</f>
        <v>0.35093216355945478</v>
      </c>
      <c r="M63" s="47">
        <f>'Income Statement'!AH431</f>
        <v>0.39967314327219899</v>
      </c>
      <c r="N63" s="47">
        <f>'Income Statement'!AI431</f>
        <v>0.34116868068200629</v>
      </c>
      <c r="O63" s="47">
        <f>'Income Statement'!AJ431</f>
        <v>0.34315684315684314</v>
      </c>
      <c r="P63" s="47">
        <f>'Income Statement'!AK431</f>
        <v>0.38943447341686421</v>
      </c>
      <c r="Q63" s="47">
        <f>'Income Statement'!AM431</f>
        <v>0.34245575624885971</v>
      </c>
      <c r="R63" s="47">
        <f>'Income Statement'!AN431</f>
        <v>0.35644270183567989</v>
      </c>
      <c r="S63" s="47">
        <f>'Income Statement'!AO431</f>
        <v>0.37667238421955401</v>
      </c>
      <c r="T63" s="47">
        <f>'Income Statement'!AP431</f>
        <v>0.3884145320609409</v>
      </c>
      <c r="U63" s="47">
        <f>'Income Statement'!AR431</f>
        <v>0.3903133903133903</v>
      </c>
      <c r="V63" s="47"/>
      <c r="W63" s="47"/>
    </row>
    <row r="67" spans="8:23">
      <c r="I67" s="47"/>
      <c r="J67" s="47"/>
      <c r="K67" s="47"/>
      <c r="L67" s="47"/>
      <c r="M67" s="47"/>
      <c r="N67" s="47"/>
      <c r="O67" s="47"/>
      <c r="P67" s="47"/>
      <c r="Q67" s="47"/>
      <c r="R67" s="47"/>
      <c r="S67" s="47"/>
      <c r="T67" s="47"/>
      <c r="U67" s="47"/>
      <c r="V67" s="47"/>
      <c r="W67" s="47"/>
    </row>
    <row r="68" spans="8:23">
      <c r="I68" s="48"/>
      <c r="J68" s="48"/>
      <c r="K68" s="48"/>
      <c r="L68" s="48"/>
      <c r="M68" s="48"/>
      <c r="N68" s="48"/>
      <c r="O68" s="48"/>
      <c r="P68" s="48"/>
      <c r="Q68" s="48"/>
      <c r="R68" s="48"/>
      <c r="S68" s="48"/>
      <c r="T68" s="48"/>
      <c r="U68" s="48"/>
      <c r="V68" s="48"/>
      <c r="W68" s="48"/>
    </row>
    <row r="69" spans="8:23">
      <c r="I69" s="51"/>
      <c r="J69" s="51"/>
      <c r="K69" s="51"/>
      <c r="L69" s="51"/>
      <c r="M69" s="51"/>
      <c r="N69" s="51"/>
      <c r="O69" s="51"/>
      <c r="P69" s="51"/>
      <c r="Q69" s="51"/>
      <c r="R69" s="51"/>
      <c r="S69" s="51"/>
      <c r="T69" s="51"/>
      <c r="U69" s="51"/>
      <c r="V69" s="51"/>
      <c r="W69" s="51"/>
    </row>
    <row r="71" spans="8:23">
      <c r="H71" s="39" t="s">
        <v>454</v>
      </c>
      <c r="I71" s="51">
        <f>'Income Statement'!AC225</f>
        <v>5758</v>
      </c>
      <c r="J71" s="51">
        <f>'Income Statement'!AD225</f>
        <v>6055</v>
      </c>
      <c r="K71" s="51">
        <f>'Income Statement'!AE225</f>
        <v>6388</v>
      </c>
      <c r="L71" s="51">
        <f>'Income Statement'!AF225</f>
        <v>6383</v>
      </c>
      <c r="M71" s="51">
        <f>'Income Statement'!AH225</f>
        <v>5507</v>
      </c>
      <c r="N71" s="51">
        <f>'Income Statement'!AI225</f>
        <v>6041</v>
      </c>
      <c r="O71" s="51">
        <f>'Income Statement'!AJ225</f>
        <v>6006</v>
      </c>
      <c r="P71" s="51">
        <f>'Income Statement'!AK225</f>
        <v>5906</v>
      </c>
      <c r="Q71" s="51">
        <f>'Income Statement'!AM225</f>
        <v>5481</v>
      </c>
      <c r="R71" s="51">
        <f>'Income Statement'!AN225</f>
        <v>5611</v>
      </c>
      <c r="S71" s="51">
        <f>'Income Statement'!AO225</f>
        <v>5830</v>
      </c>
      <c r="T71" s="51">
        <f>'Income Statement'!AP225</f>
        <v>5973</v>
      </c>
      <c r="U71" s="51">
        <f>'Income Statement'!AR225</f>
        <v>5616</v>
      </c>
      <c r="V71" s="51">
        <f>'Income Statement'!AS225</f>
        <v>5238</v>
      </c>
      <c r="W71" s="51">
        <f>'Income Statement'!AT225</f>
        <v>5230</v>
      </c>
    </row>
    <row r="72" spans="8:23">
      <c r="H72" s="39" t="s">
        <v>2</v>
      </c>
      <c r="I72" s="51">
        <f>'Income Statement'!AC428</f>
        <v>2025</v>
      </c>
      <c r="J72" s="51">
        <f>'Income Statement'!AD428</f>
        <v>2139</v>
      </c>
      <c r="K72" s="51">
        <f>'Income Statement'!AE428</f>
        <v>2255</v>
      </c>
      <c r="L72" s="51">
        <f>'Income Statement'!AF428</f>
        <v>2240</v>
      </c>
      <c r="M72" s="51">
        <f>'Income Statement'!AH428</f>
        <v>2201</v>
      </c>
      <c r="N72" s="51">
        <f>'Income Statement'!AI428</f>
        <v>2061</v>
      </c>
      <c r="O72" s="51">
        <f>'Income Statement'!AJ428</f>
        <v>2061</v>
      </c>
      <c r="P72" s="51">
        <f>'Income Statement'!AK428</f>
        <v>2300</v>
      </c>
      <c r="Q72" s="51">
        <f>'Income Statement'!AM428</f>
        <v>1877</v>
      </c>
      <c r="R72" s="51">
        <f>'Income Statement'!AN428</f>
        <v>2000</v>
      </c>
      <c r="S72" s="51">
        <f>'Income Statement'!AO428</f>
        <v>2196</v>
      </c>
      <c r="T72" s="51">
        <f>'Income Statement'!AP428</f>
        <v>2320</v>
      </c>
      <c r="U72" s="51">
        <f>'Income Statement'!AR428</f>
        <v>2192</v>
      </c>
      <c r="V72" s="51">
        <f>'Income Statement'!AS428</f>
        <v>2064</v>
      </c>
      <c r="W72" s="51">
        <f>'Income Statement'!AT428</f>
        <v>1980</v>
      </c>
    </row>
    <row r="73" spans="8:23">
      <c r="I73" s="47">
        <f t="shared" ref="I73:V73" si="2">I72/I71</f>
        <v>0.35168461271274748</v>
      </c>
      <c r="J73" s="47">
        <f t="shared" si="2"/>
        <v>0.3532617671345995</v>
      </c>
      <c r="K73" s="47">
        <f t="shared" si="2"/>
        <v>0.35300563556668751</v>
      </c>
      <c r="L73" s="47">
        <f t="shared" si="2"/>
        <v>0.35093216355945478</v>
      </c>
      <c r="M73" s="47">
        <f t="shared" si="2"/>
        <v>0.39967314327219899</v>
      </c>
      <c r="N73" s="47">
        <f t="shared" si="2"/>
        <v>0.34116868068200629</v>
      </c>
      <c r="O73" s="47">
        <f t="shared" si="2"/>
        <v>0.34315684315684314</v>
      </c>
      <c r="P73" s="47">
        <f t="shared" si="2"/>
        <v>0.38943447341686421</v>
      </c>
      <c r="Q73" s="47">
        <f t="shared" si="2"/>
        <v>0.34245575624885971</v>
      </c>
      <c r="R73" s="47">
        <f t="shared" si="2"/>
        <v>0.35644270183567989</v>
      </c>
      <c r="S73" s="47">
        <f t="shared" si="2"/>
        <v>0.37667238421955401</v>
      </c>
      <c r="T73" s="47">
        <f t="shared" si="2"/>
        <v>0.3884145320609409</v>
      </c>
      <c r="U73" s="47">
        <f t="shared" si="2"/>
        <v>0.3903133903133903</v>
      </c>
      <c r="V73" s="47">
        <f t="shared" si="2"/>
        <v>0.39404352806414661</v>
      </c>
      <c r="W73" s="47">
        <f>W72/W71</f>
        <v>0.37858508604206503</v>
      </c>
    </row>
    <row r="77" spans="8:23">
      <c r="I77" s="47"/>
      <c r="J77" s="47"/>
      <c r="K77" s="47"/>
      <c r="L77" s="47"/>
      <c r="M77" s="47"/>
      <c r="N77" s="47"/>
      <c r="O77" s="47"/>
      <c r="P77" s="47"/>
      <c r="Q77" s="47"/>
      <c r="R77" s="47"/>
      <c r="S77" s="47"/>
      <c r="T77" s="47"/>
      <c r="U77" s="47"/>
      <c r="V77" s="47"/>
      <c r="W77" s="47"/>
    </row>
    <row r="84" spans="4:16">
      <c r="E84" s="39" t="s">
        <v>425</v>
      </c>
      <c r="F84" s="39" t="s">
        <v>426</v>
      </c>
      <c r="G84" s="39" t="s">
        <v>427</v>
      </c>
      <c r="H84" s="39" t="s">
        <v>428</v>
      </c>
      <c r="I84" s="39" t="s">
        <v>429</v>
      </c>
      <c r="J84" s="39" t="s">
        <v>430</v>
      </c>
      <c r="K84" s="39" t="s">
        <v>431</v>
      </c>
      <c r="L84" s="39" t="s">
        <v>432</v>
      </c>
      <c r="M84" s="39" t="s">
        <v>433</v>
      </c>
      <c r="N84" s="39" t="s">
        <v>434</v>
      </c>
      <c r="O84" s="39" t="s">
        <v>442</v>
      </c>
      <c r="P84" s="39" t="s">
        <v>448</v>
      </c>
    </row>
    <row r="85" spans="4:16">
      <c r="D85" s="39" t="s">
        <v>248</v>
      </c>
      <c r="E85" s="39">
        <f>'Income Statement'!AH27</f>
        <v>1747</v>
      </c>
      <c r="F85" s="39">
        <f>'Income Statement'!AI27</f>
        <v>1855</v>
      </c>
      <c r="G85" s="39">
        <f>'Income Statement'!AJ27</f>
        <v>1692</v>
      </c>
      <c r="H85" s="39">
        <f>'Income Statement'!AK27</f>
        <v>1801</v>
      </c>
      <c r="I85" s="39">
        <f>'Income Statement'!AM27</f>
        <v>1211</v>
      </c>
      <c r="J85" s="39">
        <f>'Income Statement'!AN27</f>
        <v>1071</v>
      </c>
      <c r="K85" s="39">
        <f>'Income Statement'!AO27</f>
        <v>682</v>
      </c>
      <c r="L85" s="39">
        <f>'Income Statement'!AP27</f>
        <v>1182</v>
      </c>
      <c r="M85" s="39">
        <f>'Income Statement'!AR27</f>
        <v>1048</v>
      </c>
      <c r="N85" s="39">
        <f>'Income Statement'!AS27</f>
        <v>822</v>
      </c>
      <c r="O85" s="39">
        <f>'Income Statement'!AT27</f>
        <v>2521</v>
      </c>
      <c r="P85" s="51">
        <f>'Income Statement'!AU27</f>
        <v>1193</v>
      </c>
    </row>
    <row r="86" spans="4:16">
      <c r="D86" s="39" t="s">
        <v>521</v>
      </c>
      <c r="E86" s="45" t="e">
        <f>'Income Statement'!AG27/'Income Statement'!#REF!</f>
        <v>#REF!</v>
      </c>
      <c r="F86" s="45" t="e">
        <f>'Income Statement'!AH27/'Income Statement'!#REF!</f>
        <v>#REF!</v>
      </c>
      <c r="G86" s="45" t="e">
        <f>'Income Statement'!AI27/'Income Statement'!#REF!</f>
        <v>#REF!</v>
      </c>
      <c r="H86" s="45" t="e">
        <f>'Income Statement'!AJ27/'Income Statement'!#REF!</f>
        <v>#REF!</v>
      </c>
      <c r="I86" s="45" t="e">
        <f>'Income Statement'!AL27/'Income Statement'!#REF!</f>
        <v>#REF!</v>
      </c>
      <c r="J86" s="45" t="e">
        <f>'Income Statement'!AM27/'Income Statement'!#REF!</f>
        <v>#REF!</v>
      </c>
      <c r="K86" s="45" t="e">
        <f>'Income Statement'!AN27/'Income Statement'!#REF!</f>
        <v>#REF!</v>
      </c>
      <c r="L86" s="45" t="e">
        <f>'Income Statement'!AO27/'Income Statement'!#REF!</f>
        <v>#REF!</v>
      </c>
      <c r="M86" s="45" t="e">
        <f>'Income Statement'!AQ27/'Income Statement'!#REF!</f>
        <v>#REF!</v>
      </c>
      <c r="N86" s="45" t="e">
        <f>'Income Statement'!AR27/'Income Statement'!#REF!</f>
        <v>#REF!</v>
      </c>
      <c r="O86" s="45" t="e">
        <f>'Income Statement'!AS27/'Income Statement'!#REF!</f>
        <v>#REF!</v>
      </c>
      <c r="P86" s="45" t="e">
        <f>'Income Statement'!AT27/'Income Statement'!#REF!</f>
        <v>#REF!</v>
      </c>
    </row>
    <row r="102" spans="8:23">
      <c r="I102" s="39" t="str">
        <f>I61</f>
        <v>Q1 13</v>
      </c>
      <c r="J102" s="39" t="str">
        <f t="shared" ref="J102:U102" si="3">J61</f>
        <v>Q2 13</v>
      </c>
      <c r="K102" s="39" t="str">
        <f t="shared" si="3"/>
        <v>Q3 13</v>
      </c>
      <c r="L102" s="39" t="str">
        <f t="shared" si="3"/>
        <v>Q4 13</v>
      </c>
      <c r="M102" s="39" t="str">
        <f t="shared" si="3"/>
        <v>Q1 14</v>
      </c>
      <c r="N102" s="39" t="str">
        <f t="shared" si="3"/>
        <v>Q2 14</v>
      </c>
      <c r="O102" s="39" t="str">
        <f t="shared" si="3"/>
        <v>Q3 14</v>
      </c>
      <c r="P102" s="39" t="str">
        <f t="shared" si="3"/>
        <v>Q4 14</v>
      </c>
      <c r="Q102" s="39" t="str">
        <f t="shared" si="3"/>
        <v>Q1 15</v>
      </c>
      <c r="R102" s="39" t="str">
        <f t="shared" si="3"/>
        <v>Q2 15</v>
      </c>
      <c r="S102" s="39" t="str">
        <f t="shared" si="3"/>
        <v>Q3 15</v>
      </c>
      <c r="T102" s="39" t="str">
        <f t="shared" si="3"/>
        <v>Q4 15</v>
      </c>
      <c r="U102" s="39" t="str">
        <f t="shared" si="3"/>
        <v>Q1 16</v>
      </c>
    </row>
    <row r="103" spans="8:23">
      <c r="H103" s="39" t="s">
        <v>439</v>
      </c>
      <c r="I103" s="46">
        <f>'Income Statement'!AC142</f>
        <v>12.743238496663153</v>
      </c>
      <c r="J103" s="46">
        <f>'Income Statement'!AD142</f>
        <v>12.423362374959664</v>
      </c>
      <c r="K103" s="46">
        <f>'Income Statement'!AE142</f>
        <v>11.772039180765807</v>
      </c>
      <c r="L103" s="46">
        <f>'Income Statement'!AF142</f>
        <v>11.051152332771219</v>
      </c>
      <c r="M103" s="46">
        <f>'Income Statement'!AH142</f>
        <v>9.6899224806201545</v>
      </c>
      <c r="N103" s="46">
        <f>'Income Statement'!AI142</f>
        <v>10.428719322818342</v>
      </c>
      <c r="O103" s="46">
        <f>'Income Statement'!AJ142</f>
        <v>11.079554836366038</v>
      </c>
      <c r="P103" s="46">
        <f>'Income Statement'!AK142</f>
        <v>11.279301294234772</v>
      </c>
      <c r="Q103" s="46">
        <f>'Income Statement'!AM142</f>
        <v>11.154879140555058</v>
      </c>
      <c r="R103" s="46">
        <f>'Income Statement'!AN142</f>
        <v>13.557594291539246</v>
      </c>
      <c r="S103" s="46">
        <f>'Income Statement'!AO142</f>
        <v>16.914285714285715</v>
      </c>
      <c r="T103" s="46">
        <f>'Income Statement'!AP142</f>
        <v>17.500998003992017</v>
      </c>
      <c r="U103" s="46">
        <f>'Income Statement'!AR142</f>
        <v>15.826429980276133</v>
      </c>
      <c r="V103" s="46"/>
      <c r="W103" s="46"/>
    </row>
    <row r="104" spans="8:23">
      <c r="H104" s="39" t="s">
        <v>80</v>
      </c>
      <c r="I104" s="46">
        <f>'Income Statement'!AC143</f>
        <v>6.0484720758693369</v>
      </c>
      <c r="J104" s="46">
        <f>'Income Statement'!AD143</f>
        <v>5.9373991610196839</v>
      </c>
      <c r="K104" s="46">
        <f>'Income Statement'!AE143</f>
        <v>6.0136539032353822</v>
      </c>
      <c r="L104" s="46">
        <f>'Income Statement'!AF143</f>
        <v>5.992130410342889</v>
      </c>
      <c r="M104" s="46">
        <f>'Income Statement'!AH143</f>
        <v>5.7984496124031004</v>
      </c>
      <c r="N104" s="46">
        <f>'Income Statement'!AI143</f>
        <v>7.2315936910054193</v>
      </c>
      <c r="O104" s="46">
        <f>'Income Statement'!AJ143</f>
        <v>7.9863060444943477</v>
      </c>
      <c r="P104" s="46">
        <f>'Income Statement'!AK143</f>
        <v>8.2926056656711022</v>
      </c>
      <c r="Q104" s="46">
        <f>'Income Statement'!AM143</f>
        <v>8.6362279916442848</v>
      </c>
      <c r="R104" s="46">
        <f>'Income Statement'!AN143</f>
        <v>9.9762147468569484</v>
      </c>
      <c r="S104" s="46">
        <f>'Income Statement'!AO143</f>
        <v>11.702857142857143</v>
      </c>
      <c r="T104" s="46">
        <f>'Income Statement'!AP143</f>
        <v>14.091816367265467</v>
      </c>
      <c r="U104" s="46">
        <f>'Income Statement'!AR143</f>
        <v>14.059171597633137</v>
      </c>
      <c r="V104" s="46"/>
      <c r="W104" s="46"/>
    </row>
    <row r="105" spans="8:23">
      <c r="H105" s="39" t="s">
        <v>450</v>
      </c>
      <c r="I105" s="46">
        <f>'Income Statement'!AC144</f>
        <v>7.5588338602037233</v>
      </c>
      <c r="J105" s="46">
        <f>'Income Statement'!AD144</f>
        <v>7.3701193933526943</v>
      </c>
      <c r="K105" s="46">
        <f>'Income Statement'!AE144</f>
        <v>7.1593944790739092</v>
      </c>
      <c r="L105" s="46">
        <f>'Income Statement'!AF144</f>
        <v>6.2956717256885888</v>
      </c>
      <c r="M105" s="46">
        <f>'Income Statement'!AH144</f>
        <v>5.6692506459948317</v>
      </c>
      <c r="N105" s="46">
        <f>'Income Statement'!AI144</f>
        <v>6.2166331729695719</v>
      </c>
      <c r="O105" s="46">
        <f>'Income Statement'!AJ144</f>
        <v>6.7368977246458179</v>
      </c>
      <c r="P105" s="46">
        <f>'Income Statement'!AK144</f>
        <v>6.5051135849398136</v>
      </c>
      <c r="Q105" s="46">
        <f>'Income Statement'!AM144</f>
        <v>5.998209489704565</v>
      </c>
      <c r="R105" s="46">
        <f>'Income Statement'!AN144</f>
        <v>6.6802582398912671</v>
      </c>
      <c r="S105" s="46">
        <f>'Income Statement'!AO144</f>
        <v>7.5733333333333333</v>
      </c>
      <c r="T105" s="46">
        <f>'Income Statement'!AP144</f>
        <v>7.2495009980039917</v>
      </c>
      <c r="U105" s="46">
        <f>'Income Statement'!AR144</f>
        <v>6.5325443786982254</v>
      </c>
      <c r="V105" s="46"/>
      <c r="W105" s="46"/>
    </row>
    <row r="106" spans="8:23">
      <c r="H106" s="39" t="s">
        <v>257</v>
      </c>
      <c r="I106" s="46">
        <f>'Income Statement'!AC145</f>
        <v>6.0484720758693369</v>
      </c>
      <c r="J106" s="46">
        <f>'Income Statement'!AD145</f>
        <v>5.9373991610196839</v>
      </c>
      <c r="K106" s="46">
        <f>'Income Statement'!AE145</f>
        <v>6.0136539032353822</v>
      </c>
      <c r="L106" s="46">
        <f>'Income Statement'!AF145</f>
        <v>5.992130410342889</v>
      </c>
      <c r="M106" s="46">
        <f>'Income Statement'!AH145</f>
        <v>0.77519379844961245</v>
      </c>
      <c r="N106" s="46">
        <f>'Income Statement'!AI145</f>
        <v>1.0301849258063862</v>
      </c>
      <c r="O106" s="46">
        <f>'Income Statement'!AJ145</f>
        <v>1.1833603029402375</v>
      </c>
      <c r="P106" s="46">
        <f>'Income Statement'!AK145</f>
        <v>1.3745587836003257</v>
      </c>
      <c r="Q106" s="46">
        <f>'Income Statement'!AM145</f>
        <v>1.3190092509698597</v>
      </c>
      <c r="R106" s="46">
        <f>'Income Statement'!AN145</f>
        <v>1.6241930003397893</v>
      </c>
      <c r="S106" s="46">
        <f>'Income Statement'!AO145</f>
        <v>1.4019047619047618</v>
      </c>
      <c r="T106" s="46">
        <f>'Income Statement'!AP145</f>
        <v>1.3333333333333333</v>
      </c>
      <c r="U106" s="46">
        <f>'Income Statement'!AR145</f>
        <v>1.3017751479289941</v>
      </c>
      <c r="V106" s="46"/>
      <c r="W106" s="46"/>
    </row>
    <row r="130" spans="8:23">
      <c r="I130" s="39" t="str">
        <f>I102</f>
        <v>Q1 13</v>
      </c>
      <c r="J130" s="39" t="str">
        <f t="shared" ref="J130:W130" si="4">J102</f>
        <v>Q2 13</v>
      </c>
      <c r="K130" s="39" t="str">
        <f t="shared" si="4"/>
        <v>Q3 13</v>
      </c>
      <c r="L130" s="39" t="str">
        <f t="shared" si="4"/>
        <v>Q4 13</v>
      </c>
      <c r="M130" s="39" t="str">
        <f t="shared" si="4"/>
        <v>Q1 14</v>
      </c>
      <c r="N130" s="39" t="str">
        <f t="shared" si="4"/>
        <v>Q2 14</v>
      </c>
      <c r="O130" s="39" t="str">
        <f t="shared" si="4"/>
        <v>Q3 14</v>
      </c>
      <c r="P130" s="39" t="str">
        <f t="shared" si="4"/>
        <v>Q4 14</v>
      </c>
      <c r="Q130" s="39" t="str">
        <f t="shared" si="4"/>
        <v>Q1 15</v>
      </c>
      <c r="R130" s="39" t="str">
        <f t="shared" si="4"/>
        <v>Q2 15</v>
      </c>
      <c r="S130" s="39" t="str">
        <f t="shared" si="4"/>
        <v>Q3 15</v>
      </c>
      <c r="T130" s="39" t="str">
        <f t="shared" si="4"/>
        <v>Q4 15</v>
      </c>
      <c r="U130" s="39" t="str">
        <f t="shared" si="4"/>
        <v>Q1 16</v>
      </c>
      <c r="V130" s="39">
        <f t="shared" si="4"/>
        <v>0</v>
      </c>
      <c r="W130" s="39">
        <f t="shared" si="4"/>
        <v>0</v>
      </c>
    </row>
    <row r="131" spans="8:23">
      <c r="H131" s="39" t="s">
        <v>437</v>
      </c>
      <c r="I131" s="52">
        <f>'Income Statement'!AC96</f>
        <v>49100</v>
      </c>
      <c r="J131" s="52">
        <f>'Income Statement'!AD96</f>
        <v>54200</v>
      </c>
      <c r="K131" s="52">
        <f>'Income Statement'!AE96</f>
        <v>58100</v>
      </c>
      <c r="L131" s="52">
        <f>'Income Statement'!AF96</f>
        <v>60500</v>
      </c>
      <c r="M131" s="52">
        <f>'Income Statement'!AH96</f>
        <v>68500</v>
      </c>
      <c r="N131" s="52">
        <f>'Income Statement'!AI96</f>
        <v>62868</v>
      </c>
      <c r="O131" s="52">
        <f>'Income Statement'!AJ96</f>
        <v>58256</v>
      </c>
      <c r="P131" s="52">
        <f>'Income Statement'!AK96</f>
        <v>59600</v>
      </c>
      <c r="Q131" s="52">
        <f>'Income Statement'!AM96</f>
        <v>52100</v>
      </c>
      <c r="R131" s="52">
        <f>'Income Statement'!AN96</f>
        <v>46000</v>
      </c>
      <c r="S131" s="52">
        <f>'Income Statement'!AO96</f>
        <v>41500</v>
      </c>
      <c r="T131" s="52">
        <f>'Income Statement'!AP96</f>
        <v>42000</v>
      </c>
      <c r="U131" s="52">
        <f>'Income Statement'!AR96</f>
        <v>42500</v>
      </c>
      <c r="V131" s="52">
        <f>'Income Statement'!AS96</f>
        <v>44000</v>
      </c>
      <c r="W131" s="52">
        <f>'Income Statement'!AT96</f>
        <v>45000</v>
      </c>
    </row>
    <row r="132" spans="8:23">
      <c r="J132" s="49">
        <f t="shared" ref="J132:V132" si="5">J131-I131</f>
        <v>5100</v>
      </c>
      <c r="K132" s="49">
        <f t="shared" si="5"/>
        <v>3900</v>
      </c>
      <c r="L132" s="49">
        <f t="shared" si="5"/>
        <v>2400</v>
      </c>
      <c r="M132" s="49">
        <f t="shared" si="5"/>
        <v>8000</v>
      </c>
      <c r="N132" s="49">
        <f t="shared" si="5"/>
        <v>-5632</v>
      </c>
      <c r="O132" s="49">
        <f t="shared" si="5"/>
        <v>-4612</v>
      </c>
      <c r="P132" s="49">
        <f t="shared" si="5"/>
        <v>1344</v>
      </c>
      <c r="Q132" s="49">
        <f t="shared" si="5"/>
        <v>-7500</v>
      </c>
      <c r="R132" s="49">
        <f t="shared" si="5"/>
        <v>-6100</v>
      </c>
      <c r="S132" s="49">
        <f t="shared" si="5"/>
        <v>-4500</v>
      </c>
      <c r="T132" s="49">
        <f t="shared" si="5"/>
        <v>500</v>
      </c>
      <c r="U132" s="49">
        <f t="shared" si="5"/>
        <v>500</v>
      </c>
      <c r="V132" s="49">
        <f t="shared" si="5"/>
        <v>1500</v>
      </c>
      <c r="W132" s="49">
        <f>W131-V131</f>
        <v>1000</v>
      </c>
    </row>
    <row r="154" spans="1:6">
      <c r="A154" s="39" t="s">
        <v>485</v>
      </c>
      <c r="B154" s="39" t="s">
        <v>459</v>
      </c>
      <c r="C154" s="39" t="s">
        <v>424</v>
      </c>
      <c r="D154" s="39" t="s">
        <v>428</v>
      </c>
      <c r="E154" s="39" t="s">
        <v>432</v>
      </c>
      <c r="F154" s="39" t="s">
        <v>448</v>
      </c>
    </row>
    <row r="155" spans="1:6">
      <c r="A155" s="39" t="s">
        <v>514</v>
      </c>
      <c r="C155" s="39">
        <v>29878</v>
      </c>
      <c r="D155" s="39">
        <v>36006</v>
      </c>
      <c r="E155" s="39">
        <v>37506</v>
      </c>
      <c r="F155" s="39">
        <v>37549</v>
      </c>
    </row>
    <row r="156" spans="1:6">
      <c r="A156" s="39" t="s">
        <v>515</v>
      </c>
      <c r="C156" s="39">
        <v>15068</v>
      </c>
      <c r="D156" s="39">
        <v>16006</v>
      </c>
      <c r="E156" s="39">
        <v>18239</v>
      </c>
      <c r="F156" s="39">
        <v>38731</v>
      </c>
    </row>
    <row r="157" spans="1:6">
      <c r="A157" s="39" t="s">
        <v>516</v>
      </c>
      <c r="D157" s="39">
        <v>0</v>
      </c>
      <c r="E157" s="39">
        <v>3134</v>
      </c>
      <c r="F157" s="39">
        <v>8204</v>
      </c>
    </row>
    <row r="161" spans="1:6">
      <c r="A161" s="39" t="s">
        <v>485</v>
      </c>
      <c r="B161" s="39" t="s">
        <v>458</v>
      </c>
      <c r="C161" s="39" t="s">
        <v>423</v>
      </c>
      <c r="D161" s="39" t="s">
        <v>427</v>
      </c>
      <c r="E161" s="39" t="s">
        <v>431</v>
      </c>
      <c r="F161" s="39" t="s">
        <v>442</v>
      </c>
    </row>
    <row r="162" spans="1:6">
      <c r="A162" s="39" t="s">
        <v>514</v>
      </c>
      <c r="B162" s="39">
        <v>25481</v>
      </c>
      <c r="C162" s="39">
        <v>28074</v>
      </c>
      <c r="D162" s="39">
        <v>34253</v>
      </c>
      <c r="E162" s="39">
        <v>37364</v>
      </c>
      <c r="F162" s="39">
        <v>37582</v>
      </c>
    </row>
    <row r="163" spans="1:6">
      <c r="A163" s="39" t="s">
        <v>515</v>
      </c>
      <c r="B163" s="39">
        <v>10620</v>
      </c>
      <c r="C163" s="39">
        <v>14722</v>
      </c>
      <c r="D163" s="39">
        <v>15429</v>
      </c>
      <c r="E163" s="39">
        <v>17918</v>
      </c>
      <c r="F163" s="39">
        <v>33939</v>
      </c>
    </row>
    <row r="164" spans="1:6">
      <c r="A164" s="39" t="s">
        <v>516</v>
      </c>
      <c r="B164" s="39">
        <v>0</v>
      </c>
      <c r="C164" s="39">
        <v>0</v>
      </c>
      <c r="D164" s="39">
        <v>0</v>
      </c>
      <c r="E164" s="39">
        <v>1018</v>
      </c>
      <c r="F164" s="39">
        <v>7204</v>
      </c>
    </row>
    <row r="168" spans="1:6">
      <c r="A168" s="39" t="s">
        <v>485</v>
      </c>
      <c r="B168" s="39" t="s">
        <v>457</v>
      </c>
      <c r="C168" s="39" t="s">
        <v>422</v>
      </c>
      <c r="D168" s="39" t="s">
        <v>426</v>
      </c>
      <c r="E168" s="39" t="s">
        <v>430</v>
      </c>
      <c r="F168" s="39" t="s">
        <v>434</v>
      </c>
    </row>
    <row r="169" spans="1:6">
      <c r="A169" s="39" t="s">
        <v>514</v>
      </c>
      <c r="B169" s="39">
        <v>24949</v>
      </c>
      <c r="C169" s="39">
        <v>27107</v>
      </c>
      <c r="D169" s="39">
        <v>32635</v>
      </c>
      <c r="E169" s="39">
        <v>37072</v>
      </c>
      <c r="F169" s="39">
        <v>37629</v>
      </c>
    </row>
    <row r="170" spans="1:6">
      <c r="A170" s="39" t="s">
        <v>515</v>
      </c>
      <c r="B170" s="39">
        <v>8788</v>
      </c>
      <c r="C170" s="39">
        <v>14186</v>
      </c>
      <c r="D170" s="39">
        <v>15179</v>
      </c>
      <c r="E170" s="39">
        <v>17246</v>
      </c>
      <c r="F170" s="39">
        <v>23474</v>
      </c>
    </row>
    <row r="171" spans="1:6">
      <c r="A171" s="39" t="s">
        <v>516</v>
      </c>
      <c r="B171" s="39">
        <v>0</v>
      </c>
      <c r="C171" s="39">
        <v>0</v>
      </c>
      <c r="D171" s="39">
        <v>0</v>
      </c>
      <c r="E171" s="39">
        <v>232</v>
      </c>
      <c r="F171" s="39">
        <v>5250</v>
      </c>
    </row>
    <row r="174" spans="1:6">
      <c r="A174" s="39" t="s">
        <v>485</v>
      </c>
      <c r="B174" s="39" t="s">
        <v>456</v>
      </c>
      <c r="C174" s="39" t="s">
        <v>421</v>
      </c>
      <c r="D174" s="39" t="s">
        <v>425</v>
      </c>
      <c r="E174" s="39" t="s">
        <v>429</v>
      </c>
      <c r="F174" s="39" t="str">
        <f>F154</f>
        <v>Q4 16</v>
      </c>
    </row>
    <row r="175" spans="1:6">
      <c r="A175" s="39" t="s">
        <v>514</v>
      </c>
      <c r="B175" s="39">
        <v>24234</v>
      </c>
      <c r="C175" s="39">
        <v>26524</v>
      </c>
      <c r="D175" s="39">
        <v>30655</v>
      </c>
      <c r="E175" s="39">
        <v>36331</v>
      </c>
      <c r="F175" s="39">
        <v>37430</v>
      </c>
    </row>
    <row r="176" spans="1:6">
      <c r="A176" s="39" t="s">
        <v>515</v>
      </c>
      <c r="B176" s="39">
        <v>6498</v>
      </c>
      <c r="C176" s="39">
        <v>13295</v>
      </c>
      <c r="D176" s="39">
        <v>14945</v>
      </c>
      <c r="E176" s="39">
        <v>16431</v>
      </c>
      <c r="F176" s="39">
        <v>18324</v>
      </c>
    </row>
    <row r="177" spans="1:17">
      <c r="A177" s="39" t="s">
        <v>516</v>
      </c>
      <c r="B177" s="39">
        <v>0</v>
      </c>
      <c r="C177" s="39">
        <v>0</v>
      </c>
      <c r="D177" s="39">
        <v>0</v>
      </c>
      <c r="E177" s="39">
        <v>180</v>
      </c>
      <c r="F177" s="39">
        <v>3286</v>
      </c>
    </row>
    <row r="180" spans="1:17">
      <c r="A180" s="39" t="s">
        <v>518</v>
      </c>
      <c r="B180" s="39" t="s">
        <v>421</v>
      </c>
      <c r="C180" s="39" t="s">
        <v>422</v>
      </c>
      <c r="D180" s="39" t="s">
        <v>423</v>
      </c>
      <c r="E180" s="39" t="s">
        <v>424</v>
      </c>
      <c r="F180" s="39" t="s">
        <v>425</v>
      </c>
      <c r="G180" s="39" t="s">
        <v>426</v>
      </c>
      <c r="H180" s="39" t="s">
        <v>427</v>
      </c>
      <c r="I180" s="39" t="s">
        <v>428</v>
      </c>
      <c r="J180" s="39" t="s">
        <v>429</v>
      </c>
      <c r="K180" s="39" t="s">
        <v>430</v>
      </c>
      <c r="L180" s="39" t="s">
        <v>431</v>
      </c>
      <c r="M180" s="39" t="s">
        <v>432</v>
      </c>
      <c r="N180" s="39" t="s">
        <v>433</v>
      </c>
      <c r="O180" s="39" t="s">
        <v>434</v>
      </c>
      <c r="P180" s="39" t="s">
        <v>442</v>
      </c>
      <c r="Q180" s="39" t="s">
        <v>448</v>
      </c>
    </row>
    <row r="181" spans="1:17">
      <c r="A181" s="39" t="s">
        <v>519</v>
      </c>
      <c r="B181" s="51">
        <f>'Income Statement'!AC136</f>
        <v>27000</v>
      </c>
      <c r="C181" s="51">
        <f>'Income Statement'!AD136</f>
        <v>27000</v>
      </c>
      <c r="D181" s="51">
        <f>'Income Statement'!AE136</f>
        <v>27000</v>
      </c>
      <c r="E181" s="51">
        <f>'Income Statement'!AF136</f>
        <v>27000</v>
      </c>
      <c r="F181" s="51">
        <f>'Income Statement'!AH136</f>
        <v>23000</v>
      </c>
      <c r="G181" s="51">
        <f>'Income Statement'!AI136</f>
        <v>25000</v>
      </c>
      <c r="H181" s="51">
        <f>'Income Statement'!AJ136</f>
        <v>27000</v>
      </c>
      <c r="I181" s="51">
        <f>'Income Statement'!AK136</f>
        <v>21000</v>
      </c>
      <c r="J181" s="51">
        <f>'Income Statement'!AM136</f>
        <v>28000</v>
      </c>
      <c r="K181" s="51">
        <f>'Income Statement'!AN136</f>
        <v>32000</v>
      </c>
      <c r="L181" s="51">
        <f>'Income Statement'!AO136</f>
        <v>36000</v>
      </c>
      <c r="M181" s="51">
        <f>'Income Statement'!AP136</f>
        <v>40000</v>
      </c>
      <c r="N181" s="51">
        <f>'Income Statement'!AR136</f>
        <v>39000</v>
      </c>
      <c r="O181" s="51">
        <f>'Income Statement'!AS136</f>
        <v>35000</v>
      </c>
      <c r="P181" s="51">
        <f>'Income Statement'!AT136</f>
        <v>34000</v>
      </c>
      <c r="Q181" s="51">
        <f>'Income Statement'!AU136</f>
        <v>32000</v>
      </c>
    </row>
    <row r="182" spans="1:17">
      <c r="A182" s="39" t="s">
        <v>520</v>
      </c>
      <c r="B182" s="51">
        <f>'Income Statement'!AC138</f>
        <v>32834.562697576395</v>
      </c>
      <c r="C182" s="51">
        <f>'Income Statement'!AD138</f>
        <v>31952.242658922234</v>
      </c>
      <c r="D182" s="51">
        <f>'Income Statement'!AE138</f>
        <v>31279.311368358562</v>
      </c>
      <c r="E182" s="51">
        <f>'Income Statement'!AF138</f>
        <v>29600.899381675099</v>
      </c>
      <c r="F182" s="51">
        <f>'Income Statement'!AH138</f>
        <v>22180.878552971575</v>
      </c>
      <c r="G182" s="51">
        <f>'Income Statement'!AI138</f>
        <v>25155.796439518501</v>
      </c>
      <c r="H182" s="51">
        <f>'Income Statement'!AJ138</f>
        <v>27332.870997214977</v>
      </c>
      <c r="I182" s="51">
        <f>'Income Statement'!AK138</f>
        <v>27660.874287265815</v>
      </c>
      <c r="J182" s="51">
        <f>'Income Statement'!AM138</f>
        <v>27496.269770217848</v>
      </c>
      <c r="K182" s="51">
        <f>'Income Statement'!AN138</f>
        <v>32307.169554875974</v>
      </c>
      <c r="L182" s="51">
        <f>'Income Statement'!AO138</f>
        <v>38171.428571428572</v>
      </c>
      <c r="M182" s="51">
        <f>'Income Statement'!AP138</f>
        <v>40574.850299401201</v>
      </c>
      <c r="N182" s="51">
        <f>'Income Statement'!AR138</f>
        <v>38122.287968441808</v>
      </c>
      <c r="O182" s="51">
        <f>'Income Statement'!AS138</f>
        <v>34944.123314065509</v>
      </c>
      <c r="P182" s="51">
        <f>'Income Statement'!AT138</f>
        <v>34501.872659176028</v>
      </c>
      <c r="Q182" s="51">
        <f>'Income Statement'!AU138</f>
        <v>34787.193973634654</v>
      </c>
    </row>
    <row r="192" spans="1:17">
      <c r="B192" s="39">
        <v>2014</v>
      </c>
      <c r="C192" s="39">
        <v>2015</v>
      </c>
      <c r="D192" s="39">
        <v>2016</v>
      </c>
      <c r="E192" s="39" t="s">
        <v>554</v>
      </c>
      <c r="F192" s="39" t="s">
        <v>555</v>
      </c>
      <c r="G192" s="39" t="s">
        <v>556</v>
      </c>
      <c r="H192" s="39" t="s">
        <v>557</v>
      </c>
    </row>
    <row r="193" spans="1:8">
      <c r="A193" s="39" t="s">
        <v>246</v>
      </c>
      <c r="B193" s="51">
        <v>8229</v>
      </c>
      <c r="C193" s="51">
        <v>9286</v>
      </c>
      <c r="D193" s="51">
        <v>8269</v>
      </c>
      <c r="E193" s="51">
        <v>8780.2494138384791</v>
      </c>
      <c r="F193" s="51">
        <v>9882.9705497391569</v>
      </c>
      <c r="G193" s="51">
        <v>11097.093765520809</v>
      </c>
      <c r="H193" s="51">
        <v>12173.886329637553</v>
      </c>
    </row>
    <row r="194" spans="1:8">
      <c r="A194" s="39" t="s">
        <v>248</v>
      </c>
      <c r="B194" s="51">
        <v>5749</v>
      </c>
      <c r="C194" s="51">
        <v>4848</v>
      </c>
      <c r="D194" s="51">
        <v>6474</v>
      </c>
      <c r="E194" s="51">
        <v>7418.2965344641943</v>
      </c>
      <c r="F194" s="51">
        <v>7463.8752634577595</v>
      </c>
      <c r="G194" s="51">
        <v>6772.3737809018357</v>
      </c>
      <c r="H194" s="51">
        <v>6346.8283259900463</v>
      </c>
    </row>
    <row r="195" spans="1:8">
      <c r="B195" s="51">
        <v>13978</v>
      </c>
      <c r="C195" s="51">
        <v>14134</v>
      </c>
      <c r="D195" s="51">
        <v>14743</v>
      </c>
      <c r="E195" s="51">
        <v>16198.545948302673</v>
      </c>
      <c r="F195" s="51">
        <v>17346.845813196916</v>
      </c>
      <c r="G195" s="51">
        <v>17869.467546422646</v>
      </c>
      <c r="H195" s="51">
        <v>18520.714655627598</v>
      </c>
    </row>
    <row r="196" spans="1:8">
      <c r="B196" s="51">
        <f>'Income Statement'!AL225</f>
        <v>23460</v>
      </c>
      <c r="C196" s="51">
        <f>'Income Statement'!AQ225</f>
        <v>22875</v>
      </c>
      <c r="D196" s="51">
        <f>'Income Statement'!AV225</f>
        <v>21342</v>
      </c>
      <c r="E196" s="51">
        <f>'Income Statement'!BA225</f>
        <v>22875</v>
      </c>
      <c r="F196" s="51">
        <f>'Income Statement'!BF225</f>
        <v>22938.812000000002</v>
      </c>
      <c r="G196" s="51">
        <f>'Income Statement'!BK225</f>
        <v>25132.851999999999</v>
      </c>
      <c r="H196" s="51">
        <f>'Income Statement'!BP225</f>
        <v>26009.094999999998</v>
      </c>
    </row>
    <row r="197" spans="1:8">
      <c r="B197" s="50">
        <f>B195/B196</f>
        <v>0.59582267689684565</v>
      </c>
      <c r="C197" s="50">
        <f t="shared" ref="C197:H197" si="6">C195/C196</f>
        <v>0.61787978142076505</v>
      </c>
      <c r="D197" s="50">
        <f t="shared" si="6"/>
        <v>0.69079748852028866</v>
      </c>
      <c r="E197" s="50">
        <f t="shared" si="6"/>
        <v>0.70813315620995299</v>
      </c>
      <c r="F197" s="50">
        <f t="shared" si="6"/>
        <v>0.75622250242065348</v>
      </c>
      <c r="G197" s="50">
        <f t="shared" si="6"/>
        <v>0.71100038891020589</v>
      </c>
      <c r="H197" s="50">
        <f t="shared" si="6"/>
        <v>0.71208608587217659</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2:J14"/>
  <sheetViews>
    <sheetView zoomScale="90" zoomScaleNormal="90" workbookViewId="0"/>
  </sheetViews>
  <sheetFormatPr defaultColWidth="9.08984375" defaultRowHeight="14.5"/>
  <cols>
    <col min="1" max="1" width="10.1796875" style="39" bestFit="1" customWidth="1"/>
    <col min="2" max="2" width="7.1796875" style="39" bestFit="1" customWidth="1"/>
    <col min="3" max="10" width="10" style="39" customWidth="1"/>
    <col min="11" max="16384" width="9.08984375" style="39"/>
  </cols>
  <sheetData>
    <row r="2" spans="1:10">
      <c r="B2" s="39">
        <v>2016</v>
      </c>
      <c r="C2" s="39">
        <v>2017</v>
      </c>
      <c r="D2" s="39">
        <v>2018</v>
      </c>
      <c r="E2" s="39">
        <v>2019</v>
      </c>
      <c r="F2" s="39">
        <v>2020</v>
      </c>
      <c r="G2" s="39">
        <v>2021</v>
      </c>
      <c r="H2" s="39">
        <v>2022</v>
      </c>
      <c r="J2" s="67">
        <v>42370</v>
      </c>
    </row>
    <row r="3" spans="1:10">
      <c r="A3" s="39" t="s">
        <v>536</v>
      </c>
      <c r="B3" s="51">
        <f>88*13.85</f>
        <v>1218.8</v>
      </c>
      <c r="C3" s="51">
        <f>650*13.85</f>
        <v>9002.5</v>
      </c>
      <c r="D3" s="51">
        <f>50*13.85</f>
        <v>692.5</v>
      </c>
      <c r="E3" s="51">
        <f>400*13.85</f>
        <v>5540</v>
      </c>
      <c r="F3" s="51"/>
      <c r="G3" s="51"/>
      <c r="H3" s="51"/>
      <c r="I3" s="51"/>
    </row>
    <row r="4" spans="1:10">
      <c r="A4" s="39" t="s">
        <v>537</v>
      </c>
      <c r="B4" s="51">
        <v>1925</v>
      </c>
      <c r="C4" s="51">
        <v>3500</v>
      </c>
      <c r="D4" s="51">
        <v>1500</v>
      </c>
      <c r="E4" s="51"/>
      <c r="F4" s="51">
        <v>2650</v>
      </c>
      <c r="G4" s="51"/>
      <c r="H4" s="51"/>
      <c r="I4" s="51"/>
    </row>
    <row r="7" spans="1:10">
      <c r="B7" s="39">
        <v>2016</v>
      </c>
      <c r="C7" s="39">
        <v>2017</v>
      </c>
      <c r="D7" s="39">
        <v>2018</v>
      </c>
      <c r="E7" s="39">
        <v>2019</v>
      </c>
      <c r="F7" s="39">
        <v>2020</v>
      </c>
      <c r="G7" s="39">
        <v>2021</v>
      </c>
      <c r="H7" s="39">
        <v>2022</v>
      </c>
      <c r="J7" s="67">
        <v>42614</v>
      </c>
    </row>
    <row r="8" spans="1:10">
      <c r="A8" s="39" t="s">
        <v>536</v>
      </c>
      <c r="B8" s="51"/>
      <c r="C8" s="51"/>
      <c r="D8" s="51">
        <f>50*13.35</f>
        <v>667.5</v>
      </c>
      <c r="E8" s="51">
        <f>300*13.35</f>
        <v>4005</v>
      </c>
      <c r="F8" s="51"/>
      <c r="G8" s="51"/>
      <c r="H8" s="51"/>
      <c r="I8" s="51"/>
    </row>
    <row r="9" spans="1:10">
      <c r="A9" s="39" t="s">
        <v>537</v>
      </c>
      <c r="B9" s="51">
        <v>494</v>
      </c>
      <c r="C9" s="51">
        <v>3050</v>
      </c>
      <c r="D9" s="51">
        <f>1950+258</f>
        <v>2208</v>
      </c>
      <c r="E9" s="51"/>
      <c r="F9" s="51">
        <f>4150+323</f>
        <v>4473</v>
      </c>
      <c r="G9" s="51"/>
      <c r="H9" s="51">
        <v>425</v>
      </c>
      <c r="I9" s="51"/>
    </row>
    <row r="12" spans="1:10">
      <c r="B12" s="39">
        <v>2016</v>
      </c>
      <c r="C12" s="39">
        <v>2017</v>
      </c>
      <c r="D12" s="39">
        <v>2018</v>
      </c>
      <c r="E12" s="39">
        <v>2019</v>
      </c>
      <c r="F12" s="39">
        <v>2020</v>
      </c>
      <c r="G12" s="39">
        <v>2021</v>
      </c>
      <c r="H12" s="39">
        <v>2022</v>
      </c>
      <c r="J12" s="67">
        <v>42887</v>
      </c>
    </row>
    <row r="13" spans="1:10">
      <c r="A13" s="39" t="s">
        <v>538</v>
      </c>
      <c r="B13" s="51"/>
      <c r="C13" s="51"/>
      <c r="D13" s="51">
        <f>50*13.35</f>
        <v>667.5</v>
      </c>
      <c r="E13" s="51">
        <f>300*13.35</f>
        <v>4005</v>
      </c>
      <c r="F13" s="51"/>
      <c r="G13" s="51"/>
      <c r="H13" s="51"/>
    </row>
    <row r="14" spans="1:10">
      <c r="A14" s="39" t="s">
        <v>537</v>
      </c>
      <c r="B14" s="51"/>
      <c r="C14" s="51">
        <v>3050</v>
      </c>
      <c r="D14" s="51">
        <f>1875+258</f>
        <v>2133</v>
      </c>
      <c r="E14" s="51"/>
      <c r="F14" s="51">
        <f>4000+323</f>
        <v>4323</v>
      </c>
      <c r="G14" s="51"/>
      <c r="H14" s="51">
        <v>425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Z108"/>
  <sheetViews>
    <sheetView showGridLines="0" zoomScale="85" zoomScaleNormal="85" workbookViewId="0">
      <pane xSplit="3" ySplit="2" topLeftCell="I24" activePane="bottomRight" state="frozen"/>
      <selection pane="topRight" activeCell="D1" sqref="D1"/>
      <selection pane="bottomLeft" activeCell="A3" sqref="A3"/>
      <selection pane="bottomRight" activeCell="J51" sqref="J51"/>
    </sheetView>
  </sheetViews>
  <sheetFormatPr defaultColWidth="8.90625" defaultRowHeight="14.5"/>
  <cols>
    <col min="1" max="1" width="32.36328125" style="662" bestFit="1" customWidth="1"/>
    <col min="2" max="18" width="11.1796875" style="662" customWidth="1"/>
    <col min="19" max="19" width="8.90625" style="662"/>
    <col min="20" max="20" width="11.36328125" style="662" bestFit="1" customWidth="1"/>
    <col min="21" max="21" width="17.6328125" style="662" bestFit="1" customWidth="1"/>
    <col min="22" max="16384" width="8.90625" style="662"/>
  </cols>
  <sheetData>
    <row r="1" spans="1:22">
      <c r="A1" s="1426" t="s">
        <v>393</v>
      </c>
      <c r="B1" s="1426"/>
      <c r="C1" s="1426"/>
      <c r="D1" s="1427">
        <v>2016</v>
      </c>
      <c r="E1" s="1427">
        <f>D1+1</f>
        <v>2017</v>
      </c>
      <c r="F1" s="1427">
        <f t="shared" ref="F1:R1" si="0">E1+1</f>
        <v>2018</v>
      </c>
      <c r="G1" s="1427">
        <f t="shared" si="0"/>
        <v>2019</v>
      </c>
      <c r="H1" s="1427">
        <f t="shared" si="0"/>
        <v>2020</v>
      </c>
      <c r="I1" s="1427">
        <f t="shared" si="0"/>
        <v>2021</v>
      </c>
      <c r="J1" s="1427">
        <f t="shared" si="0"/>
        <v>2022</v>
      </c>
      <c r="K1" s="1427">
        <f t="shared" si="0"/>
        <v>2023</v>
      </c>
      <c r="L1" s="1427">
        <f t="shared" si="0"/>
        <v>2024</v>
      </c>
      <c r="M1" s="1428">
        <f t="shared" si="0"/>
        <v>2025</v>
      </c>
      <c r="N1" s="1428">
        <f t="shared" si="0"/>
        <v>2026</v>
      </c>
      <c r="O1" s="1428">
        <f t="shared" si="0"/>
        <v>2027</v>
      </c>
      <c r="P1" s="1428">
        <f t="shared" si="0"/>
        <v>2028</v>
      </c>
      <c r="Q1" s="1428">
        <f t="shared" si="0"/>
        <v>2029</v>
      </c>
      <c r="R1" s="1428">
        <f t="shared" si="0"/>
        <v>2030</v>
      </c>
    </row>
    <row r="2" spans="1:22">
      <c r="A2" s="1429" t="s">
        <v>591</v>
      </c>
      <c r="B2" s="1429"/>
      <c r="C2" s="1429"/>
      <c r="D2" s="1430">
        <v>42735</v>
      </c>
      <c r="E2" s="1430">
        <f>EOMONTH(D2,12)</f>
        <v>43100</v>
      </c>
      <c r="F2" s="1430">
        <f t="shared" ref="F2:P2" si="1">EOMONTH(E2,12)</f>
        <v>43465</v>
      </c>
      <c r="G2" s="1430">
        <f t="shared" si="1"/>
        <v>43830</v>
      </c>
      <c r="H2" s="1430">
        <f t="shared" si="1"/>
        <v>44196</v>
      </c>
      <c r="I2" s="1430">
        <f t="shared" si="1"/>
        <v>44561</v>
      </c>
      <c r="J2" s="1430">
        <f t="shared" si="1"/>
        <v>44926</v>
      </c>
      <c r="K2" s="1430">
        <f t="shared" si="1"/>
        <v>45291</v>
      </c>
      <c r="L2" s="1430">
        <f t="shared" si="1"/>
        <v>45657</v>
      </c>
      <c r="M2" s="1431">
        <f t="shared" si="1"/>
        <v>46022</v>
      </c>
      <c r="N2" s="1431">
        <f t="shared" si="1"/>
        <v>46387</v>
      </c>
      <c r="O2" s="1431">
        <f t="shared" si="1"/>
        <v>46752</v>
      </c>
      <c r="P2" s="1431">
        <f t="shared" si="1"/>
        <v>47118</v>
      </c>
      <c r="Q2" s="1431">
        <f t="shared" ref="Q2" si="2">EOMONTH(P2,12)</f>
        <v>47483</v>
      </c>
      <c r="R2" s="1431">
        <f t="shared" ref="R2" si="3">EOMONTH(Q2,12)</f>
        <v>47848</v>
      </c>
    </row>
    <row r="3" spans="1:22" s="937" customFormat="1">
      <c r="A3" s="1432"/>
      <c r="B3" s="1432"/>
      <c r="C3" s="1432"/>
      <c r="D3" s="1433"/>
      <c r="E3" s="1433"/>
      <c r="F3" s="1433"/>
      <c r="G3" s="1433"/>
      <c r="H3" s="1433"/>
      <c r="I3" s="1433"/>
      <c r="J3" s="1433"/>
      <c r="K3" s="1433"/>
      <c r="L3" s="1433"/>
      <c r="M3" s="1433"/>
      <c r="N3" s="1433"/>
      <c r="O3" s="1433"/>
      <c r="P3" s="1433"/>
      <c r="Q3" s="1433"/>
      <c r="R3" s="1433"/>
    </row>
    <row r="4" spans="1:22" s="937" customFormat="1">
      <c r="A4" s="1434"/>
      <c r="B4" s="1434"/>
      <c r="C4" s="1434"/>
      <c r="D4" s="1435"/>
      <c r="E4" s="1435"/>
      <c r="F4" s="1435"/>
      <c r="G4" s="1435"/>
      <c r="H4" s="1435"/>
      <c r="I4" s="1435"/>
      <c r="J4" s="1435"/>
      <c r="K4" s="1435"/>
      <c r="L4" s="1435"/>
      <c r="M4" s="1435"/>
      <c r="N4" s="1435"/>
      <c r="O4" s="1435"/>
      <c r="P4" s="1435"/>
      <c r="Q4" s="1435"/>
      <c r="R4" s="1435"/>
    </row>
    <row r="5" spans="1:22" s="937" customFormat="1">
      <c r="A5" s="1436"/>
      <c r="B5" s="1436"/>
      <c r="C5" s="1436"/>
      <c r="D5" s="1437"/>
      <c r="E5" s="1437"/>
      <c r="F5" s="1437"/>
      <c r="G5" s="1437"/>
      <c r="H5" s="1437"/>
      <c r="I5" s="1437"/>
      <c r="J5" s="1437"/>
      <c r="K5" s="1437"/>
      <c r="L5" s="1437"/>
    </row>
    <row r="6" spans="1:22" s="1440" customFormat="1">
      <c r="A6" s="1438" t="s">
        <v>77</v>
      </c>
      <c r="B6" s="1438"/>
      <c r="C6" s="1438"/>
      <c r="D6" s="1439"/>
      <c r="E6" s="1439"/>
      <c r="F6" s="1439"/>
      <c r="G6" s="1439"/>
      <c r="H6" s="1439"/>
      <c r="I6" s="1439"/>
      <c r="J6" s="1439"/>
      <c r="K6" s="1439"/>
      <c r="L6" s="1439">
        <f>'Income Statement'!CJ257</f>
        <v>5804.6650000000009</v>
      </c>
      <c r="M6" s="1439">
        <f>'Income Statement'!CO257</f>
        <v>2084.4562465740128</v>
      </c>
      <c r="N6" s="1439">
        <f>'Income Statement'!CP257</f>
        <v>5069.9778078283634</v>
      </c>
      <c r="O6" s="1439">
        <f>'Income Statement'!CQ257</f>
        <v>7708.9397968255289</v>
      </c>
      <c r="P6" s="1439">
        <f>'Income Statement'!CR257</f>
        <v>10361.079285377851</v>
      </c>
      <c r="Q6" s="1439">
        <f>'Income Statement'!CS257</f>
        <v>11772.182043895984</v>
      </c>
      <c r="R6" s="1439">
        <f>'Income Statement'!CT257</f>
        <v>13080.317106786435</v>
      </c>
    </row>
    <row r="7" spans="1:22" s="1440" customFormat="1">
      <c r="A7" s="1438" t="s">
        <v>1040</v>
      </c>
      <c r="B7" s="1438"/>
      <c r="C7" s="1438"/>
      <c r="D7" s="1439"/>
      <c r="E7" s="1439"/>
      <c r="F7" s="1439"/>
      <c r="G7" s="1439"/>
      <c r="H7" s="1439"/>
      <c r="I7" s="1439"/>
      <c r="J7" s="1439"/>
      <c r="K7" s="1439"/>
      <c r="L7" s="1439">
        <f t="shared" ref="L7:R7" si="4">-0.22*L6</f>
        <v>-1277.0263000000002</v>
      </c>
      <c r="M7" s="1439">
        <f t="shared" si="4"/>
        <v>-458.58037424628282</v>
      </c>
      <c r="N7" s="1439">
        <f t="shared" si="4"/>
        <v>-1115.39511772224</v>
      </c>
      <c r="O7" s="1439">
        <f t="shared" si="4"/>
        <v>-1695.9667553016163</v>
      </c>
      <c r="P7" s="1439">
        <f t="shared" si="4"/>
        <v>-2279.4374427831272</v>
      </c>
      <c r="Q7" s="1439">
        <f t="shared" si="4"/>
        <v>-2589.8800496571166</v>
      </c>
      <c r="R7" s="1439">
        <f t="shared" si="4"/>
        <v>-2877.6697634930156</v>
      </c>
    </row>
    <row r="8" spans="1:22" s="1443" customFormat="1">
      <c r="A8" s="1441" t="s">
        <v>871</v>
      </c>
      <c r="B8" s="1441"/>
      <c r="C8" s="1441"/>
      <c r="D8" s="1442"/>
      <c r="E8" s="1442"/>
      <c r="F8" s="1442"/>
      <c r="G8" s="1442"/>
      <c r="H8" s="1442"/>
      <c r="I8" s="1442"/>
      <c r="J8" s="1442"/>
      <c r="K8" s="1442"/>
      <c r="L8" s="1442">
        <f>L6+L7</f>
        <v>4527.6387000000004</v>
      </c>
      <c r="M8" s="1442">
        <f t="shared" ref="M8:R8" si="5">M6+M7</f>
        <v>1625.8758723277299</v>
      </c>
      <c r="N8" s="1442">
        <f t="shared" si="5"/>
        <v>3954.5826901061237</v>
      </c>
      <c r="O8" s="1442">
        <f t="shared" si="5"/>
        <v>6012.9730415239128</v>
      </c>
      <c r="P8" s="1442">
        <f t="shared" si="5"/>
        <v>8081.641842594724</v>
      </c>
      <c r="Q8" s="1442">
        <f t="shared" si="5"/>
        <v>9182.3019942388673</v>
      </c>
      <c r="R8" s="1442">
        <f t="shared" si="5"/>
        <v>10202.64734329342</v>
      </c>
    </row>
    <row r="9" spans="1:22" s="1440" customFormat="1">
      <c r="A9" s="1444" t="s">
        <v>1501</v>
      </c>
      <c r="B9" s="1444"/>
      <c r="C9" s="1444"/>
      <c r="D9" s="1439"/>
      <c r="E9" s="1439"/>
      <c r="F9" s="1439"/>
      <c r="G9" s="1439"/>
      <c r="H9" s="1439"/>
      <c r="I9" s="1439"/>
      <c r="J9" s="1439"/>
      <c r="K9" s="1439"/>
      <c r="L9" s="1439">
        <f>'Income Statement'!CJ252</f>
        <v>12074.334999999999</v>
      </c>
      <c r="M9" s="1439">
        <f>'Income Statement'!CO252</f>
        <v>16060.99585611411</v>
      </c>
      <c r="N9" s="1439">
        <f>'Income Statement'!CP252</f>
        <v>16553.799226474192</v>
      </c>
      <c r="O9" s="1439">
        <f>'Income Statement'!CQ252</f>
        <v>16118.431741703713</v>
      </c>
      <c r="P9" s="1439">
        <f>'Income Statement'!CR252</f>
        <v>15783.229182500902</v>
      </c>
      <c r="Q9" s="1439">
        <f>'Income Statement'!CS252</f>
        <v>15653.647222389198</v>
      </c>
      <c r="R9" s="1439">
        <f>'Income Statement'!CT252</f>
        <v>15689.825763565037</v>
      </c>
    </row>
    <row r="10" spans="1:22" s="1440" customFormat="1">
      <c r="A10" s="1444" t="s">
        <v>1035</v>
      </c>
      <c r="B10" s="1444"/>
      <c r="C10" s="1444"/>
      <c r="D10" s="1439"/>
      <c r="E10" s="1439"/>
      <c r="F10" s="1439"/>
      <c r="G10" s="1439"/>
      <c r="H10" s="1439"/>
      <c r="I10" s="1439"/>
      <c r="J10" s="1439"/>
      <c r="K10" s="1439"/>
      <c r="L10" s="1439">
        <f>'Income Statement'!CJ253</f>
        <v>0</v>
      </c>
      <c r="M10" s="1439">
        <f>'Income Statement'!CO253</f>
        <v>402.32585</v>
      </c>
      <c r="N10" s="1439">
        <f>'Income Statement'!CP253</f>
        <v>402.32585</v>
      </c>
      <c r="O10" s="1439">
        <f>'Income Statement'!CQ253</f>
        <v>439.43857727272723</v>
      </c>
      <c r="P10" s="1439">
        <f>'Income Statement'!CR253</f>
        <v>476.55130454545451</v>
      </c>
      <c r="Q10" s="1439">
        <f>'Income Statement'!CS253</f>
        <v>513.6640318181818</v>
      </c>
      <c r="R10" s="1439">
        <f>'Income Statement'!CT253</f>
        <v>550.77675909090908</v>
      </c>
    </row>
    <row r="11" spans="1:22" s="1440" customFormat="1">
      <c r="A11" s="1438" t="s">
        <v>1029</v>
      </c>
      <c r="B11" s="1438"/>
      <c r="C11" s="1438"/>
      <c r="D11" s="1439"/>
      <c r="E11" s="1439"/>
      <c r="F11" s="1439"/>
      <c r="G11" s="1439"/>
      <c r="H11" s="1439"/>
      <c r="I11" s="1439"/>
      <c r="J11" s="1439"/>
      <c r="K11" s="1439"/>
      <c r="L11" s="1439">
        <f>-'Income Statement'!CJ27</f>
        <v>-7382</v>
      </c>
      <c r="M11" s="1439">
        <f>-'Income Statement'!CO27</f>
        <v>-20387.570799343855</v>
      </c>
      <c r="N11" s="1439">
        <f>-'Income Statement'!CP27</f>
        <v>-10401.935594551464</v>
      </c>
      <c r="O11" s="1439">
        <f>-'Income Statement'!CQ27</f>
        <v>-10361.99235565762</v>
      </c>
      <c r="P11" s="1439">
        <f>-'Income Statement'!CR27</f>
        <v>-10813.115188025306</v>
      </c>
      <c r="Q11" s="1439">
        <f>-'Income Statement'!CS27</f>
        <v>-11283.256908849437</v>
      </c>
      <c r="R11" s="1439">
        <f>-'Income Statement'!CT27</f>
        <v>-12053.5329260614</v>
      </c>
    </row>
    <row r="12" spans="1:22" s="1440" customFormat="1">
      <c r="A12" s="1438" t="s">
        <v>1030</v>
      </c>
      <c r="B12" s="1438"/>
      <c r="C12" s="1438"/>
      <c r="D12" s="1439"/>
      <c r="E12" s="1439"/>
      <c r="F12" s="1439"/>
      <c r="G12" s="1439"/>
      <c r="H12" s="1439"/>
      <c r="I12" s="1439"/>
      <c r="J12" s="1439"/>
      <c r="K12" s="1439"/>
      <c r="L12" s="1439">
        <f>'Balance Sheet and Cflow'!T258</f>
        <v>-1754.5090000000012</v>
      </c>
      <c r="M12" s="1439">
        <f>'Balance Sheet and Cflow'!V258</f>
        <v>480.56379978137647</v>
      </c>
      <c r="N12" s="1439">
        <f>'Balance Sheet and Cflow'!W258</f>
        <v>285.83597953290746</v>
      </c>
      <c r="O12" s="1439">
        <f>'Balance Sheet and Cflow'!X258</f>
        <v>122.55896379882961</v>
      </c>
      <c r="P12" s="1439">
        <f>'Balance Sheet and Cflow'!Y258</f>
        <v>127.72631381444654</v>
      </c>
      <c r="Q12" s="1439">
        <f>'Balance Sheet and Cflow'!Z258</f>
        <v>133.11112775223813</v>
      </c>
      <c r="R12" s="1439">
        <f>'Balance Sheet and Cflow'!AA258</f>
        <v>138.72264052118032</v>
      </c>
    </row>
    <row r="13" spans="1:22" s="1440" customFormat="1">
      <c r="A13" s="1441" t="s">
        <v>1031</v>
      </c>
      <c r="B13" s="1441"/>
      <c r="C13" s="1441"/>
      <c r="D13" s="1442"/>
      <c r="E13" s="1442"/>
      <c r="F13" s="1442"/>
      <c r="G13" s="1442"/>
      <c r="H13" s="1442"/>
      <c r="I13" s="1442"/>
      <c r="J13" s="1442"/>
      <c r="K13" s="1442"/>
      <c r="L13" s="1442">
        <f t="shared" ref="L13:R13" si="6">SUM(L8:L12)</f>
        <v>7465.4646999999977</v>
      </c>
      <c r="M13" s="1442">
        <f t="shared" si="6"/>
        <v>-1817.8094211206362</v>
      </c>
      <c r="N13" s="1442">
        <f t="shared" si="6"/>
        <v>10794.608151561759</v>
      </c>
      <c r="O13" s="1442">
        <f t="shared" si="6"/>
        <v>12331.409968641561</v>
      </c>
      <c r="P13" s="1442">
        <f t="shared" si="6"/>
        <v>13656.033455430219</v>
      </c>
      <c r="Q13" s="1442">
        <f t="shared" si="6"/>
        <v>14199.467467349048</v>
      </c>
      <c r="R13" s="1442">
        <f t="shared" si="6"/>
        <v>14528.439580409149</v>
      </c>
    </row>
    <row r="14" spans="1:22">
      <c r="A14" s="1438" t="s">
        <v>64</v>
      </c>
      <c r="B14" s="1438"/>
      <c r="C14" s="1438"/>
      <c r="D14" s="1445"/>
      <c r="E14" s="1445"/>
      <c r="F14" s="1445"/>
      <c r="G14" s="1445"/>
      <c r="H14" s="1445"/>
      <c r="I14" s="1445"/>
      <c r="J14" s="1445"/>
      <c r="K14" s="1445"/>
      <c r="L14" s="1445"/>
      <c r="M14" s="1445">
        <f t="shared" ref="M14" si="7">M13/L13-1</f>
        <v>-1.2434958162913337</v>
      </c>
      <c r="N14" s="1445">
        <f t="shared" ref="N14" si="8">N13/M13-1</f>
        <v>-6.9382507462785288</v>
      </c>
      <c r="O14" s="1445">
        <f t="shared" ref="O14" si="9">O13/N13-1</f>
        <v>0.14236754085950398</v>
      </c>
      <c r="P14" s="1445">
        <f t="shared" ref="P14" si="10">P13/O13-1</f>
        <v>0.1074186561112751</v>
      </c>
      <c r="Q14" s="1445">
        <f t="shared" ref="Q14" si="11">Q13/P13-1</f>
        <v>3.9794425935792965E-2</v>
      </c>
      <c r="R14" s="1445">
        <f t="shared" ref="R14" si="12">R13/Q13-1</f>
        <v>2.3167919065736564E-2</v>
      </c>
      <c r="U14" s="1446"/>
      <c r="V14" s="1446"/>
    </row>
    <row r="15" spans="1:22">
      <c r="A15" s="1438"/>
      <c r="B15" s="1438"/>
      <c r="C15" s="1438"/>
      <c r="D15" s="1447"/>
      <c r="E15" s="1447"/>
      <c r="F15" s="1447"/>
      <c r="G15" s="1447"/>
      <c r="H15" s="1447"/>
      <c r="I15" s="1447"/>
      <c r="J15" s="1447"/>
      <c r="K15" s="1447"/>
      <c r="L15" s="1447"/>
      <c r="M15" s="1447"/>
      <c r="N15" s="1447"/>
      <c r="O15" s="1447"/>
      <c r="P15" s="1447"/>
      <c r="Q15" s="1447"/>
      <c r="R15" s="1447"/>
      <c r="U15" s="1446"/>
      <c r="V15" s="1439"/>
    </row>
    <row r="16" spans="1:22">
      <c r="A16" s="1504" t="s">
        <v>395</v>
      </c>
      <c r="B16" s="1504"/>
      <c r="C16" s="1504"/>
      <c r="D16" s="1505"/>
      <c r="E16" s="1505"/>
      <c r="F16" s="1505"/>
      <c r="G16" s="1505"/>
      <c r="H16" s="1505"/>
      <c r="I16" s="1505"/>
      <c r="J16" s="1505"/>
      <c r="K16" s="1505"/>
      <c r="L16" s="1505">
        <v>0</v>
      </c>
      <c r="M16" s="1505">
        <v>0</v>
      </c>
      <c r="N16" s="1506">
        <f t="shared" ref="N16:P16" si="13">M16+1</f>
        <v>1</v>
      </c>
      <c r="O16" s="1506">
        <f t="shared" si="13"/>
        <v>2</v>
      </c>
      <c r="P16" s="1506">
        <f t="shared" si="13"/>
        <v>3</v>
      </c>
      <c r="Q16" s="1506">
        <f t="shared" ref="Q16" si="14">P16+1</f>
        <v>4</v>
      </c>
      <c r="R16" s="1506">
        <f t="shared" ref="R16" si="15">Q16+1</f>
        <v>5</v>
      </c>
      <c r="U16" s="1446"/>
      <c r="V16" s="1439"/>
    </row>
    <row r="17" spans="1:26">
      <c r="A17" s="1438" t="s">
        <v>396</v>
      </c>
      <c r="B17" s="1438"/>
      <c r="C17" s="1438"/>
      <c r="D17" s="1507"/>
      <c r="E17" s="1507"/>
      <c r="F17" s="1507"/>
      <c r="G17" s="1507"/>
      <c r="H17" s="1507"/>
      <c r="I17" s="1507"/>
      <c r="J17" s="1507"/>
      <c r="K17" s="1507"/>
      <c r="L17" s="1507">
        <v>1</v>
      </c>
      <c r="M17" s="1507">
        <v>1</v>
      </c>
      <c r="N17" s="1508">
        <f>M17/(1+$B46)</f>
        <v>0.90397686542406008</v>
      </c>
      <c r="O17" s="1508">
        <f>N17/(1+$B46)</f>
        <v>0.81717417322190922</v>
      </c>
      <c r="P17" s="1508">
        <f>O17/(1+$B46)</f>
        <v>0.73870654761463939</v>
      </c>
      <c r="Q17" s="1508">
        <f>P17/(1+$B46)</f>
        <v>0.66777362938091089</v>
      </c>
      <c r="R17" s="1508">
        <f>Q17/(1+$B46)</f>
        <v>0.60365191230060389</v>
      </c>
      <c r="V17" s="1439"/>
    </row>
    <row r="18" spans="1:26">
      <c r="A18" s="1509" t="s">
        <v>397</v>
      </c>
      <c r="B18" s="1509"/>
      <c r="C18" s="1509"/>
      <c r="D18" s="1510"/>
      <c r="E18" s="1510"/>
      <c r="F18" s="1510"/>
      <c r="G18" s="1510"/>
      <c r="H18" s="1510"/>
      <c r="I18" s="1510"/>
      <c r="J18" s="1510"/>
      <c r="K18" s="1510"/>
      <c r="L18" s="1510">
        <f>L13*L17</f>
        <v>7465.4646999999977</v>
      </c>
      <c r="M18" s="1510">
        <f t="shared" ref="M18:P18" si="16">M13*M17</f>
        <v>-1817.8094211206362</v>
      </c>
      <c r="N18" s="1510">
        <f t="shared" si="16"/>
        <v>9758.0760403298063</v>
      </c>
      <c r="O18" s="1510">
        <f t="shared" si="16"/>
        <v>10076.909745785077</v>
      </c>
      <c r="P18" s="1510">
        <f t="shared" si="16"/>
        <v>10087.801327970872</v>
      </c>
      <c r="Q18" s="1510">
        <f t="shared" ref="Q18:R18" si="17">Q13*Q17</f>
        <v>9482.0299259478452</v>
      </c>
      <c r="R18" s="1510">
        <f t="shared" si="17"/>
        <v>8770.1203354577665</v>
      </c>
    </row>
    <row r="19" spans="1:26">
      <c r="A19" s="1438"/>
      <c r="B19" s="1438"/>
      <c r="C19" s="1438"/>
      <c r="D19" s="1449"/>
      <c r="E19" s="1449"/>
      <c r="F19" s="1449"/>
      <c r="G19" s="1449"/>
      <c r="H19" s="1449"/>
      <c r="I19" s="1449"/>
      <c r="J19" s="1449"/>
      <c r="K19" s="1449"/>
      <c r="L19" s="1449"/>
      <c r="M19" s="1449"/>
      <c r="N19" s="1449"/>
      <c r="O19" s="1449"/>
      <c r="P19" s="1449"/>
      <c r="Q19" s="1449"/>
      <c r="R19" s="1449"/>
    </row>
    <row r="20" spans="1:26">
      <c r="A20" s="1434"/>
      <c r="B20" s="1450"/>
      <c r="C20" s="1451"/>
      <c r="E20" s="1448"/>
      <c r="F20" s="1448"/>
      <c r="H20" s="1448"/>
      <c r="I20" s="1447"/>
      <c r="J20" s="1447"/>
      <c r="K20" s="1447"/>
      <c r="L20" s="1439"/>
      <c r="M20" s="1439"/>
      <c r="N20" s="1439"/>
      <c r="O20" s="1439"/>
      <c r="P20" s="1439"/>
      <c r="Q20" s="1439"/>
      <c r="R20" s="1439"/>
    </row>
    <row r="21" spans="1:26">
      <c r="A21" s="1438" t="s">
        <v>743</v>
      </c>
      <c r="B21" s="1439">
        <f>SUM(N18:R18)</f>
        <v>48174.937375491369</v>
      </c>
      <c r="C21" s="1439"/>
      <c r="E21" s="1439">
        <v>45558.754201292199</v>
      </c>
      <c r="F21" s="1439"/>
      <c r="H21" s="1452"/>
      <c r="I21" s="1452"/>
      <c r="J21" s="1452"/>
      <c r="K21" s="1452"/>
      <c r="L21" s="1452"/>
      <c r="M21" s="1453"/>
      <c r="N21" s="1453"/>
      <c r="O21" s="1453"/>
      <c r="P21" s="1453"/>
      <c r="Q21" s="1453"/>
      <c r="R21" s="1453"/>
    </row>
    <row r="22" spans="1:26">
      <c r="A22" s="1438" t="s">
        <v>398</v>
      </c>
      <c r="B22" s="1439">
        <f>(R13*(1+B47)/(B46-B47))</f>
        <v>171868.39209975683</v>
      </c>
      <c r="C22" s="1439"/>
      <c r="D22" s="1454">
        <f>B22/R13</f>
        <v>11.829790195191539</v>
      </c>
      <c r="E22" s="1439">
        <v>161498.09113056268</v>
      </c>
      <c r="F22" s="1439"/>
      <c r="H22" s="1455"/>
      <c r="I22" s="1455"/>
      <c r="J22" s="1446"/>
      <c r="K22" s="1446"/>
      <c r="L22" s="1446"/>
      <c r="M22" s="1453"/>
      <c r="N22" s="1453"/>
      <c r="O22" s="1453"/>
      <c r="P22" s="1453"/>
      <c r="Q22" s="1453"/>
      <c r="R22" s="1453"/>
      <c r="S22" s="1449"/>
      <c r="T22" s="1449"/>
      <c r="U22" s="1449"/>
      <c r="V22" s="1449"/>
      <c r="W22" s="1449"/>
      <c r="X22" s="1449"/>
      <c r="Y22" s="1449"/>
      <c r="Z22" s="1449"/>
    </row>
    <row r="23" spans="1:26">
      <c r="A23" s="1438" t="s">
        <v>781</v>
      </c>
      <c r="B23" s="1439">
        <f>B22/(1+$B$46)^R16</f>
        <v>103748.68355504822</v>
      </c>
      <c r="C23" s="1439"/>
      <c r="E23" s="1439">
        <v>97957.274396734385</v>
      </c>
      <c r="F23" s="1439"/>
      <c r="H23" s="1455"/>
      <c r="I23" s="1455"/>
      <c r="J23" s="1446"/>
      <c r="K23" s="1446"/>
      <c r="L23" s="1446"/>
      <c r="M23" s="1446"/>
      <c r="N23" s="1449"/>
      <c r="O23" s="1449"/>
      <c r="P23" s="1449"/>
      <c r="Q23" s="1449"/>
      <c r="R23" s="1449"/>
      <c r="S23" s="1449"/>
      <c r="T23" s="1449"/>
      <c r="U23" s="1449"/>
      <c r="V23" s="1449"/>
      <c r="W23" s="1449"/>
      <c r="X23" s="1449"/>
      <c r="Y23" s="1449"/>
      <c r="Z23" s="1449"/>
    </row>
    <row r="24" spans="1:26">
      <c r="A24" s="1456" t="s">
        <v>1041</v>
      </c>
      <c r="B24" s="1457">
        <v>-3500</v>
      </c>
      <c r="C24" s="1503"/>
      <c r="E24" s="1457">
        <v>-3500</v>
      </c>
      <c r="F24" s="1503"/>
      <c r="H24" s="1445"/>
      <c r="I24" s="1445"/>
      <c r="J24" s="1446"/>
      <c r="K24" s="1446"/>
      <c r="N24" s="1446"/>
      <c r="O24" s="1446"/>
      <c r="P24" s="1446"/>
      <c r="Q24" s="1446"/>
      <c r="R24" s="1446"/>
    </row>
    <row r="25" spans="1:26">
      <c r="A25" s="1458" t="s">
        <v>715</v>
      </c>
      <c r="B25" s="1442">
        <f>B23+B21+B24</f>
        <v>148423.62093053959</v>
      </c>
      <c r="C25" s="1442">
        <f>C30-C29</f>
        <v>148257.84308628444</v>
      </c>
      <c r="E25" s="1442">
        <v>140016.02859802658</v>
      </c>
      <c r="F25" s="1442">
        <v>157344.3190480037</v>
      </c>
      <c r="H25" s="1459"/>
      <c r="I25" s="1459"/>
      <c r="J25" s="1446"/>
      <c r="K25" s="1446"/>
      <c r="N25" s="1446"/>
      <c r="O25" s="1446"/>
      <c r="P25" s="1446"/>
      <c r="Q25" s="1446"/>
      <c r="R25" s="1446"/>
    </row>
    <row r="26" spans="1:26">
      <c r="A26" s="1438" t="s">
        <v>503</v>
      </c>
      <c r="B26" s="1439">
        <f>B56</f>
        <v>16304</v>
      </c>
      <c r="C26" s="1460"/>
      <c r="E26" s="1439">
        <v>16304</v>
      </c>
      <c r="F26" s="1460"/>
      <c r="H26" s="1459"/>
      <c r="I26" s="1459"/>
      <c r="J26" s="1446"/>
      <c r="K26" s="1446"/>
      <c r="N26" s="1446"/>
      <c r="O26" s="1446"/>
      <c r="P26" s="1446"/>
      <c r="Q26" s="1446"/>
      <c r="R26" s="1446"/>
    </row>
    <row r="27" spans="1:26">
      <c r="A27" s="1458" t="s">
        <v>399</v>
      </c>
      <c r="B27" s="1460">
        <f>B25*1000/$B$26</f>
        <v>9103.5096252784333</v>
      </c>
      <c r="C27" s="1460"/>
      <c r="E27" s="1460">
        <v>8587.8329611154677</v>
      </c>
      <c r="F27" s="1460"/>
      <c r="H27" s="1445"/>
      <c r="I27" s="1445"/>
      <c r="J27" s="1445"/>
      <c r="K27" s="1445"/>
      <c r="L27" s="1445"/>
      <c r="M27" s="1445"/>
      <c r="N27" s="1445"/>
      <c r="O27" s="1445"/>
      <c r="P27" s="1445"/>
      <c r="Q27" s="1445"/>
      <c r="R27" s="1445"/>
    </row>
    <row r="28" spans="1:26">
      <c r="A28" s="1458"/>
      <c r="B28" s="1460"/>
      <c r="C28" s="1460"/>
      <c r="E28" s="1460"/>
      <c r="F28" s="1460"/>
      <c r="H28" s="1445"/>
      <c r="I28" s="1445"/>
      <c r="J28" s="1445"/>
      <c r="K28" s="1445"/>
      <c r="L28" s="1445"/>
      <c r="M28" s="1445"/>
      <c r="N28" s="1445"/>
      <c r="O28" s="1445"/>
      <c r="P28" s="1445"/>
      <c r="Q28" s="1445"/>
      <c r="R28" s="1445"/>
    </row>
    <row r="29" spans="1:26">
      <c r="A29" s="1438" t="s">
        <v>1043</v>
      </c>
      <c r="B29" s="1461">
        <f>-'Balance Sheet and Cflow'!V203</f>
        <v>-71285.34308628444</v>
      </c>
      <c r="C29" s="1439">
        <f>B29</f>
        <v>-71285.34308628444</v>
      </c>
      <c r="E29" s="1461">
        <v>-71819.319048003686</v>
      </c>
      <c r="F29" s="1439">
        <v>-71819.319048003686</v>
      </c>
      <c r="H29" s="1445"/>
      <c r="I29" s="1445"/>
      <c r="J29" s="1445"/>
      <c r="K29" s="1445"/>
      <c r="L29" s="1445"/>
      <c r="M29" s="1445"/>
      <c r="N29" s="1445"/>
      <c r="O29" s="1445"/>
      <c r="P29" s="1445"/>
      <c r="Q29" s="1445"/>
      <c r="R29" s="1445"/>
    </row>
    <row r="30" spans="1:26">
      <c r="A30" s="1441" t="s">
        <v>714</v>
      </c>
      <c r="B30" s="1442">
        <f>B25+B29</f>
        <v>77138.27784425515</v>
      </c>
      <c r="C30" s="1442">
        <f>(C32-C31)*C36/1000</f>
        <v>76972.5</v>
      </c>
      <c r="E30" s="1442">
        <v>68196.70955002289</v>
      </c>
      <c r="F30" s="1442">
        <v>85525</v>
      </c>
      <c r="H30" s="1445"/>
      <c r="I30" s="1445"/>
      <c r="J30" s="1445"/>
      <c r="K30" s="1445"/>
      <c r="L30" s="1445"/>
      <c r="M30" s="1445"/>
      <c r="N30" s="1445"/>
      <c r="O30" s="1445"/>
      <c r="P30" s="1445"/>
      <c r="Q30" s="1445"/>
      <c r="R30" s="1445"/>
    </row>
    <row r="31" spans="1:26">
      <c r="A31" s="1438" t="s">
        <v>744</v>
      </c>
      <c r="B31" s="1462">
        <f>'Income Statement'!CO284</f>
        <v>0</v>
      </c>
      <c r="C31" s="1463">
        <f>B31</f>
        <v>0</v>
      </c>
      <c r="E31" s="1448"/>
      <c r="F31" s="1445"/>
      <c r="H31" s="1445"/>
      <c r="I31" s="1445"/>
      <c r="J31" s="1445"/>
      <c r="K31" s="1445"/>
      <c r="L31" s="1445"/>
      <c r="M31" s="1445"/>
      <c r="N31" s="1445"/>
      <c r="O31" s="1445"/>
      <c r="P31" s="1445"/>
      <c r="Q31" s="1445"/>
      <c r="R31" s="1445"/>
    </row>
    <row r="32" spans="1:26">
      <c r="A32" s="1458" t="s">
        <v>400</v>
      </c>
      <c r="B32" s="1464">
        <f>1000*B30/$B$36+B31</f>
        <v>4509.6917769222537</v>
      </c>
      <c r="C32" s="1465">
        <v>4500</v>
      </c>
      <c r="E32" s="1449"/>
      <c r="F32" s="1449"/>
      <c r="H32" s="1445"/>
      <c r="I32" s="1445"/>
      <c r="J32" s="1445"/>
      <c r="K32" s="1445"/>
      <c r="L32" s="1445"/>
      <c r="M32" s="1445"/>
      <c r="N32" s="1445"/>
      <c r="O32" s="1445"/>
      <c r="P32" s="1445"/>
      <c r="Q32" s="1445"/>
      <c r="R32" s="1445"/>
    </row>
    <row r="33" spans="1:18">
      <c r="A33" s="1438" t="s">
        <v>401</v>
      </c>
      <c r="B33" s="1466">
        <v>2680</v>
      </c>
      <c r="C33" s="1467" cm="1">
        <f t="array" ref="C33">_xll.FDS("EXCL-ID","FG_PRICE(0)")</f>
        <v>2680</v>
      </c>
      <c r="E33" s="1449"/>
      <c r="F33" s="1445"/>
      <c r="H33" s="1445"/>
      <c r="I33" s="1445"/>
      <c r="J33" s="1445"/>
      <c r="K33" s="1445"/>
      <c r="L33" s="1445"/>
      <c r="M33" s="1445"/>
      <c r="N33" s="1445"/>
      <c r="O33" s="1445"/>
      <c r="P33" s="1445"/>
      <c r="Q33" s="1445"/>
      <c r="R33" s="1445"/>
    </row>
    <row r="34" spans="1:18">
      <c r="A34" s="1438" t="s">
        <v>402</v>
      </c>
      <c r="B34" s="1445">
        <f>B32/$B$33-1</f>
        <v>0.68272081228442305</v>
      </c>
      <c r="C34" s="1445">
        <f>C32/$B$33-1</f>
        <v>0.67910447761194037</v>
      </c>
      <c r="E34" s="1445"/>
      <c r="F34" s="1445"/>
      <c r="H34" s="1445"/>
      <c r="I34" s="1445"/>
      <c r="J34" s="1445"/>
      <c r="K34" s="1445"/>
      <c r="L34" s="1445"/>
      <c r="M34" s="1445"/>
      <c r="N34" s="1445"/>
      <c r="O34" s="1445"/>
      <c r="P34" s="1445"/>
      <c r="Q34" s="1445"/>
      <c r="R34" s="1445"/>
    </row>
    <row r="35" spans="1:18">
      <c r="A35" s="1458"/>
      <c r="B35" s="1455"/>
      <c r="C35" s="1455"/>
      <c r="E35" s="1455"/>
      <c r="F35" s="1455"/>
      <c r="H35" s="1445"/>
      <c r="I35" s="1445"/>
      <c r="J35" s="1445"/>
      <c r="K35" s="1445"/>
      <c r="L35" s="1445"/>
      <c r="M35" s="1445"/>
      <c r="N35" s="1445"/>
      <c r="O35" s="1445"/>
      <c r="P35" s="1445"/>
      <c r="Q35" s="1445"/>
      <c r="R35" s="1445"/>
    </row>
    <row r="36" spans="1:18">
      <c r="A36" s="1458" t="s">
        <v>721</v>
      </c>
      <c r="B36" s="1468">
        <f>'Balance Sheet and Cflow'!V314</f>
        <v>17105</v>
      </c>
      <c r="C36" s="1460">
        <f>B36</f>
        <v>17105</v>
      </c>
      <c r="E36" s="1445"/>
      <c r="F36" s="1445"/>
      <c r="H36" s="1445"/>
      <c r="I36" s="1445"/>
      <c r="J36" s="1445"/>
      <c r="K36" s="1445"/>
      <c r="L36" s="1445"/>
      <c r="M36" s="1445"/>
      <c r="N36" s="1445"/>
      <c r="O36" s="1445"/>
      <c r="P36" s="1445"/>
      <c r="Q36" s="1445"/>
      <c r="R36" s="1445"/>
    </row>
    <row r="37" spans="1:18">
      <c r="A37" s="1458"/>
      <c r="B37" s="1459"/>
      <c r="C37" s="1459"/>
      <c r="D37" s="1459"/>
      <c r="E37" s="1459"/>
      <c r="F37" s="1459"/>
      <c r="H37" s="1445"/>
      <c r="I37" s="1445"/>
      <c r="J37" s="1445"/>
      <c r="K37" s="1445"/>
      <c r="L37" s="1445"/>
      <c r="M37" s="1445"/>
      <c r="N37" s="1445"/>
      <c r="O37" s="1445"/>
      <c r="P37" s="1445"/>
      <c r="Q37" s="1445"/>
      <c r="R37" s="1445"/>
    </row>
    <row r="38" spans="1:18">
      <c r="A38" s="1469" t="s">
        <v>251</v>
      </c>
      <c r="B38" s="1448"/>
      <c r="C38" s="1448"/>
      <c r="D38" s="1448"/>
      <c r="E38" s="1448"/>
      <c r="F38" s="1448"/>
      <c r="H38" s="1448"/>
      <c r="I38" s="1448"/>
      <c r="J38" s="1447"/>
      <c r="K38" s="1447"/>
      <c r="L38" s="1447"/>
      <c r="M38" s="1447"/>
      <c r="N38" s="1447"/>
      <c r="O38" s="1447"/>
      <c r="P38" s="1447"/>
      <c r="Q38" s="1447"/>
      <c r="R38" s="1447"/>
    </row>
    <row r="39" spans="1:18">
      <c r="A39" s="1438" t="s">
        <v>405</v>
      </c>
      <c r="B39" s="1470">
        <v>7.0999999999999994E-2</v>
      </c>
      <c r="C39" s="1471"/>
      <c r="D39" s="1448"/>
      <c r="E39" s="1448"/>
      <c r="F39" s="1448"/>
      <c r="H39" s="1448"/>
      <c r="I39" s="1448"/>
      <c r="J39" s="1447"/>
      <c r="K39" s="1447"/>
      <c r="L39" s="1447"/>
      <c r="M39" s="1447"/>
      <c r="N39" s="1447"/>
      <c r="O39" s="1447"/>
      <c r="P39" s="1447"/>
      <c r="Q39" s="1447"/>
      <c r="R39" s="1447"/>
    </row>
    <row r="40" spans="1:18">
      <c r="A40" s="1438" t="s">
        <v>406</v>
      </c>
      <c r="B40" s="1470">
        <v>0.22</v>
      </c>
      <c r="C40" s="1471"/>
      <c r="D40" s="1448"/>
      <c r="E40" s="1448"/>
      <c r="F40" s="1448"/>
      <c r="H40" s="1448"/>
      <c r="I40" s="1448"/>
      <c r="J40" s="1447"/>
      <c r="K40" s="1447"/>
      <c r="L40" s="1447"/>
      <c r="M40" s="1447"/>
      <c r="N40" s="1447"/>
      <c r="O40" s="1447"/>
      <c r="P40" s="1447"/>
      <c r="Q40" s="1447"/>
      <c r="R40" s="1447"/>
    </row>
    <row r="41" spans="1:18">
      <c r="A41" s="1438" t="s">
        <v>407</v>
      </c>
      <c r="B41" s="1470">
        <v>0.05</v>
      </c>
      <c r="C41" s="1471"/>
      <c r="D41" s="1448"/>
      <c r="E41" s="1448"/>
      <c r="F41" s="1448"/>
      <c r="H41" s="1448"/>
      <c r="I41" s="1448"/>
      <c r="J41" s="1447"/>
      <c r="K41" s="1447"/>
      <c r="L41" s="1447"/>
      <c r="M41" s="1447"/>
      <c r="N41" s="1447"/>
      <c r="O41" s="1447"/>
      <c r="P41" s="1447"/>
      <c r="Q41" s="1447"/>
      <c r="R41" s="1447"/>
    </row>
    <row r="42" spans="1:18">
      <c r="A42" s="1438" t="s">
        <v>408</v>
      </c>
      <c r="B42" s="1470">
        <v>0.03</v>
      </c>
      <c r="C42" s="1471"/>
      <c r="D42" s="1448"/>
      <c r="E42" s="1448"/>
      <c r="F42" s="1448"/>
      <c r="H42" s="1448"/>
      <c r="I42" s="1448"/>
      <c r="J42" s="1447"/>
      <c r="K42" s="1447"/>
      <c r="L42" s="1447"/>
      <c r="M42" s="1447"/>
      <c r="N42" s="1447"/>
      <c r="O42" s="1447"/>
      <c r="P42" s="1447"/>
      <c r="Q42" s="1447"/>
      <c r="R42" s="1447"/>
    </row>
    <row r="43" spans="1:18">
      <c r="A43" s="1458" t="s">
        <v>409</v>
      </c>
      <c r="B43" s="388">
        <f>B39+B41</f>
        <v>0.121</v>
      </c>
      <c r="C43" s="1471"/>
      <c r="D43" s="1448"/>
      <c r="E43" s="1448"/>
      <c r="F43" s="1448"/>
      <c r="H43" s="1448"/>
      <c r="I43" s="1448"/>
      <c r="J43" s="1447"/>
      <c r="K43" s="1447"/>
      <c r="L43" s="1447"/>
      <c r="M43" s="1447"/>
      <c r="N43" s="1447"/>
      <c r="O43" s="1447"/>
      <c r="P43" s="1447"/>
      <c r="Q43" s="1447"/>
      <c r="R43" s="1447"/>
    </row>
    <row r="44" spans="1:18">
      <c r="A44" s="1458" t="s">
        <v>1500</v>
      </c>
      <c r="B44" s="388">
        <f>(B39+B42)*(1-B40)</f>
        <v>7.8780000000000003E-2</v>
      </c>
      <c r="C44" s="1471"/>
      <c r="D44" s="1448"/>
      <c r="E44" s="1448"/>
      <c r="F44" s="1448"/>
      <c r="H44" s="1448"/>
      <c r="I44" s="1448"/>
      <c r="J44" s="1447"/>
      <c r="K44" s="1447"/>
      <c r="L44" s="1447"/>
      <c r="M44" s="1447"/>
      <c r="N44" s="1447"/>
      <c r="O44" s="1447"/>
      <c r="P44" s="1447"/>
      <c r="Q44" s="1447"/>
      <c r="R44" s="1447"/>
    </row>
    <row r="45" spans="1:18">
      <c r="A45" s="1438" t="s">
        <v>695</v>
      </c>
      <c r="B45" s="1470">
        <v>0.35</v>
      </c>
      <c r="C45" s="1471"/>
      <c r="D45" s="662" t="s">
        <v>891</v>
      </c>
      <c r="E45" s="1472">
        <f>B45/(1-B45)</f>
        <v>0.53846153846153844</v>
      </c>
      <c r="H45" s="1448"/>
      <c r="I45" s="1448"/>
      <c r="J45" s="1447"/>
      <c r="K45" s="1447"/>
      <c r="L45" s="1447"/>
      <c r="M45" s="1447"/>
      <c r="N45" s="1447"/>
      <c r="O45" s="1447"/>
      <c r="P45" s="1447"/>
      <c r="Q45" s="1447"/>
      <c r="R45" s="1447"/>
    </row>
    <row r="46" spans="1:18">
      <c r="A46" s="1458" t="s">
        <v>251</v>
      </c>
      <c r="B46" s="1473">
        <f>(B45*B44)+((1-B45)*B43)</f>
        <v>0.106223</v>
      </c>
      <c r="C46" s="1471"/>
      <c r="D46" s="1474"/>
      <c r="E46" s="1474"/>
      <c r="F46" s="1474"/>
      <c r="H46" s="1474"/>
      <c r="I46" s="1448"/>
      <c r="J46" s="1447"/>
      <c r="K46" s="1447"/>
      <c r="L46" s="1447"/>
      <c r="M46" s="1447"/>
      <c r="N46" s="1447"/>
      <c r="O46" s="1447"/>
      <c r="P46" s="1447"/>
      <c r="Q46" s="1447"/>
      <c r="R46" s="1447"/>
    </row>
    <row r="47" spans="1:18">
      <c r="A47" s="1458" t="s">
        <v>411</v>
      </c>
      <c r="B47" s="1475">
        <v>0.02</v>
      </c>
      <c r="C47" s="1471"/>
      <c r="D47" s="1448"/>
      <c r="E47" s="1448"/>
      <c r="F47" s="1448"/>
      <c r="H47" s="1448"/>
      <c r="I47" s="1448"/>
      <c r="J47" s="1447"/>
      <c r="K47" s="1447"/>
      <c r="L47" s="1447"/>
      <c r="M47" s="1447"/>
      <c r="N47" s="1447"/>
      <c r="O47" s="1447"/>
      <c r="P47" s="1447"/>
      <c r="Q47" s="1447"/>
      <c r="R47" s="1447"/>
    </row>
    <row r="48" spans="1:18" s="937" customFormat="1">
      <c r="C48" s="1471"/>
    </row>
    <row r="49" spans="1:18" s="937" customFormat="1">
      <c r="A49" s="1476" t="s">
        <v>1264</v>
      </c>
      <c r="C49" s="1471"/>
    </row>
    <row r="50" spans="1:18" s="1380" customFormat="1" ht="13">
      <c r="A50" s="182" t="s">
        <v>1263</v>
      </c>
      <c r="B50" s="1033" t="s">
        <v>1007</v>
      </c>
      <c r="C50" s="1034"/>
    </row>
    <row r="51" spans="1:18" s="1380" customFormat="1" ht="13">
      <c r="A51" s="181" t="s">
        <v>401</v>
      </c>
      <c r="B51" s="910">
        <v>3900</v>
      </c>
      <c r="C51" s="1255" cm="1">
        <f t="array" ref="C51">_xll.FDS($B$50,"FG_PRICE(0)")</f>
        <v>3900</v>
      </c>
    </row>
    <row r="52" spans="1:18" s="1380" customFormat="1" ht="13">
      <c r="A52" s="181" t="s">
        <v>1115</v>
      </c>
      <c r="B52" s="910">
        <v>17105.223213000001</v>
      </c>
      <c r="C52" s="1255" cm="1">
        <f t="array" ref="C52">_xll.FDS($B$50,"FF_COM_SHS_OUT(CURR,0)")</f>
        <v>17105.223213000001</v>
      </c>
    </row>
    <row r="53" spans="1:18" s="1380" customFormat="1" ht="13">
      <c r="A53" s="1036" t="s">
        <v>1264</v>
      </c>
      <c r="B53" s="1256">
        <f>B51*B52/1000</f>
        <v>66710.370530700005</v>
      </c>
      <c r="C53" s="1477"/>
    </row>
    <row r="54" spans="1:18" s="1380" customFormat="1" ht="13">
      <c r="A54" s="181" t="s">
        <v>1268</v>
      </c>
      <c r="B54" s="1035">
        <f>B53/$B$56</f>
        <v>4.0916566812254667</v>
      </c>
    </row>
    <row r="55" spans="1:18" s="1380" customFormat="1" ht="13">
      <c r="B55" s="1396"/>
    </row>
    <row r="56" spans="1:18" s="1380" customFormat="1" ht="13">
      <c r="A56" s="1386" t="s">
        <v>503</v>
      </c>
      <c r="B56" s="910">
        <v>16304</v>
      </c>
      <c r="C56" s="1255" cm="1">
        <f t="array" ref="C56">_xll.FDS("","P_EXCH_RATE(USD,IDR,0)")</f>
        <v>16304</v>
      </c>
      <c r="E56" s="1396"/>
      <c r="F56" s="1396"/>
      <c r="G56" s="1396"/>
      <c r="H56" s="1396"/>
      <c r="I56" s="1396"/>
      <c r="J56" s="1396"/>
      <c r="K56" s="1396"/>
      <c r="L56" s="1396"/>
      <c r="M56" s="1396"/>
      <c r="N56" s="1396"/>
      <c r="O56" s="1396"/>
      <c r="P56" s="1396"/>
      <c r="Q56" s="1396"/>
    </row>
    <row r="61" spans="1:18">
      <c r="A61" s="1478" t="s">
        <v>558</v>
      </c>
      <c r="B61" s="1478"/>
      <c r="C61" s="1478"/>
      <c r="D61" s="1479">
        <v>2016</v>
      </c>
      <c r="E61" s="1479">
        <v>2017</v>
      </c>
      <c r="F61" s="1479">
        <v>2018</v>
      </c>
      <c r="G61" s="1479">
        <v>2019</v>
      </c>
      <c r="H61" s="1479">
        <v>2020</v>
      </c>
      <c r="I61" s="1479">
        <v>2021</v>
      </c>
      <c r="J61" s="1479">
        <v>2022</v>
      </c>
      <c r="K61" s="1479">
        <v>2023</v>
      </c>
      <c r="L61" s="1479">
        <v>2024</v>
      </c>
      <c r="M61" s="1479">
        <v>2025</v>
      </c>
      <c r="N61" s="1479">
        <v>2026</v>
      </c>
      <c r="O61" s="1479">
        <v>2027</v>
      </c>
      <c r="P61" s="1479">
        <v>2028</v>
      </c>
      <c r="Q61" s="1479">
        <v>2028</v>
      </c>
      <c r="R61" s="1479">
        <v>2028</v>
      </c>
    </row>
    <row r="62" spans="1:18">
      <c r="A62" s="662" t="s">
        <v>721</v>
      </c>
      <c r="D62" s="1449">
        <f>'Balance Sheet and Cflow'!L314</f>
        <v>10688</v>
      </c>
      <c r="E62" s="1449">
        <f>'Balance Sheet and Cflow'!M314</f>
        <v>10688</v>
      </c>
      <c r="F62" s="1449">
        <f>'Balance Sheet and Cflow'!N314</f>
        <v>10687.96</v>
      </c>
      <c r="G62" s="1449">
        <f>'Balance Sheet and Cflow'!O314</f>
        <v>10687.96</v>
      </c>
      <c r="H62" s="1449">
        <f>'Balance Sheet and Cflow'!P314</f>
        <v>10706.01</v>
      </c>
      <c r="I62" s="1449">
        <f>'Balance Sheet and Cflow'!Q314</f>
        <v>10724.67</v>
      </c>
      <c r="J62" s="1449">
        <f>'Balance Sheet and Cflow'!R314</f>
        <v>13128.430665</v>
      </c>
      <c r="K62" s="1449">
        <f>'Balance Sheet and Cflow'!S314</f>
        <v>13128.430665</v>
      </c>
      <c r="L62" s="1449">
        <f>'Balance Sheet and Cflow'!T314</f>
        <v>13071.942865000001</v>
      </c>
      <c r="M62" s="1449">
        <f>'Balance Sheet and Cflow'!V314</f>
        <v>17105</v>
      </c>
      <c r="N62" s="1449">
        <f>'Balance Sheet and Cflow'!W314</f>
        <v>17105</v>
      </c>
      <c r="O62" s="1449">
        <f>'Balance Sheet and Cflow'!X314</f>
        <v>17105</v>
      </c>
      <c r="P62" s="1449">
        <f>'Balance Sheet and Cflow'!Y314</f>
        <v>17105</v>
      </c>
      <c r="Q62" s="1449">
        <f>'Balance Sheet and Cflow'!Z314</f>
        <v>17105</v>
      </c>
      <c r="R62" s="1449">
        <f>'Balance Sheet and Cflow'!AA314</f>
        <v>17105</v>
      </c>
    </row>
    <row r="63" spans="1:18">
      <c r="A63" s="662" t="s">
        <v>392</v>
      </c>
      <c r="D63" s="1449">
        <f t="shared" ref="D63:R63" si="18">$B$33</f>
        <v>2680</v>
      </c>
      <c r="E63" s="1449">
        <f t="shared" si="18"/>
        <v>2680</v>
      </c>
      <c r="F63" s="1449">
        <f t="shared" si="18"/>
        <v>2680</v>
      </c>
      <c r="G63" s="1449">
        <f t="shared" si="18"/>
        <v>2680</v>
      </c>
      <c r="H63" s="1449">
        <f t="shared" si="18"/>
        <v>2680</v>
      </c>
      <c r="I63" s="1449">
        <f t="shared" si="18"/>
        <v>2680</v>
      </c>
      <c r="J63" s="1449">
        <f t="shared" si="18"/>
        <v>2680</v>
      </c>
      <c r="K63" s="1449">
        <f t="shared" si="18"/>
        <v>2680</v>
      </c>
      <c r="L63" s="1449">
        <f t="shared" si="18"/>
        <v>2680</v>
      </c>
      <c r="M63" s="1449">
        <f t="shared" si="18"/>
        <v>2680</v>
      </c>
      <c r="N63" s="1449">
        <f t="shared" si="18"/>
        <v>2680</v>
      </c>
      <c r="O63" s="1449">
        <f t="shared" si="18"/>
        <v>2680</v>
      </c>
      <c r="P63" s="1449">
        <f t="shared" si="18"/>
        <v>2680</v>
      </c>
      <c r="Q63" s="1449">
        <f t="shared" si="18"/>
        <v>2680</v>
      </c>
      <c r="R63" s="1449">
        <f t="shared" si="18"/>
        <v>2680</v>
      </c>
    </row>
    <row r="64" spans="1:18">
      <c r="D64" s="1480"/>
      <c r="E64" s="1480"/>
      <c r="F64" s="1480"/>
      <c r="G64" s="1480"/>
      <c r="H64" s="1480"/>
      <c r="I64" s="1480"/>
      <c r="J64" s="1480"/>
      <c r="K64" s="1480"/>
    </row>
    <row r="65" spans="1:18">
      <c r="A65" s="662" t="s">
        <v>706</v>
      </c>
      <c r="D65" s="1449">
        <f>D62*D63/1000</f>
        <v>28643.84</v>
      </c>
      <c r="E65" s="1449">
        <f t="shared" ref="E65:J65" si="19">E62*E63/1000</f>
        <v>28643.84</v>
      </c>
      <c r="F65" s="1449">
        <f t="shared" si="19"/>
        <v>28643.732799999998</v>
      </c>
      <c r="G65" s="1449">
        <f t="shared" si="19"/>
        <v>28643.732799999998</v>
      </c>
      <c r="H65" s="1449">
        <f>H62*H63/1000</f>
        <v>28692.106800000001</v>
      </c>
      <c r="I65" s="1449">
        <f t="shared" si="19"/>
        <v>28742.115600000001</v>
      </c>
      <c r="J65" s="1449">
        <f t="shared" si="19"/>
        <v>35184.194182200001</v>
      </c>
      <c r="K65" s="1449">
        <f t="shared" ref="K65:P65" si="20">K62*K63/1000</f>
        <v>35184.194182200001</v>
      </c>
      <c r="L65" s="1449">
        <f t="shared" si="20"/>
        <v>35032.806878200005</v>
      </c>
      <c r="M65" s="1449">
        <f t="shared" si="20"/>
        <v>45841.4</v>
      </c>
      <c r="N65" s="1449">
        <f t="shared" si="20"/>
        <v>45841.4</v>
      </c>
      <c r="O65" s="1449">
        <f t="shared" si="20"/>
        <v>45841.4</v>
      </c>
      <c r="P65" s="1449">
        <f t="shared" si="20"/>
        <v>45841.4</v>
      </c>
      <c r="Q65" s="1449">
        <f t="shared" ref="Q65:R65" si="21">Q62*Q63/1000</f>
        <v>45841.4</v>
      </c>
      <c r="R65" s="1449">
        <f t="shared" si="21"/>
        <v>45841.4</v>
      </c>
    </row>
    <row r="66" spans="1:18">
      <c r="A66" s="662" t="s">
        <v>412</v>
      </c>
      <c r="D66" s="1481">
        <v>0</v>
      </c>
      <c r="E66" s="1481">
        <v>0</v>
      </c>
      <c r="F66" s="1481">
        <v>0</v>
      </c>
      <c r="G66" s="1481">
        <v>0</v>
      </c>
      <c r="H66" s="1481">
        <v>0</v>
      </c>
      <c r="I66" s="1481">
        <v>0</v>
      </c>
      <c r="J66" s="1481">
        <v>0</v>
      </c>
      <c r="K66" s="1481">
        <v>0</v>
      </c>
      <c r="L66" s="1481">
        <v>0</v>
      </c>
      <c r="M66" s="1449">
        <f>L66+'Balance Sheet and Cflow'!V65</f>
        <v>0</v>
      </c>
      <c r="N66" s="1449">
        <f>M66+'Balance Sheet and Cflow'!W65</f>
        <v>0</v>
      </c>
      <c r="O66" s="1449">
        <f>N66+'Balance Sheet and Cflow'!X65</f>
        <v>-1101.2652651680201</v>
      </c>
      <c r="P66" s="1449">
        <f>O66+'Balance Sheet and Cflow'!Y65</f>
        <v>-3281.2672989572602</v>
      </c>
      <c r="Q66" s="1449">
        <f>P66+'Balance Sheet and Cflow'!Z65</f>
        <v>-6066.3001126373192</v>
      </c>
      <c r="R66" s="1449">
        <f>Q66+'Balance Sheet and Cflow'!AA65</f>
        <v>-9416.9279113316679</v>
      </c>
    </row>
    <row r="67" spans="1:18">
      <c r="A67" s="662" t="s">
        <v>1034</v>
      </c>
      <c r="D67" s="1482">
        <f>'Balance Sheet and Cflow'!L49</f>
        <v>13271</v>
      </c>
      <c r="E67" s="1482">
        <f>'Balance Sheet and Cflow'!M49</f>
        <v>12296</v>
      </c>
      <c r="F67" s="1482">
        <f>'Balance Sheet and Cflow'!N49</f>
        <v>11516.451999999999</v>
      </c>
      <c r="G67" s="1482">
        <f>'Balance Sheet and Cflow'!O49</f>
        <v>25325.744000000002</v>
      </c>
      <c r="H67" s="1482">
        <f>'Balance Sheet and Cflow'!P49</f>
        <v>30662.310000000005</v>
      </c>
      <c r="I67" s="1482">
        <f>'Balance Sheet and Cflow'!Q49</f>
        <v>32984.250999999997</v>
      </c>
      <c r="J67" s="1482">
        <f>'Balance Sheet and Cflow'!R49</f>
        <v>38775.660000000003</v>
      </c>
      <c r="K67" s="1482">
        <f>'Balance Sheet and Cflow'!S49</f>
        <v>44952.006999999998</v>
      </c>
      <c r="L67" s="1482">
        <f>'Balance Sheet and Cflow'!T49</f>
        <v>44701.377</v>
      </c>
      <c r="M67" s="1482">
        <f>'Balance Sheet and Cflow'!V49</f>
        <v>71285.34308628444</v>
      </c>
      <c r="N67" s="1482">
        <f>'Balance Sheet and Cflow'!W49</f>
        <v>68233.773515968904</v>
      </c>
      <c r="O67" s="1482">
        <f>'Balance Sheet and Cflow'!X49</f>
        <v>65503.75152843594</v>
      </c>
      <c r="P67" s="1482">
        <f>'Balance Sheet and Cflow'!Y49</f>
        <v>62610.894403656333</v>
      </c>
      <c r="Q67" s="1482">
        <f>'Balance Sheet and Cflow'!Z49</f>
        <v>59849.334246644234</v>
      </c>
      <c r="R67" s="1482">
        <f>'Balance Sheet and Cflow'!AA49</f>
        <v>57400.204263660402</v>
      </c>
    </row>
    <row r="68" spans="1:18">
      <c r="A68" s="1483" t="s">
        <v>252</v>
      </c>
      <c r="B68" s="1483"/>
      <c r="C68" s="1483"/>
      <c r="D68" s="1484">
        <f>D65+D66+D67</f>
        <v>41914.839999999997</v>
      </c>
      <c r="E68" s="1484">
        <f t="shared" ref="E68:J68" si="22">E65+E66+E67</f>
        <v>40939.839999999997</v>
      </c>
      <c r="F68" s="1484">
        <f t="shared" si="22"/>
        <v>40160.184799999995</v>
      </c>
      <c r="G68" s="1484">
        <f t="shared" si="22"/>
        <v>53969.476800000004</v>
      </c>
      <c r="H68" s="1484">
        <f>H65+H66+H67</f>
        <v>59354.416800000006</v>
      </c>
      <c r="I68" s="1484">
        <f t="shared" si="22"/>
        <v>61726.366599999994</v>
      </c>
      <c r="J68" s="1484">
        <f t="shared" si="22"/>
        <v>73959.854182200012</v>
      </c>
      <c r="K68" s="1484">
        <f t="shared" ref="K68:P68" si="23">K65+K66+K67</f>
        <v>80136.201182199991</v>
      </c>
      <c r="L68" s="1484">
        <f t="shared" si="23"/>
        <v>79734.183878200012</v>
      </c>
      <c r="M68" s="1484">
        <f t="shared" si="23"/>
        <v>117126.74308628443</v>
      </c>
      <c r="N68" s="1484">
        <f t="shared" si="23"/>
        <v>114075.1735159689</v>
      </c>
      <c r="O68" s="1484">
        <f t="shared" si="23"/>
        <v>110243.88626326792</v>
      </c>
      <c r="P68" s="1484">
        <f t="shared" si="23"/>
        <v>105171.02710469908</v>
      </c>
      <c r="Q68" s="1484">
        <f t="shared" ref="Q68:R68" si="24">Q65+Q66+Q67</f>
        <v>99624.434134006908</v>
      </c>
      <c r="R68" s="1484">
        <f t="shared" si="24"/>
        <v>93824.676352328737</v>
      </c>
    </row>
    <row r="69" spans="1:18">
      <c r="D69" s="1480"/>
      <c r="E69" s="1480"/>
      <c r="F69" s="1480"/>
      <c r="G69" s="1480"/>
      <c r="H69" s="1480"/>
      <c r="I69" s="1480"/>
      <c r="J69" s="1480"/>
      <c r="K69" s="1480"/>
    </row>
    <row r="70" spans="1:18">
      <c r="A70" s="1438" t="s">
        <v>403</v>
      </c>
      <c r="B70" s="1438"/>
      <c r="C70" s="1438"/>
      <c r="D70" s="1455" t="e">
        <f t="shared" ref="D70:R70" si="25">D68/D9</f>
        <v>#DIV/0!</v>
      </c>
      <c r="E70" s="1455" t="e">
        <f t="shared" si="25"/>
        <v>#DIV/0!</v>
      </c>
      <c r="F70" s="1455" t="e">
        <f t="shared" si="25"/>
        <v>#DIV/0!</v>
      </c>
      <c r="G70" s="1455" t="e">
        <f t="shared" si="25"/>
        <v>#DIV/0!</v>
      </c>
      <c r="H70" s="1455" t="e">
        <f t="shared" si="25"/>
        <v>#DIV/0!</v>
      </c>
      <c r="I70" s="1455" t="e">
        <f t="shared" si="25"/>
        <v>#DIV/0!</v>
      </c>
      <c r="J70" s="1455" t="e">
        <f t="shared" si="25"/>
        <v>#DIV/0!</v>
      </c>
      <c r="K70" s="1455" t="e">
        <f t="shared" si="25"/>
        <v>#DIV/0!</v>
      </c>
      <c r="L70" s="1455">
        <f t="shared" si="25"/>
        <v>6.6036087186747769</v>
      </c>
      <c r="M70" s="1455">
        <f t="shared" si="25"/>
        <v>7.2926202170518932</v>
      </c>
      <c r="N70" s="1455">
        <f t="shared" si="25"/>
        <v>6.8911777867603066</v>
      </c>
      <c r="O70" s="1455">
        <f t="shared" si="25"/>
        <v>6.8396161630309562</v>
      </c>
      <c r="P70" s="1455">
        <f t="shared" si="25"/>
        <v>6.6634670186062905</v>
      </c>
      <c r="Q70" s="1455">
        <f t="shared" si="25"/>
        <v>6.3642953439959626</v>
      </c>
      <c r="R70" s="1455">
        <f t="shared" si="25"/>
        <v>5.9799692976966448</v>
      </c>
    </row>
    <row r="71" spans="1:18">
      <c r="A71" s="1438" t="s">
        <v>708</v>
      </c>
      <c r="B71" s="1438"/>
      <c r="C71" s="1438"/>
      <c r="D71" s="1455" t="e">
        <f t="shared" ref="D71:R71" si="26">D68/(D9+D11)</f>
        <v>#DIV/0!</v>
      </c>
      <c r="E71" s="1455" t="e">
        <f t="shared" si="26"/>
        <v>#DIV/0!</v>
      </c>
      <c r="F71" s="1455" t="e">
        <f t="shared" si="26"/>
        <v>#DIV/0!</v>
      </c>
      <c r="G71" s="1455" t="e">
        <f t="shared" si="26"/>
        <v>#DIV/0!</v>
      </c>
      <c r="H71" s="1455" t="e">
        <f t="shared" si="26"/>
        <v>#DIV/0!</v>
      </c>
      <c r="I71" s="1455" t="e">
        <f t="shared" si="26"/>
        <v>#DIV/0!</v>
      </c>
      <c r="J71" s="1455" t="e">
        <f t="shared" si="26"/>
        <v>#DIV/0!</v>
      </c>
      <c r="K71" s="1455" t="e">
        <f t="shared" si="26"/>
        <v>#DIV/0!</v>
      </c>
      <c r="L71" s="1455">
        <f t="shared" si="26"/>
        <v>16.99243210005254</v>
      </c>
      <c r="M71" s="1455">
        <f t="shared" si="26"/>
        <v>-27.071469840032513</v>
      </c>
      <c r="N71" s="1455">
        <f t="shared" si="26"/>
        <v>18.543189566819997</v>
      </c>
      <c r="O71" s="1455">
        <f t="shared" si="26"/>
        <v>19.151402259268952</v>
      </c>
      <c r="P71" s="1455">
        <f t="shared" si="26"/>
        <v>21.160687103273538</v>
      </c>
      <c r="Q71" s="1455">
        <f t="shared" si="26"/>
        <v>22.795317348513187</v>
      </c>
      <c r="R71" s="1455">
        <f t="shared" si="26"/>
        <v>25.802288359355735</v>
      </c>
    </row>
    <row r="72" spans="1:18">
      <c r="A72" s="1438" t="s">
        <v>404</v>
      </c>
      <c r="B72" s="1438"/>
      <c r="C72" s="1438"/>
      <c r="D72" s="1485">
        <f t="shared" ref="D72:R72" si="27">D13/D68</f>
        <v>0</v>
      </c>
      <c r="E72" s="1485">
        <f t="shared" si="27"/>
        <v>0</v>
      </c>
      <c r="F72" s="1485">
        <f t="shared" si="27"/>
        <v>0</v>
      </c>
      <c r="G72" s="1485">
        <f t="shared" si="27"/>
        <v>0</v>
      </c>
      <c r="H72" s="1485">
        <f t="shared" si="27"/>
        <v>0</v>
      </c>
      <c r="I72" s="1485">
        <f t="shared" si="27"/>
        <v>0</v>
      </c>
      <c r="J72" s="1485">
        <f t="shared" si="27"/>
        <v>0</v>
      </c>
      <c r="K72" s="1485">
        <f t="shared" si="27"/>
        <v>0</v>
      </c>
      <c r="L72" s="1485">
        <f t="shared" si="27"/>
        <v>9.3629411337602192E-2</v>
      </c>
      <c r="M72" s="1485">
        <f t="shared" si="27"/>
        <v>-1.5520020221013914E-2</v>
      </c>
      <c r="N72" s="1485">
        <f t="shared" si="27"/>
        <v>9.462714645838928E-2</v>
      </c>
      <c r="O72" s="1485">
        <f t="shared" si="27"/>
        <v>0.11185572630479967</v>
      </c>
      <c r="P72" s="1485">
        <f t="shared" si="27"/>
        <v>0.12984596453389644</v>
      </c>
      <c r="Q72" s="1485">
        <f t="shared" si="27"/>
        <v>0.14252996858430381</v>
      </c>
      <c r="R72" s="1485">
        <f t="shared" si="27"/>
        <v>0.15484667941568181</v>
      </c>
    </row>
    <row r="73" spans="1:18">
      <c r="A73" s="1438" t="s">
        <v>707</v>
      </c>
      <c r="B73" s="1438"/>
      <c r="C73" s="1438"/>
      <c r="D73" s="1459">
        <f>$B33/'Income Statement'!AV282</f>
        <v>68.895347593582883</v>
      </c>
      <c r="E73" s="1459">
        <f>$B33/'Income Statement'!BA282</f>
        <v>76.571428571428569</v>
      </c>
      <c r="F73" s="1459">
        <f>$B33/'Income Statement'!BF282</f>
        <v>-8.7012987012987004</v>
      </c>
      <c r="G73" s="1459">
        <f>$B33/'Income Statement'!BK282</f>
        <v>40</v>
      </c>
      <c r="H73" s="1459">
        <f>$B33/'Income Statement'!BP282</f>
        <v>76.571428571428569</v>
      </c>
      <c r="I73" s="1459">
        <f>$B33/'Income Statement'!BU282</f>
        <v>22.274495528530416</v>
      </c>
      <c r="J73" s="1459">
        <f>$B33/'Income Statement'!BZ282</f>
        <v>31.381172633135563</v>
      </c>
      <c r="K73" s="1459">
        <f>$B33/'Income Statement'!CE282</f>
        <v>27.27460113465084</v>
      </c>
      <c r="L73" s="1459">
        <f>$B33/'Income Statement'!CJ282</f>
        <v>18.960932609487504</v>
      </c>
      <c r="M73" s="1459">
        <f>$B33/'Income Statement'!CO282</f>
        <v>-20.068615352303027</v>
      </c>
      <c r="N73" s="1459">
        <f>$B33/'Income Statement'!CP282</f>
        <v>62.25738418559888</v>
      </c>
      <c r="O73" s="1459">
        <f>$B33/'Income Statement'!CQ282</f>
        <v>20.813059963807166</v>
      </c>
      <c r="P73" s="1459">
        <f>$B33/'Income Statement'!CR282</f>
        <v>10.514072759904563</v>
      </c>
      <c r="Q73" s="1459">
        <f>$B33/'Income Statement'!CS282</f>
        <v>8.2299568922181834</v>
      </c>
      <c r="R73" s="1459">
        <f>$B33/'Income Statement'!CT282</f>
        <v>6.8407180316869551</v>
      </c>
    </row>
    <row r="74" spans="1:18">
      <c r="D74" s="1480"/>
      <c r="E74" s="1480"/>
      <c r="F74" s="1480"/>
      <c r="G74" s="1480"/>
      <c r="H74" s="1480"/>
      <c r="I74" s="1480"/>
      <c r="J74" s="1480"/>
      <c r="K74" s="1480"/>
    </row>
    <row r="75" spans="1:18">
      <c r="D75" s="1480"/>
      <c r="E75" s="1480"/>
      <c r="F75" s="1480"/>
      <c r="G75" s="1480"/>
      <c r="H75" s="1480"/>
      <c r="I75" s="1480"/>
      <c r="J75" s="1480"/>
      <c r="K75" s="1480"/>
    </row>
    <row r="76" spans="1:18">
      <c r="D76" s="1480"/>
      <c r="E76" s="1480"/>
      <c r="F76" s="1480"/>
      <c r="G76" s="1480"/>
      <c r="H76" s="1480"/>
      <c r="I76" s="1480"/>
      <c r="J76" s="1480"/>
      <c r="K76" s="1480"/>
    </row>
    <row r="77" spans="1:18">
      <c r="D77" s="1480"/>
      <c r="E77" s="1480"/>
      <c r="F77" s="1480"/>
      <c r="G77" s="1480"/>
      <c r="H77" s="1480"/>
      <c r="I77" s="1480"/>
      <c r="J77" s="1480"/>
      <c r="K77" s="1480"/>
    </row>
    <row r="78" spans="1:18">
      <c r="D78" s="1480"/>
      <c r="E78" s="1480"/>
      <c r="F78" s="1480"/>
      <c r="G78" s="1480"/>
      <c r="H78" s="1480"/>
      <c r="I78" s="1480"/>
      <c r="J78" s="1480"/>
      <c r="K78" s="1480"/>
    </row>
    <row r="79" spans="1:18">
      <c r="A79" s="1478" t="s">
        <v>393</v>
      </c>
      <c r="B79" s="1478"/>
      <c r="C79" s="1478"/>
      <c r="D79" s="1479">
        <v>2016</v>
      </c>
      <c r="E79" s="1486">
        <f t="shared" ref="E79:P79" si="28">D79+1</f>
        <v>2017</v>
      </c>
      <c r="F79" s="1486">
        <f t="shared" si="28"/>
        <v>2018</v>
      </c>
      <c r="G79" s="1486">
        <f t="shared" si="28"/>
        <v>2019</v>
      </c>
      <c r="H79" s="1486">
        <f t="shared" si="28"/>
        <v>2020</v>
      </c>
      <c r="I79" s="1486">
        <f t="shared" si="28"/>
        <v>2021</v>
      </c>
      <c r="J79" s="1486">
        <f t="shared" si="28"/>
        <v>2022</v>
      </c>
      <c r="K79" s="1486">
        <f t="shared" si="28"/>
        <v>2023</v>
      </c>
      <c r="L79" s="1486">
        <f t="shared" si="28"/>
        <v>2024</v>
      </c>
      <c r="M79" s="1486">
        <f t="shared" si="28"/>
        <v>2025</v>
      </c>
      <c r="N79" s="1486">
        <f t="shared" si="28"/>
        <v>2026</v>
      </c>
      <c r="O79" s="1486">
        <f t="shared" si="28"/>
        <v>2027</v>
      </c>
      <c r="P79" s="1486">
        <f t="shared" si="28"/>
        <v>2028</v>
      </c>
      <c r="Q79" s="1486">
        <f t="shared" ref="Q79" si="29">P79+1</f>
        <v>2029</v>
      </c>
      <c r="R79" s="1486">
        <f t="shared" ref="R79" si="30">Q79+1</f>
        <v>2030</v>
      </c>
    </row>
    <row r="80" spans="1:18">
      <c r="A80" s="1438" t="s">
        <v>77</v>
      </c>
      <c r="B80" s="1438"/>
      <c r="C80" s="1438"/>
      <c r="D80" s="1449">
        <f>'Income Statement'!AV464</f>
        <v>11</v>
      </c>
      <c r="E80" s="1449">
        <f>'Income Statement'!BA464</f>
        <v>1370</v>
      </c>
      <c r="F80" s="1449">
        <f>'Income Statement'!BF464</f>
        <v>-3108</v>
      </c>
      <c r="G80" s="1449">
        <f>'Income Statement'!BK464</f>
        <v>2603</v>
      </c>
      <c r="H80" s="1449">
        <f>'Income Statement'!BP464</f>
        <v>605.3119999999999</v>
      </c>
      <c r="I80" s="1449">
        <f>'Income Statement'!BU464</f>
        <v>3330.7729999999992</v>
      </c>
      <c r="J80" s="1449">
        <f>'Income Statement'!BZ464</f>
        <v>3670.7039999999997</v>
      </c>
      <c r="K80" s="1449">
        <f>'Income Statement'!CE464</f>
        <v>4537.2420000000002</v>
      </c>
      <c r="L80" s="1449">
        <f>'Income Statement'!CJ464</f>
        <v>-13561.718000000001</v>
      </c>
      <c r="M80" s="1449">
        <f>'Income Statement'!CO464</f>
        <v>-19446.602979278239</v>
      </c>
      <c r="N80" s="1449">
        <f>'Income Statement'!CP464</f>
        <v>-21245.716906476824</v>
      </c>
      <c r="O80" s="1449">
        <f>'Income Statement'!CQ464</f>
        <v>-21286.024440034791</v>
      </c>
      <c r="P80" s="1449">
        <f>'Income Statement'!CR464</f>
        <v>-21799.595395214303</v>
      </c>
      <c r="Q80" s="1449">
        <f>'Income Statement'!CS464</f>
        <v>-22688.842783325228</v>
      </c>
      <c r="R80" s="1449">
        <f>'Income Statement'!CT464</f>
        <v>-23609.367412861164</v>
      </c>
    </row>
    <row r="81" spans="1:18">
      <c r="A81" s="1438"/>
      <c r="B81" s="1438"/>
      <c r="C81" s="1438"/>
      <c r="D81" s="1487"/>
      <c r="E81" s="1487"/>
      <c r="F81" s="1487"/>
      <c r="G81" s="1487"/>
      <c r="H81" s="1487"/>
      <c r="I81" s="1487"/>
      <c r="J81" s="1487"/>
      <c r="K81" s="1487"/>
      <c r="L81" s="1487"/>
      <c r="M81" s="1487"/>
      <c r="N81" s="1487"/>
      <c r="O81" s="1487"/>
      <c r="P81" s="1487"/>
      <c r="Q81" s="1487"/>
      <c r="R81" s="1487"/>
    </row>
    <row r="82" spans="1:18">
      <c r="A82" s="1438" t="s">
        <v>98</v>
      </c>
      <c r="B82" s="1438"/>
      <c r="C82" s="1438"/>
      <c r="D82" s="1488">
        <v>0.25</v>
      </c>
      <c r="E82" s="1489">
        <f t="shared" ref="E82:J82" si="31">D82</f>
        <v>0.25</v>
      </c>
      <c r="F82" s="1489">
        <f t="shared" si="31"/>
        <v>0.25</v>
      </c>
      <c r="G82" s="1489">
        <f t="shared" si="31"/>
        <v>0.25</v>
      </c>
      <c r="H82" s="1489">
        <f t="shared" si="31"/>
        <v>0.25</v>
      </c>
      <c r="I82" s="1489">
        <f t="shared" si="31"/>
        <v>0.25</v>
      </c>
      <c r="J82" s="1489">
        <f t="shared" si="31"/>
        <v>0.25</v>
      </c>
      <c r="K82" s="1489">
        <f t="shared" ref="K82:P82" si="32">J82</f>
        <v>0.25</v>
      </c>
      <c r="L82" s="1489">
        <f t="shared" si="32"/>
        <v>0.25</v>
      </c>
      <c r="M82" s="1489">
        <f t="shared" si="32"/>
        <v>0.25</v>
      </c>
      <c r="N82" s="1489">
        <f t="shared" si="32"/>
        <v>0.25</v>
      </c>
      <c r="O82" s="1489">
        <f t="shared" si="32"/>
        <v>0.25</v>
      </c>
      <c r="P82" s="1489">
        <f t="shared" si="32"/>
        <v>0.25</v>
      </c>
      <c r="Q82" s="1489">
        <f t="shared" ref="Q82" si="33">P82</f>
        <v>0.25</v>
      </c>
      <c r="R82" s="1489">
        <f t="shared" ref="R82" si="34">Q82</f>
        <v>0.25</v>
      </c>
    </row>
    <row r="83" spans="1:18">
      <c r="A83" s="1438" t="s">
        <v>394</v>
      </c>
      <c r="B83" s="1438"/>
      <c r="C83" s="1438"/>
      <c r="D83" s="1449">
        <f t="shared" ref="D83:I83" si="35">-D82*D80</f>
        <v>-2.75</v>
      </c>
      <c r="E83" s="1449">
        <f t="shared" si="35"/>
        <v>-342.5</v>
      </c>
      <c r="F83" s="1449">
        <f t="shared" si="35"/>
        <v>777</v>
      </c>
      <c r="G83" s="1449">
        <f t="shared" si="35"/>
        <v>-650.75</v>
      </c>
      <c r="H83" s="1449">
        <f>-H82*H80</f>
        <v>-151.32799999999997</v>
      </c>
      <c r="I83" s="1449">
        <f t="shared" si="35"/>
        <v>-832.69324999999981</v>
      </c>
      <c r="J83" s="1449">
        <f t="shared" ref="J83:P83" si="36">-J82*J80</f>
        <v>-917.67599999999993</v>
      </c>
      <c r="K83" s="1449">
        <f t="shared" si="36"/>
        <v>-1134.3105</v>
      </c>
      <c r="L83" s="1449">
        <f t="shared" si="36"/>
        <v>3390.4295000000002</v>
      </c>
      <c r="M83" s="1449">
        <f t="shared" si="36"/>
        <v>4861.6507448195598</v>
      </c>
      <c r="N83" s="1449">
        <f t="shared" si="36"/>
        <v>5311.429226619206</v>
      </c>
      <c r="O83" s="1449">
        <f t="shared" si="36"/>
        <v>5321.5061100086978</v>
      </c>
      <c r="P83" s="1449">
        <f t="shared" si="36"/>
        <v>5449.8988488035757</v>
      </c>
      <c r="Q83" s="1449">
        <f t="shared" ref="Q83:R83" si="37">-Q82*Q80</f>
        <v>5672.210695831307</v>
      </c>
      <c r="R83" s="1449">
        <f t="shared" si="37"/>
        <v>5902.3418532152909</v>
      </c>
    </row>
    <row r="86" spans="1:18">
      <c r="A86" s="1490" t="s">
        <v>726</v>
      </c>
      <c r="B86" s="1490"/>
      <c r="C86" s="1490"/>
      <c r="D86" s="1491" t="s">
        <v>636</v>
      </c>
      <c r="E86" s="1491"/>
      <c r="F86" s="1491"/>
      <c r="G86" s="1491"/>
      <c r="H86" s="1491"/>
      <c r="I86" s="1491"/>
      <c r="J86" s="1492">
        <f>J$1</f>
        <v>2022</v>
      </c>
      <c r="K86" s="1492">
        <f t="shared" ref="K86:R86" si="38">K$1</f>
        <v>2023</v>
      </c>
      <c r="L86" s="1492">
        <f t="shared" si="38"/>
        <v>2024</v>
      </c>
      <c r="M86" s="1492">
        <f t="shared" si="38"/>
        <v>2025</v>
      </c>
      <c r="N86" s="1492">
        <f t="shared" si="38"/>
        <v>2026</v>
      </c>
      <c r="O86" s="1492">
        <f t="shared" si="38"/>
        <v>2027</v>
      </c>
      <c r="P86" s="1492">
        <f t="shared" si="38"/>
        <v>2028</v>
      </c>
      <c r="Q86" s="1492">
        <f t="shared" si="38"/>
        <v>2029</v>
      </c>
      <c r="R86" s="1492">
        <f t="shared" si="38"/>
        <v>2030</v>
      </c>
    </row>
    <row r="87" spans="1:18">
      <c r="A87" s="1493"/>
      <c r="B87" s="1493"/>
      <c r="C87" s="1493"/>
      <c r="D87" s="1480"/>
      <c r="E87" s="1480"/>
      <c r="F87" s="1480"/>
      <c r="G87" s="1480"/>
      <c r="H87" s="1480"/>
      <c r="I87" s="1480"/>
      <c r="J87" s="1494"/>
      <c r="K87" s="1494"/>
      <c r="L87" s="1494"/>
      <c r="M87" s="1494"/>
      <c r="N87" s="1494"/>
      <c r="O87" s="1494"/>
      <c r="P87" s="1494"/>
      <c r="Q87" s="1494"/>
      <c r="R87" s="1494"/>
    </row>
    <row r="88" spans="1:18">
      <c r="A88" s="1495" t="s">
        <v>579</v>
      </c>
      <c r="B88" s="1495"/>
      <c r="C88" s="1495"/>
      <c r="D88" s="1480"/>
      <c r="E88" s="1480"/>
      <c r="F88" s="1480"/>
      <c r="G88" s="1480"/>
      <c r="H88" s="1480"/>
      <c r="I88" s="1480"/>
      <c r="J88" s="1494"/>
      <c r="K88" s="1494"/>
      <c r="L88" s="1494"/>
      <c r="M88" s="1494"/>
      <c r="N88" s="1494"/>
      <c r="O88" s="1494"/>
      <c r="P88" s="1494"/>
      <c r="Q88" s="1494"/>
      <c r="R88" s="1494"/>
    </row>
    <row r="89" spans="1:18">
      <c r="A89" s="1493" t="s">
        <v>2</v>
      </c>
      <c r="B89" s="1493"/>
      <c r="C89" s="1493"/>
      <c r="D89" s="1480"/>
      <c r="E89" s="1480"/>
      <c r="F89" s="1480"/>
      <c r="G89" s="1480"/>
      <c r="H89" s="1480"/>
      <c r="I89" s="1480"/>
      <c r="J89" s="1494"/>
      <c r="K89" s="1494"/>
      <c r="L89" s="1494"/>
      <c r="M89" s="1494"/>
      <c r="N89" s="1494"/>
      <c r="O89" s="1494"/>
      <c r="P89" s="1494"/>
      <c r="Q89" s="1494"/>
      <c r="R89" s="1494"/>
    </row>
    <row r="90" spans="1:18">
      <c r="A90" s="662" t="s">
        <v>724</v>
      </c>
      <c r="J90" s="1496">
        <f t="shared" ref="J90:R90" si="39">J9</f>
        <v>0</v>
      </c>
      <c r="K90" s="1496">
        <f t="shared" si="39"/>
        <v>0</v>
      </c>
      <c r="L90" s="1496">
        <f t="shared" si="39"/>
        <v>12074.334999999999</v>
      </c>
      <c r="M90" s="1496">
        <f t="shared" si="39"/>
        <v>16060.99585611411</v>
      </c>
      <c r="N90" s="1496">
        <f t="shared" si="39"/>
        <v>16553.799226474192</v>
      </c>
      <c r="O90" s="1496">
        <f t="shared" si="39"/>
        <v>16118.431741703713</v>
      </c>
      <c r="P90" s="1496">
        <f t="shared" si="39"/>
        <v>15783.229182500902</v>
      </c>
      <c r="Q90" s="1496">
        <f t="shared" si="39"/>
        <v>15653.647222389198</v>
      </c>
      <c r="R90" s="1496">
        <f t="shared" si="39"/>
        <v>15689.825763565037</v>
      </c>
    </row>
    <row r="91" spans="1:18" s="1497" customFormat="1">
      <c r="A91" s="662" t="s">
        <v>1</v>
      </c>
      <c r="B91" s="662"/>
      <c r="C91" s="662"/>
      <c r="D91" s="662"/>
      <c r="E91" s="662"/>
      <c r="F91" s="662"/>
      <c r="G91" s="662"/>
      <c r="H91" s="662"/>
      <c r="I91" s="662"/>
      <c r="J91" s="1496">
        <f>'Income Statement'!BZ16</f>
        <v>14235</v>
      </c>
      <c r="K91" s="1496">
        <f>'Income Statement'!CE16</f>
        <v>15885</v>
      </c>
      <c r="L91" s="1496">
        <f>'Income Statement'!CJ16</f>
        <v>17776.281092500001</v>
      </c>
      <c r="M91" s="1496">
        <f>'Income Statement'!CO16</f>
        <v>18272.344623233614</v>
      </c>
      <c r="N91" s="1496">
        <f>'Income Statement'!CP16</f>
        <v>20902.05543074253</v>
      </c>
      <c r="O91" s="1496">
        <f>'Income Statement'!CQ16</f>
        <v>22498.04688464342</v>
      </c>
      <c r="P91" s="1496">
        <f>'Income Statement'!CR16</f>
        <v>24310.396420931276</v>
      </c>
      <c r="Q91" s="1496">
        <f>'Income Statement'!CS16</f>
        <v>25545.183349370101</v>
      </c>
      <c r="R91" s="1496">
        <f>'Income Statement'!CT16</f>
        <v>23594.3501872341</v>
      </c>
    </row>
    <row r="92" spans="1:18" s="1497" customFormat="1">
      <c r="J92" s="1498">
        <f>J90/J91-1</f>
        <v>-1</v>
      </c>
      <c r="K92" s="1498">
        <f t="shared" ref="K92:P92" si="40">K90/K91-1</f>
        <v>-1</v>
      </c>
      <c r="L92" s="1498">
        <f t="shared" si="40"/>
        <v>-0.32076147214535855</v>
      </c>
      <c r="M92" s="1498">
        <f t="shared" si="40"/>
        <v>-0.12102162107361603</v>
      </c>
      <c r="N92" s="1498">
        <f t="shared" si="40"/>
        <v>-0.20803007716996902</v>
      </c>
      <c r="O92" s="1498">
        <f t="shared" si="40"/>
        <v>-0.28356306552522414</v>
      </c>
      <c r="P92" s="1498">
        <f t="shared" si="40"/>
        <v>-0.35076216326478638</v>
      </c>
      <c r="Q92" s="1498">
        <f t="shared" ref="Q92:R92" si="41">Q90/Q91-1</f>
        <v>-0.38721726877817897</v>
      </c>
      <c r="R92" s="1498">
        <f t="shared" si="41"/>
        <v>-0.33501767842480634</v>
      </c>
    </row>
    <row r="93" spans="1:18" s="1497" customFormat="1">
      <c r="A93" s="1493" t="s">
        <v>248</v>
      </c>
      <c r="B93" s="1493"/>
      <c r="C93" s="1493"/>
      <c r="D93" s="662"/>
      <c r="E93" s="662"/>
      <c r="F93" s="662"/>
      <c r="G93" s="662"/>
      <c r="H93" s="662"/>
      <c r="I93" s="662"/>
      <c r="J93" s="1499"/>
      <c r="K93" s="1499"/>
      <c r="L93" s="1499"/>
      <c r="M93" s="1499"/>
      <c r="N93" s="1499"/>
      <c r="O93" s="1499"/>
      <c r="P93" s="1499"/>
      <c r="Q93" s="1499"/>
      <c r="R93" s="1499"/>
    </row>
    <row r="94" spans="1:18" s="1497" customFormat="1">
      <c r="A94" s="662" t="s">
        <v>724</v>
      </c>
      <c r="B94" s="662"/>
      <c r="C94" s="662"/>
      <c r="D94" s="662"/>
      <c r="E94" s="662"/>
      <c r="F94" s="662"/>
      <c r="G94" s="662"/>
      <c r="H94" s="662"/>
      <c r="I94" s="662"/>
      <c r="J94" s="1496">
        <f t="shared" ref="J94:R94" si="42">-J11</f>
        <v>0</v>
      </c>
      <c r="K94" s="1496">
        <f t="shared" si="42"/>
        <v>0</v>
      </c>
      <c r="L94" s="1496">
        <f t="shared" si="42"/>
        <v>7382</v>
      </c>
      <c r="M94" s="1496">
        <f t="shared" si="42"/>
        <v>20387.570799343855</v>
      </c>
      <c r="N94" s="1496">
        <f t="shared" si="42"/>
        <v>10401.935594551464</v>
      </c>
      <c r="O94" s="1496">
        <f t="shared" si="42"/>
        <v>10361.99235565762</v>
      </c>
      <c r="P94" s="1496">
        <f t="shared" si="42"/>
        <v>10813.115188025306</v>
      </c>
      <c r="Q94" s="1496">
        <f t="shared" si="42"/>
        <v>11283.256908849437</v>
      </c>
      <c r="R94" s="1496">
        <f t="shared" si="42"/>
        <v>12053.5329260614</v>
      </c>
    </row>
    <row r="95" spans="1:18" s="1497" customFormat="1">
      <c r="A95" s="662" t="s">
        <v>1</v>
      </c>
      <c r="B95" s="662"/>
      <c r="C95" s="662"/>
      <c r="D95" s="662"/>
      <c r="E95" s="662"/>
      <c r="F95" s="662"/>
      <c r="G95" s="662"/>
      <c r="H95" s="662"/>
      <c r="I95" s="662"/>
      <c r="J95" s="1496">
        <f>'Income Statement'!BZ31</f>
        <v>9063</v>
      </c>
      <c r="K95" s="1496">
        <f>'Income Statement'!CE31</f>
        <v>7158</v>
      </c>
      <c r="L95" s="1496">
        <f>'Income Statement'!CJ31</f>
        <v>8888.7718317750005</v>
      </c>
      <c r="M95" s="1496">
        <f>'Income Statement'!CO31</f>
        <v>14552.810879250645</v>
      </c>
      <c r="N95" s="1496">
        <f>'Income Statement'!CP31</f>
        <v>13313.988226215928</v>
      </c>
      <c r="O95" s="1496">
        <f>'Income Statement'!CQ31</f>
        <v>12789.982079934472</v>
      </c>
      <c r="P95" s="1496">
        <f>'Income Statement'!CR31</f>
        <v>9861.3785339640799</v>
      </c>
      <c r="Q95" s="1496">
        <f>'Income Statement'!CS31</f>
        <v>10239.350416098612</v>
      </c>
      <c r="R95" s="1496">
        <f>'Income Statement'!CT31</f>
        <v>8663.1543457628359</v>
      </c>
    </row>
    <row r="96" spans="1:18" s="1497" customFormat="1">
      <c r="D96" s="662"/>
      <c r="E96" s="662"/>
      <c r="F96" s="662"/>
      <c r="G96" s="662"/>
      <c r="H96" s="662"/>
      <c r="I96" s="662"/>
      <c r="J96" s="1498">
        <f>J94/J95-1</f>
        <v>-1</v>
      </c>
      <c r="K96" s="1498">
        <f t="shared" ref="K96" si="43">K94/K95-1</f>
        <v>-1</v>
      </c>
      <c r="L96" s="1498">
        <f t="shared" ref="L96" si="44">L94/L95-1</f>
        <v>-0.16951406339272779</v>
      </c>
      <c r="M96" s="1498">
        <f t="shared" ref="M96" si="45">M94/M95-1</f>
        <v>0.40093697145562412</v>
      </c>
      <c r="N96" s="1498">
        <f t="shared" ref="N96" si="46">N94/N95-1</f>
        <v>-0.21872128637837329</v>
      </c>
      <c r="O96" s="1498">
        <f t="shared" ref="O96" si="47">O94/O95-1</f>
        <v>-0.18983527178556392</v>
      </c>
      <c r="P96" s="1498">
        <f t="shared" ref="P96:R96" si="48">P94/P95-1</f>
        <v>9.6511522276860218E-2</v>
      </c>
      <c r="Q96" s="1498">
        <f t="shared" si="48"/>
        <v>0.10195046075477232</v>
      </c>
      <c r="R96" s="1498">
        <f t="shared" si="48"/>
        <v>0.39135613253350421</v>
      </c>
    </row>
    <row r="97" spans="1:18" s="1497" customFormat="1">
      <c r="A97" s="1500" t="s">
        <v>521</v>
      </c>
      <c r="B97" s="1500"/>
      <c r="C97" s="1500"/>
      <c r="D97" s="662"/>
      <c r="E97" s="662"/>
      <c r="F97" s="662"/>
      <c r="G97" s="662"/>
      <c r="H97" s="662"/>
      <c r="I97" s="662"/>
      <c r="J97" s="1501"/>
      <c r="K97" s="1501"/>
      <c r="L97" s="1501"/>
      <c r="M97" s="1501"/>
      <c r="N97" s="1501"/>
      <c r="O97" s="1501"/>
      <c r="P97" s="1501"/>
      <c r="Q97" s="1501"/>
      <c r="R97" s="1501"/>
    </row>
    <row r="98" spans="1:18" s="1497" customFormat="1">
      <c r="A98" s="1497" t="s">
        <v>724</v>
      </c>
      <c r="D98" s="662"/>
      <c r="E98" s="662"/>
      <c r="F98" s="662"/>
      <c r="G98" s="662"/>
      <c r="H98" s="662"/>
      <c r="I98" s="662"/>
      <c r="J98" s="1498">
        <f>'Balance Sheet and Cflow'!R74</f>
        <v>0.31099450504313464</v>
      </c>
      <c r="K98" s="1498">
        <f>'Balance Sheet and Cflow'!S74</f>
        <v>0.22145460779191653</v>
      </c>
      <c r="L98" s="1498">
        <f>'Balance Sheet and Cflow'!T74</f>
        <v>0.21464545540005017</v>
      </c>
      <c r="M98" s="1498">
        <f>'Balance Sheet and Cflow'!V74</f>
        <v>0.48</v>
      </c>
      <c r="N98" s="1498">
        <f>'Balance Sheet and Cflow'!W74</f>
        <v>0.22</v>
      </c>
      <c r="O98" s="1498">
        <f>'Balance Sheet and Cflow'!X74</f>
        <v>0.21</v>
      </c>
      <c r="P98" s="1498">
        <f>'Balance Sheet and Cflow'!Y74</f>
        <v>0.21</v>
      </c>
      <c r="Q98" s="1498">
        <f>'Balance Sheet and Cflow'!Z74</f>
        <v>0.21</v>
      </c>
      <c r="R98" s="1498">
        <f>'Balance Sheet and Cflow'!AA74</f>
        <v>0.215</v>
      </c>
    </row>
    <row r="99" spans="1:18" s="1497" customFormat="1">
      <c r="A99" s="662" t="s">
        <v>1</v>
      </c>
      <c r="B99" s="662"/>
      <c r="C99" s="662"/>
      <c r="D99" s="662"/>
      <c r="E99" s="662"/>
      <c r="F99" s="662"/>
      <c r="G99" s="662"/>
      <c r="H99" s="662"/>
      <c r="I99" s="662"/>
      <c r="J99" s="1498">
        <f>'Income Statement'!BZ33</f>
        <v>0.31099450504313464</v>
      </c>
      <c r="K99" s="1498">
        <f>'Income Statement'!CE33</f>
        <v>0.22145460779191653</v>
      </c>
      <c r="L99" s="1498">
        <f>'Income Statement'!CJ33</f>
        <v>0.25889882822802573</v>
      </c>
      <c r="M99" s="1498">
        <f>'Income Statement'!CO33</f>
        <v>0.35233548211536297</v>
      </c>
      <c r="N99" s="1498">
        <f>'Income Statement'!CP33</f>
        <v>0.29805199228643176</v>
      </c>
      <c r="O99" s="1498">
        <f>'Income Statement'!CQ33</f>
        <v>0.27604669887411903</v>
      </c>
      <c r="P99" s="1498">
        <f>'Income Statement'!CR33</f>
        <v>0.19833515350648073</v>
      </c>
      <c r="Q99" s="1498">
        <f>'Income Statement'!CS33</f>
        <v>0.19757174912429337</v>
      </c>
      <c r="R99" s="1498">
        <f>'Income Statement'!CT33</f>
        <v>0.17999019248773787</v>
      </c>
    </row>
    <row r="100" spans="1:18" s="1497" customFormat="1">
      <c r="D100" s="662"/>
      <c r="E100" s="662"/>
      <c r="F100" s="662"/>
      <c r="G100" s="662"/>
      <c r="H100" s="662"/>
      <c r="I100" s="662"/>
      <c r="J100" s="1501"/>
      <c r="K100" s="1501"/>
      <c r="L100" s="1501"/>
      <c r="M100" s="1501"/>
      <c r="N100" s="1501"/>
      <c r="O100" s="1501"/>
      <c r="P100" s="1501"/>
      <c r="Q100" s="1501"/>
      <c r="R100" s="1501"/>
    </row>
    <row r="101" spans="1:18" s="1497" customFormat="1">
      <c r="A101" s="1493" t="s">
        <v>723</v>
      </c>
      <c r="B101" s="1493"/>
      <c r="C101" s="1493"/>
      <c r="D101" s="662"/>
      <c r="E101" s="662"/>
      <c r="F101" s="662"/>
      <c r="G101" s="662"/>
      <c r="H101" s="662"/>
      <c r="I101" s="662"/>
      <c r="J101" s="1499"/>
      <c r="K101" s="1499"/>
      <c r="L101" s="1499"/>
      <c r="M101" s="1499"/>
      <c r="N101" s="1499"/>
      <c r="O101" s="1499"/>
      <c r="P101" s="1499"/>
      <c r="Q101" s="1499"/>
      <c r="R101" s="1499"/>
    </row>
    <row r="102" spans="1:18" s="1497" customFormat="1">
      <c r="A102" s="662" t="s">
        <v>724</v>
      </c>
      <c r="B102" s="662"/>
      <c r="C102" s="662"/>
      <c r="D102" s="662"/>
      <c r="E102" s="662"/>
      <c r="F102" s="662"/>
      <c r="G102" s="662"/>
      <c r="H102" s="662"/>
      <c r="I102" s="662"/>
      <c r="J102" s="1496">
        <f>J90-J94</f>
        <v>0</v>
      </c>
      <c r="K102" s="1496">
        <f t="shared" ref="K102:P102" si="49">K90-K94</f>
        <v>0</v>
      </c>
      <c r="L102" s="1496">
        <f t="shared" si="49"/>
        <v>4692.3349999999991</v>
      </c>
      <c r="M102" s="1496">
        <f t="shared" si="49"/>
        <v>-4326.5749432297453</v>
      </c>
      <c r="N102" s="1496">
        <f t="shared" si="49"/>
        <v>6151.863631922728</v>
      </c>
      <c r="O102" s="1496">
        <f t="shared" si="49"/>
        <v>5756.4393860460932</v>
      </c>
      <c r="P102" s="1496">
        <f t="shared" si="49"/>
        <v>4970.113994475596</v>
      </c>
      <c r="Q102" s="1496">
        <f t="shared" ref="Q102:R102" si="50">Q90-Q94</f>
        <v>4370.3903135397613</v>
      </c>
      <c r="R102" s="1496">
        <f t="shared" si="50"/>
        <v>3636.2928375036372</v>
      </c>
    </row>
    <row r="103" spans="1:18" s="1497" customFormat="1">
      <c r="A103" s="662" t="s">
        <v>1</v>
      </c>
      <c r="B103" s="662"/>
      <c r="C103" s="662"/>
      <c r="D103" s="662"/>
      <c r="E103" s="662"/>
      <c r="F103" s="662"/>
      <c r="G103" s="662"/>
      <c r="H103" s="662"/>
      <c r="I103" s="662"/>
      <c r="J103" s="1496">
        <f>J91-J95</f>
        <v>5172</v>
      </c>
      <c r="K103" s="1496">
        <f t="shared" ref="K103:P103" si="51">K91-K95</f>
        <v>8727</v>
      </c>
      <c r="L103" s="1496">
        <f t="shared" si="51"/>
        <v>8887.5092607250008</v>
      </c>
      <c r="M103" s="1496">
        <f t="shared" si="51"/>
        <v>3719.5337439829691</v>
      </c>
      <c r="N103" s="1496">
        <f t="shared" si="51"/>
        <v>7588.0672045266019</v>
      </c>
      <c r="O103" s="1496">
        <f t="shared" si="51"/>
        <v>9708.0648047089471</v>
      </c>
      <c r="P103" s="1496">
        <f t="shared" si="51"/>
        <v>14449.017886967196</v>
      </c>
      <c r="Q103" s="1496">
        <f t="shared" ref="Q103:R103" si="52">Q91-Q95</f>
        <v>15305.832933271489</v>
      </c>
      <c r="R103" s="1496">
        <f t="shared" si="52"/>
        <v>14931.195841471264</v>
      </c>
    </row>
    <row r="104" spans="1:18" s="1497" customFormat="1">
      <c r="D104" s="662"/>
      <c r="E104" s="662"/>
      <c r="F104" s="662"/>
      <c r="G104" s="662"/>
      <c r="H104" s="662"/>
      <c r="I104" s="662"/>
      <c r="J104" s="1498">
        <f>J102/J103-1</f>
        <v>-1</v>
      </c>
      <c r="K104" s="1498">
        <f t="shared" ref="K104" si="53">K102/K103-1</f>
        <v>-1</v>
      </c>
      <c r="L104" s="1498">
        <f t="shared" ref="L104" si="54">L102/L103-1</f>
        <v>-0.47203036730031822</v>
      </c>
      <c r="M104" s="1498">
        <f t="shared" ref="M104" si="55">M102/M103-1</f>
        <v>-2.1632035736276833</v>
      </c>
      <c r="N104" s="1498">
        <f t="shared" ref="N104" si="56">N102/N103-1</f>
        <v>-0.18927133008878971</v>
      </c>
      <c r="O104" s="1498">
        <f t="shared" ref="O104" si="57">O102/O103-1</f>
        <v>-0.40704563660783322</v>
      </c>
      <c r="P104" s="1498">
        <f t="shared" ref="P104:R104" si="58">P102/P103-1</f>
        <v>-0.65602409566129982</v>
      </c>
      <c r="Q104" s="1498">
        <f t="shared" si="58"/>
        <v>-0.71446243189813596</v>
      </c>
      <c r="R104" s="1498">
        <f t="shared" si="58"/>
        <v>-0.75646338872578001</v>
      </c>
    </row>
    <row r="105" spans="1:18" s="1497" customFormat="1">
      <c r="A105" s="1495" t="s">
        <v>727</v>
      </c>
      <c r="B105" s="1495"/>
      <c r="C105" s="1495"/>
      <c r="D105" s="662"/>
      <c r="E105" s="662"/>
      <c r="F105" s="662"/>
      <c r="G105" s="662"/>
      <c r="H105" s="662"/>
      <c r="I105" s="662"/>
    </row>
    <row r="106" spans="1:18">
      <c r="A106" s="1493" t="s">
        <v>725</v>
      </c>
      <c r="B106" s="1493"/>
      <c r="C106" s="1493"/>
    </row>
    <row r="107" spans="1:18">
      <c r="A107" s="662" t="s">
        <v>724</v>
      </c>
      <c r="J107" s="1502" t="e">
        <f>J71</f>
        <v>#DIV/0!</v>
      </c>
      <c r="K107" s="1502" t="e">
        <f t="shared" ref="K107:P107" si="59">K71</f>
        <v>#DIV/0!</v>
      </c>
      <c r="L107" s="1502">
        <f>L71</f>
        <v>16.99243210005254</v>
      </c>
      <c r="M107" s="1502">
        <f t="shared" si="59"/>
        <v>-27.071469840032513</v>
      </c>
      <c r="N107" s="1502">
        <f t="shared" si="59"/>
        <v>18.543189566819997</v>
      </c>
      <c r="O107" s="1502">
        <f t="shared" si="59"/>
        <v>19.151402259268952</v>
      </c>
      <c r="P107" s="1502">
        <f t="shared" si="59"/>
        <v>21.160687103273538</v>
      </c>
      <c r="Q107" s="1502">
        <f t="shared" ref="Q107:R107" si="60">Q71</f>
        <v>22.795317348513187</v>
      </c>
      <c r="R107" s="1502">
        <f t="shared" si="60"/>
        <v>25.802288359355735</v>
      </c>
    </row>
    <row r="108" spans="1:18">
      <c r="A108" s="662" t="s">
        <v>1</v>
      </c>
      <c r="J108" s="1502">
        <f t="shared" ref="J108:R108" si="61">J68/J103</f>
        <v>14.300049145823667</v>
      </c>
      <c r="K108" s="1502">
        <f t="shared" si="61"/>
        <v>9.1825600071273055</v>
      </c>
      <c r="L108" s="1502">
        <f t="shared" si="61"/>
        <v>8.9714881345390207</v>
      </c>
      <c r="M108" s="1502">
        <f t="shared" si="61"/>
        <v>31.489630461279862</v>
      </c>
      <c r="N108" s="1502">
        <f t="shared" si="61"/>
        <v>15.033495413419407</v>
      </c>
      <c r="O108" s="1502">
        <f t="shared" si="61"/>
        <v>11.355907534712125</v>
      </c>
      <c r="P108" s="1502">
        <f t="shared" si="61"/>
        <v>7.2787664827767857</v>
      </c>
      <c r="Q108" s="1502">
        <f t="shared" si="61"/>
        <v>6.5089194798046872</v>
      </c>
      <c r="R108" s="1502">
        <f t="shared" si="61"/>
        <v>6.2838018701577489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1FC8D-A02C-4753-AAE4-79A77A65907D}">
  <sheetPr codeName="Sheet14">
    <tabColor theme="0"/>
  </sheetPr>
  <dimension ref="A2:AB63"/>
  <sheetViews>
    <sheetView zoomScale="85" zoomScaleNormal="85" workbookViewId="0">
      <pane xSplit="3" ySplit="2" topLeftCell="L3" activePane="bottomRight" state="frozen"/>
      <selection pane="topRight" activeCell="D1" sqref="D1"/>
      <selection pane="bottomLeft" activeCell="A4" sqref="A4"/>
      <selection pane="bottomRight" activeCell="W32" sqref="W32"/>
    </sheetView>
  </sheetViews>
  <sheetFormatPr defaultColWidth="7.81640625" defaultRowHeight="13" outlineLevelCol="1"/>
  <cols>
    <col min="1" max="1" width="1.81640625" style="1164" bestFit="1" customWidth="1"/>
    <col min="2" max="2" width="37" style="1164" bestFit="1" customWidth="1"/>
    <col min="3" max="3" width="7.81640625" style="1164"/>
    <col min="4" max="4" width="7.81640625" style="1164" customWidth="1" outlineLevel="1"/>
    <col min="5" max="22" width="9.90625" style="1164" bestFit="1" customWidth="1" outlineLevel="1"/>
    <col min="23" max="28" width="9.90625" style="1164" bestFit="1" customWidth="1"/>
    <col min="29" max="16384" width="7.81640625" style="1164"/>
  </cols>
  <sheetData>
    <row r="2" spans="1:28" s="1380" customFormat="1">
      <c r="A2" s="1380" t="s">
        <v>615</v>
      </c>
      <c r="B2" s="1381"/>
      <c r="C2" s="1382"/>
      <c r="D2" s="1382">
        <v>2006</v>
      </c>
      <c r="E2" s="1382">
        <f t="shared" ref="E2:AB2" si="0">D2+1</f>
        <v>2007</v>
      </c>
      <c r="F2" s="1382">
        <f t="shared" si="0"/>
        <v>2008</v>
      </c>
      <c r="G2" s="1382">
        <f t="shared" si="0"/>
        <v>2009</v>
      </c>
      <c r="H2" s="1382">
        <f t="shared" si="0"/>
        <v>2010</v>
      </c>
      <c r="I2" s="1382">
        <f t="shared" si="0"/>
        <v>2011</v>
      </c>
      <c r="J2" s="1382">
        <f t="shared" si="0"/>
        <v>2012</v>
      </c>
      <c r="K2" s="1382">
        <f t="shared" si="0"/>
        <v>2013</v>
      </c>
      <c r="L2" s="1382">
        <f t="shared" si="0"/>
        <v>2014</v>
      </c>
      <c r="M2" s="1382">
        <f t="shared" si="0"/>
        <v>2015</v>
      </c>
      <c r="N2" s="1382">
        <f t="shared" si="0"/>
        <v>2016</v>
      </c>
      <c r="O2" s="1382">
        <f t="shared" si="0"/>
        <v>2017</v>
      </c>
      <c r="P2" s="1382">
        <f t="shared" si="0"/>
        <v>2018</v>
      </c>
      <c r="Q2" s="1382">
        <f t="shared" si="0"/>
        <v>2019</v>
      </c>
      <c r="R2" s="1382">
        <f t="shared" si="0"/>
        <v>2020</v>
      </c>
      <c r="S2" s="1382">
        <f t="shared" si="0"/>
        <v>2021</v>
      </c>
      <c r="T2" s="1382">
        <f t="shared" si="0"/>
        <v>2022</v>
      </c>
      <c r="U2" s="1382">
        <f t="shared" si="0"/>
        <v>2023</v>
      </c>
      <c r="V2" s="1382">
        <f t="shared" si="0"/>
        <v>2024</v>
      </c>
      <c r="W2" s="1383">
        <f>V2+1</f>
        <v>2025</v>
      </c>
      <c r="X2" s="1383">
        <f t="shared" si="0"/>
        <v>2026</v>
      </c>
      <c r="Y2" s="1383">
        <f t="shared" si="0"/>
        <v>2027</v>
      </c>
      <c r="Z2" s="1383">
        <f t="shared" si="0"/>
        <v>2028</v>
      </c>
      <c r="AA2" s="1383">
        <f t="shared" si="0"/>
        <v>2029</v>
      </c>
      <c r="AB2" s="1383">
        <f t="shared" si="0"/>
        <v>2030</v>
      </c>
    </row>
    <row r="3" spans="1:28" s="1380" customFormat="1">
      <c r="B3" s="1384"/>
      <c r="C3" s="1385"/>
      <c r="D3" s="1385"/>
      <c r="E3" s="1385"/>
      <c r="F3" s="1385"/>
      <c r="G3" s="1385"/>
      <c r="H3" s="1385"/>
      <c r="I3" s="1385"/>
      <c r="J3" s="1385"/>
      <c r="K3" s="1385"/>
      <c r="L3" s="1385"/>
      <c r="M3" s="1385"/>
      <c r="N3" s="1385"/>
      <c r="O3" s="1385"/>
      <c r="P3" s="1385"/>
      <c r="Q3" s="1385"/>
      <c r="R3" s="1385"/>
      <c r="S3" s="1385"/>
      <c r="T3" s="1385"/>
      <c r="U3" s="1385"/>
      <c r="V3" s="1385"/>
      <c r="W3" s="1386"/>
      <c r="X3" s="1386"/>
      <c r="Y3" s="1385"/>
      <c r="Z3" s="1385"/>
      <c r="AA3" s="1385"/>
      <c r="AB3" s="1385"/>
    </row>
    <row r="4" spans="1:28" s="1380" customFormat="1">
      <c r="B4" s="1387" t="s">
        <v>1429</v>
      </c>
      <c r="C4" s="1388"/>
      <c r="D4" s="1388">
        <f t="shared" ref="D4:AB4" si="1">D$2</f>
        <v>2006</v>
      </c>
      <c r="E4" s="1388">
        <f t="shared" si="1"/>
        <v>2007</v>
      </c>
      <c r="F4" s="1388">
        <f t="shared" si="1"/>
        <v>2008</v>
      </c>
      <c r="G4" s="1388">
        <f t="shared" si="1"/>
        <v>2009</v>
      </c>
      <c r="H4" s="1388">
        <f t="shared" si="1"/>
        <v>2010</v>
      </c>
      <c r="I4" s="1388">
        <f t="shared" si="1"/>
        <v>2011</v>
      </c>
      <c r="J4" s="1388">
        <f t="shared" si="1"/>
        <v>2012</v>
      </c>
      <c r="K4" s="1388">
        <f t="shared" si="1"/>
        <v>2013</v>
      </c>
      <c r="L4" s="1388">
        <f t="shared" si="1"/>
        <v>2014</v>
      </c>
      <c r="M4" s="1388">
        <f t="shared" si="1"/>
        <v>2015</v>
      </c>
      <c r="N4" s="1388">
        <f t="shared" si="1"/>
        <v>2016</v>
      </c>
      <c r="O4" s="1388">
        <f t="shared" si="1"/>
        <v>2017</v>
      </c>
      <c r="P4" s="1388">
        <f t="shared" si="1"/>
        <v>2018</v>
      </c>
      <c r="Q4" s="1388">
        <f t="shared" si="1"/>
        <v>2019</v>
      </c>
      <c r="R4" s="1388">
        <f t="shared" si="1"/>
        <v>2020</v>
      </c>
      <c r="S4" s="1388">
        <f t="shared" si="1"/>
        <v>2021</v>
      </c>
      <c r="T4" s="1388">
        <f t="shared" si="1"/>
        <v>2022</v>
      </c>
      <c r="U4" s="1388">
        <f t="shared" si="1"/>
        <v>2023</v>
      </c>
      <c r="V4" s="1388">
        <f t="shared" si="1"/>
        <v>2024</v>
      </c>
      <c r="W4" s="1388">
        <f t="shared" si="1"/>
        <v>2025</v>
      </c>
      <c r="X4" s="1388">
        <f t="shared" si="1"/>
        <v>2026</v>
      </c>
      <c r="Y4" s="1388">
        <f t="shared" si="1"/>
        <v>2027</v>
      </c>
      <c r="Z4" s="1388">
        <f t="shared" si="1"/>
        <v>2028</v>
      </c>
      <c r="AA4" s="1388">
        <f t="shared" si="1"/>
        <v>2029</v>
      </c>
      <c r="AB4" s="1388">
        <f t="shared" si="1"/>
        <v>2030</v>
      </c>
    </row>
    <row r="5" spans="1:28" s="1380" customFormat="1">
      <c r="B5" s="1389" t="s">
        <v>1471</v>
      </c>
      <c r="D5" s="1390"/>
      <c r="E5" s="1390">
        <f t="shared" ref="E5:AB5" si="2">E31/E41</f>
        <v>7.9390709603875749</v>
      </c>
      <c r="F5" s="1390">
        <f t="shared" si="2"/>
        <v>7.1650818394388143</v>
      </c>
      <c r="G5" s="1390">
        <f t="shared" si="2"/>
        <v>5.7721901692183728</v>
      </c>
      <c r="H5" s="1390">
        <f t="shared" si="2"/>
        <v>3.5117303757941207</v>
      </c>
      <c r="I5" s="1390">
        <f t="shared" si="2"/>
        <v>3.479828840393667</v>
      </c>
      <c r="J5" s="1390">
        <f t="shared" si="2"/>
        <v>3.645812211390457</v>
      </c>
      <c r="K5" s="1390">
        <f t="shared" si="2"/>
        <v>4.5392585748931751</v>
      </c>
      <c r="L5" s="1390">
        <f t="shared" si="2"/>
        <v>5.2742015539835325</v>
      </c>
      <c r="M5" s="1390">
        <f t="shared" si="2"/>
        <v>5.5440104849279166</v>
      </c>
      <c r="N5" s="1390">
        <f t="shared" si="2"/>
        <v>5.2022886930619334</v>
      </c>
      <c r="O5" s="1390">
        <f t="shared" si="2"/>
        <v>4.9200624924888832</v>
      </c>
      <c r="P5" s="1390">
        <f t="shared" si="2"/>
        <v>4.7175126042523194</v>
      </c>
      <c r="Q5" s="1390">
        <f t="shared" si="2"/>
        <v>5.4153599036724867</v>
      </c>
      <c r="R5" s="1390">
        <f t="shared" si="2"/>
        <v>4.5447486064318534</v>
      </c>
      <c r="S5" s="1390">
        <f t="shared" si="2"/>
        <v>4.6456210280725516</v>
      </c>
      <c r="T5" s="1390">
        <f t="shared" si="2"/>
        <v>5.1956342944994738</v>
      </c>
      <c r="U5" s="1390">
        <f t="shared" si="2"/>
        <v>5.0447718717154544</v>
      </c>
      <c r="V5" s="1390">
        <f t="shared" si="2"/>
        <v>4.4596556786285593</v>
      </c>
      <c r="W5" s="1390">
        <f t="shared" si="2"/>
        <v>6.3148665778214843</v>
      </c>
      <c r="X5" s="1390">
        <f t="shared" si="2"/>
        <v>5.1790901965352836</v>
      </c>
      <c r="Y5" s="1390">
        <f t="shared" si="2"/>
        <v>4.5429904357919604</v>
      </c>
      <c r="Z5" s="1390">
        <f t="shared" si="2"/>
        <v>3.9506998648346725</v>
      </c>
      <c r="AA5" s="1390">
        <f t="shared" si="2"/>
        <v>3.5657208622595093</v>
      </c>
      <c r="AB5" s="1390">
        <f t="shared" si="2"/>
        <v>3.1999227015415777</v>
      </c>
    </row>
    <row r="6" spans="1:28" s="1380" customFormat="1">
      <c r="B6" s="1389" t="s">
        <v>1472</v>
      </c>
      <c r="D6" s="1390"/>
      <c r="E6" s="1390">
        <f t="shared" ref="E6:AB6" si="3">E31/(E41-E43)</f>
        <v>-8.2935992855016369</v>
      </c>
      <c r="F6" s="1390">
        <f t="shared" si="3"/>
        <v>-5.8833919999999997</v>
      </c>
      <c r="G6" s="1390">
        <f t="shared" si="3"/>
        <v>38.833828472297512</v>
      </c>
      <c r="H6" s="1390">
        <f t="shared" si="3"/>
        <v>7.3470241045280469</v>
      </c>
      <c r="I6" s="1390">
        <f t="shared" si="3"/>
        <v>11.510771408351026</v>
      </c>
      <c r="J6" s="1390">
        <f t="shared" si="3"/>
        <v>-82.432575406032484</v>
      </c>
      <c r="K6" s="1390">
        <f t="shared" si="3"/>
        <v>31.071494071146248</v>
      </c>
      <c r="L6" s="1390">
        <f t="shared" si="3"/>
        <v>29.764031413612567</v>
      </c>
      <c r="M6" s="1390">
        <f t="shared" si="3"/>
        <v>10.956176124323052</v>
      </c>
      <c r="N6" s="1390">
        <f t="shared" si="3"/>
        <v>16.948985038414879</v>
      </c>
      <c r="O6" s="1390">
        <f t="shared" si="3"/>
        <v>25.20926108374384</v>
      </c>
      <c r="P6" s="1390">
        <f t="shared" si="3"/>
        <v>17.934682864373599</v>
      </c>
      <c r="Q6" s="1390">
        <f t="shared" si="3"/>
        <v>62.043651471553616</v>
      </c>
      <c r="R6" s="1390">
        <f t="shared" si="3"/>
        <v>8.5958605068790739</v>
      </c>
      <c r="S6" s="1390">
        <f t="shared" si="3"/>
        <v>18.338195662507424</v>
      </c>
      <c r="T6" s="1390">
        <f t="shared" si="3"/>
        <v>14.300049145823667</v>
      </c>
      <c r="U6" s="1390">
        <f t="shared" si="3"/>
        <v>9.1825600071273055</v>
      </c>
      <c r="V6" s="1390">
        <f t="shared" si="3"/>
        <v>7.5959020556539976</v>
      </c>
      <c r="W6" s="1390">
        <f t="shared" si="3"/>
        <v>-63.663006027657204</v>
      </c>
      <c r="X6" s="1390">
        <f t="shared" si="3"/>
        <v>9.8136211112986818</v>
      </c>
      <c r="Y6" s="1390">
        <f t="shared" si="3"/>
        <v>7.9284668209936662</v>
      </c>
      <c r="Z6" s="1390">
        <f t="shared" si="3"/>
        <v>6.6531329971320048</v>
      </c>
      <c r="AA6" s="1390">
        <f t="shared" si="3"/>
        <v>5.9812091883062735</v>
      </c>
      <c r="AB6" s="1390">
        <f t="shared" si="3"/>
        <v>5.433634976968329</v>
      </c>
    </row>
    <row r="7" spans="1:28" s="1380" customFormat="1">
      <c r="B7" s="1389" t="s">
        <v>1473</v>
      </c>
      <c r="D7" s="1390"/>
      <c r="E7" s="1390"/>
      <c r="F7" s="1390"/>
      <c r="G7" s="1390"/>
      <c r="H7" s="1390"/>
      <c r="I7" s="1390"/>
      <c r="J7" s="1390"/>
      <c r="K7" s="1390"/>
      <c r="L7" s="1390"/>
      <c r="M7" s="1390"/>
      <c r="N7" s="1390"/>
      <c r="O7" s="1390"/>
      <c r="P7" s="1390"/>
      <c r="Q7" s="1390"/>
      <c r="R7" s="1390"/>
      <c r="S7" s="1390"/>
      <c r="T7" s="1390"/>
      <c r="U7" s="1390"/>
      <c r="V7" s="1390"/>
      <c r="W7" s="1390"/>
      <c r="X7" s="1390"/>
      <c r="Y7" s="1390"/>
      <c r="Z7" s="1390"/>
      <c r="AA7" s="1390"/>
      <c r="AB7" s="1390"/>
    </row>
    <row r="8" spans="1:28" s="1380" customFormat="1">
      <c r="B8" s="1389" t="s">
        <v>1436</v>
      </c>
      <c r="D8" s="1390"/>
      <c r="E8" s="1390">
        <f t="shared" ref="E8:AB8" si="4">E19/E42</f>
        <v>75.401587301587298</v>
      </c>
      <c r="F8" s="1390">
        <f t="shared" si="4"/>
        <v>-1357.2285714285715</v>
      </c>
      <c r="G8" s="1390">
        <f t="shared" si="4"/>
        <v>13.33807546066101</v>
      </c>
      <c r="H8" s="1390">
        <f t="shared" si="4"/>
        <v>7.8843153526970946</v>
      </c>
      <c r="I8" s="1390">
        <f t="shared" si="4"/>
        <v>8.0570459363957596</v>
      </c>
      <c r="J8" s="1390">
        <f t="shared" si="4"/>
        <v>8.3921383879278615</v>
      </c>
      <c r="K8" s="1390">
        <f t="shared" si="4"/>
        <v>22.09441860465116</v>
      </c>
      <c r="L8" s="1390">
        <f t="shared" si="4"/>
        <v>-25.590841750841751</v>
      </c>
      <c r="M8" s="1390">
        <f t="shared" si="4"/>
        <v>-915.59520000000009</v>
      </c>
      <c r="N8" s="1390">
        <f t="shared" si="4"/>
        <v>76.587807486631021</v>
      </c>
      <c r="O8" s="1390">
        <f t="shared" si="4"/>
        <v>79.345817174515233</v>
      </c>
      <c r="P8" s="1390">
        <f t="shared" si="4"/>
        <v>-8.6957294474802662</v>
      </c>
      <c r="Q8" s="1390">
        <f t="shared" si="4"/>
        <v>40.286544022503513</v>
      </c>
      <c r="R8" s="1390">
        <f t="shared" si="4"/>
        <v>-17.338998642109825</v>
      </c>
      <c r="S8" s="1390">
        <f t="shared" si="4"/>
        <v>22.31865147494927</v>
      </c>
      <c r="T8" s="1390">
        <f t="shared" si="4"/>
        <v>31.381172633135566</v>
      </c>
      <c r="U8" s="1390">
        <f t="shared" si="4"/>
        <v>27.392462896279184</v>
      </c>
      <c r="V8" s="1390">
        <f t="shared" si="4"/>
        <v>18.960932609487504</v>
      </c>
      <c r="W8" s="1390">
        <f t="shared" si="4"/>
        <v>-20.068615352303027</v>
      </c>
      <c r="X8" s="1390">
        <f t="shared" si="4"/>
        <v>62.25738418559888</v>
      </c>
      <c r="Y8" s="1390">
        <f t="shared" si="4"/>
        <v>20.813059963807166</v>
      </c>
      <c r="Z8" s="1390">
        <f t="shared" si="4"/>
        <v>10.514072759904565</v>
      </c>
      <c r="AA8" s="1390">
        <f t="shared" si="4"/>
        <v>8.2299568922181834</v>
      </c>
      <c r="AB8" s="1390">
        <f t="shared" si="4"/>
        <v>6.840718031686956</v>
      </c>
    </row>
    <row r="9" spans="1:28" s="1380" customFormat="1">
      <c r="B9" s="1389" t="s">
        <v>1474</v>
      </c>
      <c r="D9" s="1390"/>
      <c r="E9" s="1390"/>
      <c r="F9" s="1390"/>
      <c r="G9" s="1390">
        <f t="shared" ref="G9:AB9" si="5">1/G10</f>
        <v>-77.031891891891945</v>
      </c>
      <c r="H9" s="1390">
        <f t="shared" si="5"/>
        <v>8.692886008387342</v>
      </c>
      <c r="I9" s="1390">
        <f t="shared" si="5"/>
        <v>10.978064516129031</v>
      </c>
      <c r="J9" s="1390">
        <f t="shared" si="5"/>
        <v>-8.3552363503114684</v>
      </c>
      <c r="K9" s="1390">
        <f t="shared" si="5"/>
        <v>-50.003157894736844</v>
      </c>
      <c r="L9" s="1390">
        <f t="shared" si="5"/>
        <v>1.9842868331737882</v>
      </c>
      <c r="M9" s="1390">
        <f t="shared" si="5"/>
        <v>-3.2643867655447805</v>
      </c>
      <c r="N9" s="1390">
        <f t="shared" si="5"/>
        <v>20.100940350877192</v>
      </c>
      <c r="O9" s="1390">
        <f t="shared" si="5"/>
        <v>10.866403641881639</v>
      </c>
      <c r="P9" s="1390">
        <f t="shared" si="5"/>
        <v>9.7545646366830088</v>
      </c>
      <c r="Q9" s="1390">
        <f t="shared" si="5"/>
        <v>-9.8098267681586577</v>
      </c>
      <c r="R9" s="1390">
        <f t="shared" si="5"/>
        <v>6.9744247251332867</v>
      </c>
      <c r="S9" s="1390">
        <f t="shared" si="5"/>
        <v>-221.08979554160405</v>
      </c>
      <c r="T9" s="1390">
        <f t="shared" si="5"/>
        <v>-22.499380785849723</v>
      </c>
      <c r="U9" s="1390">
        <f t="shared" si="5"/>
        <v>-22.470197125460491</v>
      </c>
      <c r="V9" s="1390">
        <f t="shared" si="5"/>
        <v>91.66548540665319</v>
      </c>
      <c r="W9" s="1390">
        <f t="shared" si="5"/>
        <v>-4.7791407331169644</v>
      </c>
      <c r="X9" s="1390">
        <f t="shared" si="5"/>
        <v>149.65526897187328</v>
      </c>
      <c r="Y9" s="1390">
        <f t="shared" si="5"/>
        <v>47.437765317476952</v>
      </c>
      <c r="Z9" s="1390">
        <f t="shared" si="5"/>
        <v>22.005372531841783</v>
      </c>
      <c r="AA9" s="1390">
        <f t="shared" si="5"/>
        <v>18.888576468955236</v>
      </c>
      <c r="AB9" s="1390">
        <f t="shared" si="5"/>
        <v>18.014918187153238</v>
      </c>
    </row>
    <row r="10" spans="1:28" s="1214" customFormat="1">
      <c r="B10" s="1389" t="s">
        <v>1427</v>
      </c>
      <c r="C10" s="1380"/>
      <c r="D10" s="1201"/>
      <c r="E10" s="1201">
        <f t="shared" ref="E10:AB10" si="6">E45/E$19</f>
        <v>-0.21061827674041639</v>
      </c>
      <c r="F10" s="1201">
        <f t="shared" si="6"/>
        <v>-0.38650190514283306</v>
      </c>
      <c r="G10" s="1201">
        <f t="shared" si="6"/>
        <v>-1.2981636247535235E-2</v>
      </c>
      <c r="H10" s="1201">
        <f t="shared" si="6"/>
        <v>0.1150365941800167</v>
      </c>
      <c r="I10" s="1201">
        <f t="shared" si="6"/>
        <v>9.1090738128819945E-2</v>
      </c>
      <c r="J10" s="1201">
        <f t="shared" si="6"/>
        <v>-0.1196854233767692</v>
      </c>
      <c r="K10" s="1201">
        <f t="shared" si="6"/>
        <v>-1.9998736921878618E-2</v>
      </c>
      <c r="L10" s="1201">
        <f t="shared" si="6"/>
        <v>0.50395939905549825</v>
      </c>
      <c r="M10" s="1201">
        <f t="shared" si="6"/>
        <v>-0.306336249906072</v>
      </c>
      <c r="N10" s="1201">
        <f t="shared" si="6"/>
        <v>4.9748916346411653E-2</v>
      </c>
      <c r="O10" s="1201">
        <f t="shared" si="6"/>
        <v>9.2026767360800787E-2</v>
      </c>
      <c r="P10" s="1201">
        <f t="shared" si="6"/>
        <v>0.10251610781678566</v>
      </c>
      <c r="Q10" s="1201">
        <f t="shared" si="6"/>
        <v>-0.10193859928759005</v>
      </c>
      <c r="R10" s="1201">
        <f t="shared" si="6"/>
        <v>0.14338100121668304</v>
      </c>
      <c r="S10" s="1201">
        <f t="shared" si="6"/>
        <v>-4.5230490966364969E-3</v>
      </c>
      <c r="T10" s="1201">
        <f t="shared" si="6"/>
        <v>-4.4445667617169199E-2</v>
      </c>
      <c r="U10" s="1201">
        <f t="shared" si="6"/>
        <v>-4.4503392400902515E-2</v>
      </c>
      <c r="V10" s="1201">
        <f t="shared" si="6"/>
        <v>1.0909231490606592E-2</v>
      </c>
      <c r="W10" s="1201">
        <f t="shared" si="6"/>
        <v>-0.20924263499304782</v>
      </c>
      <c r="X10" s="1201">
        <f t="shared" si="6"/>
        <v>6.6820233385029917E-3</v>
      </c>
      <c r="Y10" s="1201">
        <f t="shared" si="6"/>
        <v>2.1080251004816652E-2</v>
      </c>
      <c r="Z10" s="1201">
        <f t="shared" si="6"/>
        <v>4.5443447892236297E-2</v>
      </c>
      <c r="AA10" s="1201">
        <f t="shared" si="6"/>
        <v>5.2942052125715962E-2</v>
      </c>
      <c r="AB10" s="1201">
        <f t="shared" si="6"/>
        <v>5.5509549896991368E-2</v>
      </c>
    </row>
    <row r="11" spans="1:28" s="1214" customFormat="1">
      <c r="B11" s="1389" t="s">
        <v>1475</v>
      </c>
      <c r="C11" s="1380"/>
      <c r="D11" s="1201"/>
      <c r="E11" s="1201"/>
      <c r="F11" s="1201"/>
      <c r="G11" s="1201"/>
      <c r="H11" s="1201"/>
      <c r="I11" s="1201"/>
      <c r="J11" s="1201"/>
      <c r="K11" s="1201"/>
      <c r="L11" s="1201"/>
      <c r="M11" s="1201"/>
      <c r="N11" s="1201"/>
      <c r="O11" s="1201"/>
      <c r="P11" s="1201"/>
      <c r="Q11" s="1201"/>
      <c r="R11" s="1201"/>
      <c r="S11" s="1201"/>
      <c r="T11" s="1201"/>
      <c r="U11" s="1201"/>
      <c r="V11" s="1201"/>
      <c r="W11" s="1201"/>
      <c r="X11" s="1201"/>
      <c r="Y11" s="1201"/>
      <c r="Z11" s="1201"/>
      <c r="AA11" s="1201"/>
      <c r="AB11" s="1201"/>
    </row>
    <row r="12" spans="1:28" s="1214" customFormat="1">
      <c r="B12" s="1391" t="s">
        <v>1476</v>
      </c>
      <c r="C12" s="1392"/>
      <c r="D12" s="1201"/>
      <c r="E12" s="1201"/>
      <c r="F12" s="1201"/>
      <c r="G12" s="1201"/>
      <c r="H12" s="1201"/>
      <c r="I12" s="1201"/>
      <c r="J12" s="1201"/>
      <c r="K12" s="1201"/>
      <c r="L12" s="1201"/>
      <c r="M12" s="1201"/>
      <c r="N12" s="1201"/>
      <c r="O12" s="1201"/>
      <c r="P12" s="1201"/>
      <c r="Q12" s="1201"/>
      <c r="R12" s="1201"/>
      <c r="S12" s="1201"/>
      <c r="T12" s="1201"/>
      <c r="U12" s="1201"/>
      <c r="V12" s="1201"/>
      <c r="W12" s="1201"/>
      <c r="X12" s="1201"/>
      <c r="Y12" s="1201"/>
      <c r="Z12" s="1201"/>
      <c r="AA12" s="1201"/>
      <c r="AB12" s="1201"/>
    </row>
    <row r="13" spans="1:28" s="1390" customFormat="1" ht="13.5" thickBot="1">
      <c r="B13" s="1393" t="s">
        <v>1071</v>
      </c>
      <c r="C13" s="1394"/>
      <c r="D13" s="1395"/>
      <c r="E13" s="1395">
        <f>IFERROR(E25/E41,"")</f>
        <v>2.5240809347392421</v>
      </c>
      <c r="F13" s="1395">
        <f t="shared" ref="F13:AB13" si="7">IFERROR(F25/F41,"")</f>
        <v>3.4625876851130162</v>
      </c>
      <c r="G13" s="1395">
        <f t="shared" si="7"/>
        <v>2.0975020145044319</v>
      </c>
      <c r="H13" s="1395">
        <f t="shared" si="7"/>
        <v>1.0565306342198773</v>
      </c>
      <c r="I13" s="1395">
        <f t="shared" si="7"/>
        <v>1.0406504065040652</v>
      </c>
      <c r="J13" s="1395">
        <f t="shared" si="7"/>
        <v>1.3060030785017958</v>
      </c>
      <c r="K13" s="1395">
        <f t="shared" si="7"/>
        <v>1.9059937637140547</v>
      </c>
      <c r="L13" s="1395">
        <f t="shared" si="7"/>
        <v>2.6299431752290388</v>
      </c>
      <c r="M13" s="1395">
        <f t="shared" si="7"/>
        <v>2.8167520552841654</v>
      </c>
      <c r="N13" s="1395">
        <f t="shared" si="7"/>
        <v>1.6471391336725829</v>
      </c>
      <c r="O13" s="1395">
        <f t="shared" si="7"/>
        <v>1.4777070063694266</v>
      </c>
      <c r="P13" s="1395">
        <f t="shared" si="7"/>
        <v>1.3528077058616232</v>
      </c>
      <c r="Q13" s="1395">
        <f t="shared" si="7"/>
        <v>2.54121452939996</v>
      </c>
      <c r="R13" s="1395">
        <f t="shared" si="7"/>
        <v>2.3478032159264934</v>
      </c>
      <c r="S13" s="1395">
        <f t="shared" si="7"/>
        <v>2.4824453224956722</v>
      </c>
      <c r="T13" s="1395">
        <f t="shared" si="7"/>
        <v>2.7239662802950475</v>
      </c>
      <c r="U13" s="1395">
        <f t="shared" si="7"/>
        <v>2.8298399118665407</v>
      </c>
      <c r="V13" s="1395">
        <f t="shared" si="7"/>
        <v>2.5002168465797863</v>
      </c>
      <c r="W13" s="1395">
        <f t="shared" si="7"/>
        <v>3.8433360194477135</v>
      </c>
      <c r="X13" s="1395">
        <f t="shared" si="7"/>
        <v>3.0978595657335908</v>
      </c>
      <c r="Y13" s="1395">
        <f t="shared" si="7"/>
        <v>2.699314463493554</v>
      </c>
      <c r="Z13" s="1395">
        <f t="shared" si="7"/>
        <v>2.3519486199507793</v>
      </c>
      <c r="AA13" s="1395">
        <f t="shared" si="7"/>
        <v>2.1421052131502694</v>
      </c>
      <c r="AB13" s="1395">
        <f t="shared" si="7"/>
        <v>1.9576536134979345</v>
      </c>
    </row>
    <row r="14" spans="1:28" s="1380" customFormat="1">
      <c r="B14" s="1389"/>
      <c r="C14" s="1396"/>
    </row>
    <row r="15" spans="1:28" s="1380" customFormat="1">
      <c r="B15" s="1389"/>
      <c r="C15" s="1396"/>
    </row>
    <row r="16" spans="1:28" s="1386" customFormat="1">
      <c r="A16" s="1386" t="s">
        <v>615</v>
      </c>
      <c r="B16" s="1397" t="s">
        <v>1477</v>
      </c>
      <c r="C16" s="1398"/>
      <c r="D16" s="1388">
        <f t="shared" ref="D16:AB16" si="8">D$2</f>
        <v>2006</v>
      </c>
      <c r="E16" s="1388">
        <f t="shared" si="8"/>
        <v>2007</v>
      </c>
      <c r="F16" s="1388">
        <f t="shared" si="8"/>
        <v>2008</v>
      </c>
      <c r="G16" s="1388">
        <f t="shared" si="8"/>
        <v>2009</v>
      </c>
      <c r="H16" s="1388">
        <f t="shared" si="8"/>
        <v>2010</v>
      </c>
      <c r="I16" s="1388">
        <f t="shared" si="8"/>
        <v>2011</v>
      </c>
      <c r="J16" s="1388">
        <f t="shared" si="8"/>
        <v>2012</v>
      </c>
      <c r="K16" s="1388">
        <f t="shared" si="8"/>
        <v>2013</v>
      </c>
      <c r="L16" s="1388">
        <f t="shared" si="8"/>
        <v>2014</v>
      </c>
      <c r="M16" s="1388">
        <f t="shared" si="8"/>
        <v>2015</v>
      </c>
      <c r="N16" s="1388">
        <f t="shared" si="8"/>
        <v>2016</v>
      </c>
      <c r="O16" s="1388">
        <f t="shared" si="8"/>
        <v>2017</v>
      </c>
      <c r="P16" s="1388">
        <f t="shared" si="8"/>
        <v>2018</v>
      </c>
      <c r="Q16" s="1388">
        <f t="shared" si="8"/>
        <v>2019</v>
      </c>
      <c r="R16" s="1388">
        <f t="shared" si="8"/>
        <v>2020</v>
      </c>
      <c r="S16" s="1388">
        <f t="shared" si="8"/>
        <v>2021</v>
      </c>
      <c r="T16" s="1388">
        <f t="shared" si="8"/>
        <v>2022</v>
      </c>
      <c r="U16" s="1388">
        <f t="shared" si="8"/>
        <v>2023</v>
      </c>
      <c r="V16" s="1388">
        <f t="shared" si="8"/>
        <v>2024</v>
      </c>
      <c r="W16" s="1388">
        <f t="shared" si="8"/>
        <v>2025</v>
      </c>
      <c r="X16" s="1388">
        <f t="shared" si="8"/>
        <v>2026</v>
      </c>
      <c r="Y16" s="1388">
        <f t="shared" si="8"/>
        <v>2027</v>
      </c>
      <c r="Z16" s="1388">
        <f t="shared" si="8"/>
        <v>2028</v>
      </c>
      <c r="AA16" s="1388">
        <f t="shared" si="8"/>
        <v>2029</v>
      </c>
      <c r="AB16" s="1388">
        <f t="shared" si="8"/>
        <v>2030</v>
      </c>
    </row>
    <row r="17" spans="2:28" s="1380" customFormat="1">
      <c r="B17" s="1399" t="s">
        <v>1478</v>
      </c>
      <c r="C17" s="1400" t="s">
        <v>537</v>
      </c>
      <c r="D17" s="1401"/>
      <c r="E17" s="1401">
        <f>DCF!$B$33</f>
        <v>2680</v>
      </c>
      <c r="F17" s="1401">
        <f>DCF!$B$33</f>
        <v>2680</v>
      </c>
      <c r="G17" s="1401">
        <f>DCF!$B$33</f>
        <v>2680</v>
      </c>
      <c r="H17" s="1401">
        <f>DCF!$B$33</f>
        <v>2680</v>
      </c>
      <c r="I17" s="1401">
        <f>DCF!$B$33</f>
        <v>2680</v>
      </c>
      <c r="J17" s="1401">
        <f>DCF!$B$33</f>
        <v>2680</v>
      </c>
      <c r="K17" s="1401">
        <f>DCF!$B$33</f>
        <v>2680</v>
      </c>
      <c r="L17" s="1401">
        <f>DCF!$B$33</f>
        <v>2680</v>
      </c>
      <c r="M17" s="1401">
        <f>DCF!$B$33</f>
        <v>2680</v>
      </c>
      <c r="N17" s="1401">
        <f>DCF!$B$33</f>
        <v>2680</v>
      </c>
      <c r="O17" s="1401">
        <f>DCF!$B$33</f>
        <v>2680</v>
      </c>
      <c r="P17" s="1401">
        <f>DCF!$B$33</f>
        <v>2680</v>
      </c>
      <c r="Q17" s="1401">
        <f>DCF!$B$33</f>
        <v>2680</v>
      </c>
      <c r="R17" s="1401">
        <f>DCF!$B$33</f>
        <v>2680</v>
      </c>
      <c r="S17" s="1401">
        <f>DCF!$B$33</f>
        <v>2680</v>
      </c>
      <c r="T17" s="1401">
        <f>DCF!$B$33</f>
        <v>2680</v>
      </c>
      <c r="U17" s="1401">
        <f>DCF!$B$33</f>
        <v>2680</v>
      </c>
      <c r="V17" s="1401">
        <f>DCF!$B$33</f>
        <v>2680</v>
      </c>
      <c r="W17" s="1401">
        <f>DCF!$B$33</f>
        <v>2680</v>
      </c>
      <c r="X17" s="1401">
        <f>DCF!$B$33</f>
        <v>2680</v>
      </c>
      <c r="Y17" s="1401">
        <f>DCF!$B$33</f>
        <v>2680</v>
      </c>
      <c r="Z17" s="1401">
        <f>DCF!$B$33</f>
        <v>2680</v>
      </c>
      <c r="AA17" s="1401">
        <f>DCF!$B$33</f>
        <v>2680</v>
      </c>
      <c r="AB17" s="1401">
        <f>DCF!$B$33</f>
        <v>2680</v>
      </c>
    </row>
    <row r="18" spans="2:28" s="1380" customFormat="1">
      <c r="B18" s="1399" t="s">
        <v>1479</v>
      </c>
      <c r="C18" s="1400" t="s">
        <v>1480</v>
      </c>
      <c r="D18" s="1402"/>
      <c r="E18" s="1402">
        <f>'Balance Sheet and Cflow'!C314/1000</f>
        <v>7.09</v>
      </c>
      <c r="F18" s="1402">
        <f>'Balance Sheet and Cflow'!D314/1000</f>
        <v>7.09</v>
      </c>
      <c r="G18" s="1402">
        <f>'Balance Sheet and Cflow'!E314/1000</f>
        <v>8.5079999999999991</v>
      </c>
      <c r="H18" s="1402">
        <f>'Balance Sheet and Cflow'!F314/1000</f>
        <v>8.5079999999999991</v>
      </c>
      <c r="I18" s="1402">
        <f>'Balance Sheet and Cflow'!G314/1000</f>
        <v>8.5079999999999991</v>
      </c>
      <c r="J18" s="1402">
        <f>'Balance Sheet and Cflow'!H314/1000</f>
        <v>8.5079999999999991</v>
      </c>
      <c r="K18" s="1402">
        <f>'Balance Sheet and Cflow'!I314/1000</f>
        <v>8.5079999999999991</v>
      </c>
      <c r="L18" s="1402">
        <f>'Balance Sheet and Cflow'!J314/1000</f>
        <v>8.5079999999999991</v>
      </c>
      <c r="M18" s="1402">
        <f>'Balance Sheet and Cflow'!K314/1000</f>
        <v>8.5410000000000004</v>
      </c>
      <c r="N18" s="1402">
        <f>'Balance Sheet and Cflow'!L314/1000</f>
        <v>10.688000000000001</v>
      </c>
      <c r="O18" s="1402">
        <f>'Balance Sheet and Cflow'!M314/1000</f>
        <v>10.688000000000001</v>
      </c>
      <c r="P18" s="1402">
        <f>'Balance Sheet and Cflow'!N314/1000</f>
        <v>10.687959999999999</v>
      </c>
      <c r="Q18" s="1402">
        <f>'Balance Sheet and Cflow'!O314/1000</f>
        <v>10.687959999999999</v>
      </c>
      <c r="R18" s="1402">
        <f>'Balance Sheet and Cflow'!P314/1000</f>
        <v>10.706010000000001</v>
      </c>
      <c r="S18" s="1402">
        <f>'Balance Sheet and Cflow'!Q314/1000</f>
        <v>10.72467</v>
      </c>
      <c r="T18" s="1402">
        <f>'Balance Sheet and Cflow'!R314/1000</f>
        <v>13.128430665</v>
      </c>
      <c r="U18" s="1402">
        <f>'Balance Sheet and Cflow'!S314/1000</f>
        <v>13.128430665</v>
      </c>
      <c r="V18" s="1402">
        <f>'Balance Sheet and Cflow'!T314/1000</f>
        <v>13.071942865</v>
      </c>
      <c r="W18" s="1402">
        <f>'Balance Sheet and Cflow'!V314/1000</f>
        <v>17.105</v>
      </c>
      <c r="X18" s="1402">
        <f>'Balance Sheet and Cflow'!W314/1000</f>
        <v>17.105</v>
      </c>
      <c r="Y18" s="1402">
        <f>'Balance Sheet and Cflow'!X314/1000</f>
        <v>17.105</v>
      </c>
      <c r="Z18" s="1402">
        <f>'Balance Sheet and Cflow'!Y314/1000</f>
        <v>17.105</v>
      </c>
      <c r="AA18" s="1402">
        <f>'Balance Sheet and Cflow'!Z314/1000</f>
        <v>17.105</v>
      </c>
      <c r="AB18" s="1402">
        <f>'Balance Sheet and Cflow'!AA314/1000</f>
        <v>17.105</v>
      </c>
    </row>
    <row r="19" spans="2:28" s="1386" customFormat="1">
      <c r="B19" s="1403" t="s">
        <v>1481</v>
      </c>
      <c r="C19" s="1404" t="s">
        <v>591</v>
      </c>
      <c r="D19" s="1405"/>
      <c r="E19" s="1405">
        <f t="shared" ref="E19:AB19" si="9">E17*E18</f>
        <v>19001.2</v>
      </c>
      <c r="F19" s="1405">
        <f t="shared" si="9"/>
        <v>19001.2</v>
      </c>
      <c r="G19" s="1405">
        <f t="shared" si="9"/>
        <v>22801.439999999999</v>
      </c>
      <c r="H19" s="1405">
        <f t="shared" si="9"/>
        <v>22801.439999999999</v>
      </c>
      <c r="I19" s="1405">
        <f t="shared" si="9"/>
        <v>22801.439999999999</v>
      </c>
      <c r="J19" s="1405">
        <f t="shared" si="9"/>
        <v>22801.439999999999</v>
      </c>
      <c r="K19" s="1405">
        <f t="shared" si="9"/>
        <v>22801.439999999999</v>
      </c>
      <c r="L19" s="1405">
        <f t="shared" si="9"/>
        <v>22801.439999999999</v>
      </c>
      <c r="M19" s="1405">
        <f t="shared" si="9"/>
        <v>22889.88</v>
      </c>
      <c r="N19" s="1405">
        <f t="shared" si="9"/>
        <v>28643.84</v>
      </c>
      <c r="O19" s="1405">
        <f t="shared" si="9"/>
        <v>28643.84</v>
      </c>
      <c r="P19" s="1405">
        <f t="shared" si="9"/>
        <v>28643.732799999998</v>
      </c>
      <c r="Q19" s="1405">
        <f t="shared" si="9"/>
        <v>28643.732799999998</v>
      </c>
      <c r="R19" s="1405">
        <f t="shared" si="9"/>
        <v>28692.106800000001</v>
      </c>
      <c r="S19" s="1405">
        <f t="shared" si="9"/>
        <v>28742.115600000001</v>
      </c>
      <c r="T19" s="1405">
        <f t="shared" si="9"/>
        <v>35184.194182200001</v>
      </c>
      <c r="U19" s="1405">
        <f t="shared" si="9"/>
        <v>35184.194182200001</v>
      </c>
      <c r="V19" s="1405">
        <f t="shared" si="9"/>
        <v>35032.806878200005</v>
      </c>
      <c r="W19" s="1405">
        <f t="shared" si="9"/>
        <v>45841.4</v>
      </c>
      <c r="X19" s="1405">
        <f t="shared" si="9"/>
        <v>45841.4</v>
      </c>
      <c r="Y19" s="1405">
        <f t="shared" si="9"/>
        <v>45841.4</v>
      </c>
      <c r="Z19" s="1405">
        <f t="shared" si="9"/>
        <v>45841.4</v>
      </c>
      <c r="AA19" s="1405">
        <f t="shared" si="9"/>
        <v>45841.4</v>
      </c>
      <c r="AB19" s="1405">
        <f t="shared" si="9"/>
        <v>45841.4</v>
      </c>
    </row>
    <row r="20" spans="2:28" s="1380" customFormat="1">
      <c r="B20" s="1399" t="s">
        <v>1482</v>
      </c>
      <c r="C20" s="1400"/>
      <c r="D20" s="1406"/>
      <c r="E20" s="1406"/>
      <c r="F20" s="1406"/>
      <c r="G20" s="1406"/>
      <c r="H20" s="1406"/>
      <c r="I20" s="1406"/>
      <c r="J20" s="1406"/>
      <c r="K20" s="1406"/>
      <c r="L20" s="1406"/>
      <c r="M20" s="1406"/>
      <c r="N20" s="1406"/>
      <c r="O20" s="1406"/>
      <c r="P20" s="1406"/>
      <c r="Q20" s="1406"/>
      <c r="R20" s="1406"/>
      <c r="S20" s="1406"/>
      <c r="T20" s="1406"/>
      <c r="U20" s="1406"/>
      <c r="V20" s="1406"/>
      <c r="W20" s="1406"/>
      <c r="X20" s="1406"/>
      <c r="Y20" s="1406"/>
      <c r="Z20" s="1406"/>
      <c r="AA20" s="1406"/>
      <c r="AB20" s="1406"/>
    </row>
    <row r="21" spans="2:28" s="1386" customFormat="1">
      <c r="B21" s="1403" t="s">
        <v>1477</v>
      </c>
      <c r="C21" s="1404" t="s">
        <v>591</v>
      </c>
      <c r="D21" s="1405">
        <f t="shared" ref="D21:AB21" si="10">D19-D20</f>
        <v>0</v>
      </c>
      <c r="E21" s="1405">
        <f t="shared" si="10"/>
        <v>19001.2</v>
      </c>
      <c r="F21" s="1405">
        <f t="shared" si="10"/>
        <v>19001.2</v>
      </c>
      <c r="G21" s="1405">
        <f t="shared" si="10"/>
        <v>22801.439999999999</v>
      </c>
      <c r="H21" s="1405">
        <f t="shared" si="10"/>
        <v>22801.439999999999</v>
      </c>
      <c r="I21" s="1405">
        <f t="shared" si="10"/>
        <v>22801.439999999999</v>
      </c>
      <c r="J21" s="1405">
        <f t="shared" si="10"/>
        <v>22801.439999999999</v>
      </c>
      <c r="K21" s="1405">
        <f t="shared" si="10"/>
        <v>22801.439999999999</v>
      </c>
      <c r="L21" s="1405">
        <f t="shared" si="10"/>
        <v>22801.439999999999</v>
      </c>
      <c r="M21" s="1405">
        <f t="shared" si="10"/>
        <v>22889.88</v>
      </c>
      <c r="N21" s="1405">
        <f t="shared" si="10"/>
        <v>28643.84</v>
      </c>
      <c r="O21" s="1405">
        <f t="shared" si="10"/>
        <v>28643.84</v>
      </c>
      <c r="P21" s="1405">
        <f t="shared" si="10"/>
        <v>28643.732799999998</v>
      </c>
      <c r="Q21" s="1405">
        <f t="shared" si="10"/>
        <v>28643.732799999998</v>
      </c>
      <c r="R21" s="1405">
        <f t="shared" si="10"/>
        <v>28692.106800000001</v>
      </c>
      <c r="S21" s="1405">
        <f t="shared" si="10"/>
        <v>28742.115600000001</v>
      </c>
      <c r="T21" s="1405">
        <f t="shared" si="10"/>
        <v>35184.194182200001</v>
      </c>
      <c r="U21" s="1405">
        <f t="shared" si="10"/>
        <v>35184.194182200001</v>
      </c>
      <c r="V21" s="1405">
        <f t="shared" si="10"/>
        <v>35032.806878200005</v>
      </c>
      <c r="W21" s="1405">
        <f t="shared" si="10"/>
        <v>45841.4</v>
      </c>
      <c r="X21" s="1405">
        <f t="shared" si="10"/>
        <v>45841.4</v>
      </c>
      <c r="Y21" s="1405">
        <f t="shared" si="10"/>
        <v>45841.4</v>
      </c>
      <c r="Z21" s="1405">
        <f t="shared" si="10"/>
        <v>45841.4</v>
      </c>
      <c r="AA21" s="1405">
        <f t="shared" si="10"/>
        <v>45841.4</v>
      </c>
      <c r="AB21" s="1405">
        <f t="shared" si="10"/>
        <v>45841.4</v>
      </c>
    </row>
    <row r="22" spans="2:28" s="1380" customFormat="1">
      <c r="C22" s="1396"/>
    </row>
    <row r="23" spans="2:28" s="1380" customFormat="1">
      <c r="C23" s="1396"/>
    </row>
    <row r="24" spans="2:28" s="1386" customFormat="1">
      <c r="B24" s="1387" t="s">
        <v>252</v>
      </c>
      <c r="C24" s="1407"/>
      <c r="D24" s="1388">
        <f t="shared" ref="D24:AB24" si="11">D$2</f>
        <v>2006</v>
      </c>
      <c r="E24" s="1388">
        <f t="shared" si="11"/>
        <v>2007</v>
      </c>
      <c r="F24" s="1388">
        <f t="shared" si="11"/>
        <v>2008</v>
      </c>
      <c r="G24" s="1388">
        <f t="shared" si="11"/>
        <v>2009</v>
      </c>
      <c r="H24" s="1388">
        <f t="shared" si="11"/>
        <v>2010</v>
      </c>
      <c r="I24" s="1388">
        <f t="shared" si="11"/>
        <v>2011</v>
      </c>
      <c r="J24" s="1388">
        <f t="shared" si="11"/>
        <v>2012</v>
      </c>
      <c r="K24" s="1388">
        <f t="shared" si="11"/>
        <v>2013</v>
      </c>
      <c r="L24" s="1388">
        <f t="shared" si="11"/>
        <v>2014</v>
      </c>
      <c r="M24" s="1388">
        <f t="shared" si="11"/>
        <v>2015</v>
      </c>
      <c r="N24" s="1388">
        <f t="shared" si="11"/>
        <v>2016</v>
      </c>
      <c r="O24" s="1388">
        <f t="shared" si="11"/>
        <v>2017</v>
      </c>
      <c r="P24" s="1388">
        <f t="shared" si="11"/>
        <v>2018</v>
      </c>
      <c r="Q24" s="1388">
        <f t="shared" si="11"/>
        <v>2019</v>
      </c>
      <c r="R24" s="1388">
        <f t="shared" si="11"/>
        <v>2020</v>
      </c>
      <c r="S24" s="1388">
        <f t="shared" si="11"/>
        <v>2021</v>
      </c>
      <c r="T24" s="1388">
        <f t="shared" si="11"/>
        <v>2022</v>
      </c>
      <c r="U24" s="1388">
        <f t="shared" si="11"/>
        <v>2023</v>
      </c>
      <c r="V24" s="1388">
        <f t="shared" si="11"/>
        <v>2024</v>
      </c>
      <c r="W24" s="1388">
        <f t="shared" si="11"/>
        <v>2025</v>
      </c>
      <c r="X24" s="1388">
        <f t="shared" si="11"/>
        <v>2026</v>
      </c>
      <c r="Y24" s="1388">
        <f t="shared" si="11"/>
        <v>2027</v>
      </c>
      <c r="Z24" s="1388">
        <f t="shared" si="11"/>
        <v>2028</v>
      </c>
      <c r="AA24" s="1388">
        <f t="shared" si="11"/>
        <v>2029</v>
      </c>
      <c r="AB24" s="1388">
        <f t="shared" si="11"/>
        <v>2030</v>
      </c>
    </row>
    <row r="25" spans="2:28" s="1406" customFormat="1">
      <c r="B25" s="1408" t="s">
        <v>1483</v>
      </c>
      <c r="C25" s="1404" t="s">
        <v>591</v>
      </c>
      <c r="D25" s="1401"/>
      <c r="E25" s="1401">
        <f>'Balance Sheet and Cflow'!C49</f>
        <v>8857</v>
      </c>
      <c r="F25" s="1401">
        <f>'Balance Sheet and Cflow'!D49</f>
        <v>17770</v>
      </c>
      <c r="G25" s="1401">
        <f>'Balance Sheet and Cflow'!E49</f>
        <v>13015</v>
      </c>
      <c r="H25" s="1401">
        <f>'Balance Sheet and Cflow'!F49</f>
        <v>9812</v>
      </c>
      <c r="I25" s="1401">
        <f>'Balance Sheet and Cflow'!G49</f>
        <v>9728</v>
      </c>
      <c r="J25" s="1401">
        <f>'Balance Sheet and Cflow'!H49</f>
        <v>12727</v>
      </c>
      <c r="K25" s="1401">
        <f>'Balance Sheet and Cflow'!I49</f>
        <v>16504</v>
      </c>
      <c r="L25" s="1401">
        <f>'Balance Sheet and Cflow'!J49</f>
        <v>22678</v>
      </c>
      <c r="M25" s="1401">
        <f>'Balance Sheet and Cflow'!K49</f>
        <v>23641</v>
      </c>
      <c r="N25" s="1401">
        <f>'Balance Sheet and Cflow'!L49</f>
        <v>13271</v>
      </c>
      <c r="O25" s="1401">
        <f>'Balance Sheet and Cflow'!M49</f>
        <v>12296</v>
      </c>
      <c r="P25" s="1401">
        <f>'Balance Sheet and Cflow'!N49</f>
        <v>11516.451999999999</v>
      </c>
      <c r="Q25" s="1401">
        <f>'Balance Sheet and Cflow'!O49</f>
        <v>25325.744000000002</v>
      </c>
      <c r="R25" s="1401">
        <f>'Balance Sheet and Cflow'!P49</f>
        <v>30662.310000000005</v>
      </c>
      <c r="S25" s="1401">
        <f>'Balance Sheet and Cflow'!Q49</f>
        <v>32984.250999999997</v>
      </c>
      <c r="T25" s="1401">
        <f>'Balance Sheet and Cflow'!R49</f>
        <v>38775.660000000003</v>
      </c>
      <c r="U25" s="1401">
        <f>'Balance Sheet and Cflow'!S49</f>
        <v>44952.006999999998</v>
      </c>
      <c r="V25" s="1401">
        <f>'Balance Sheet and Cflow'!T49</f>
        <v>44701.377</v>
      </c>
      <c r="W25" s="1401">
        <f>'Balance Sheet and Cflow'!V49</f>
        <v>71285.34308628444</v>
      </c>
      <c r="X25" s="1401">
        <f>'Balance Sheet and Cflow'!W49</f>
        <v>68233.773515968904</v>
      </c>
      <c r="Y25" s="1401">
        <f>'Balance Sheet and Cflow'!X49</f>
        <v>65503.75152843594</v>
      </c>
      <c r="Z25" s="1401">
        <f>'Balance Sheet and Cflow'!Y49</f>
        <v>62610.894403656333</v>
      </c>
      <c r="AA25" s="1401">
        <f>'Balance Sheet and Cflow'!Z49</f>
        <v>59849.334246644234</v>
      </c>
      <c r="AB25" s="1401">
        <f>'Balance Sheet and Cflow'!AA49</f>
        <v>57400.204263660402</v>
      </c>
    </row>
    <row r="26" spans="2:28" s="1380" customFormat="1">
      <c r="B26" s="1399" t="s">
        <v>283</v>
      </c>
      <c r="C26" s="1400" t="s">
        <v>591</v>
      </c>
    </row>
    <row r="27" spans="2:28" s="1380" customFormat="1">
      <c r="B27" s="1399" t="s">
        <v>567</v>
      </c>
      <c r="C27" s="1400" t="s">
        <v>591</v>
      </c>
    </row>
    <row r="28" spans="2:28" s="1380" customFormat="1">
      <c r="B28" s="1399" t="s">
        <v>1484</v>
      </c>
      <c r="C28" s="1400" t="s">
        <v>591</v>
      </c>
      <c r="D28" s="1401"/>
      <c r="E28" s="1401"/>
      <c r="F28" s="1401"/>
      <c r="G28" s="1401"/>
      <c r="H28" s="1401"/>
      <c r="I28" s="1401"/>
      <c r="J28" s="1401"/>
      <c r="K28" s="1401"/>
      <c r="L28" s="1401"/>
      <c r="M28" s="1401"/>
      <c r="N28" s="1401"/>
      <c r="O28" s="1401"/>
      <c r="P28" s="1401"/>
      <c r="Q28" s="1401"/>
      <c r="R28" s="1401"/>
      <c r="S28" s="1401"/>
      <c r="T28" s="1401"/>
      <c r="U28" s="1401"/>
      <c r="V28" s="1401"/>
      <c r="W28" s="1401"/>
      <c r="X28" s="1401"/>
      <c r="Y28" s="1401"/>
      <c r="Z28" s="1401"/>
      <c r="AA28" s="1401"/>
      <c r="AB28" s="1401"/>
    </row>
    <row r="29" spans="2:28" s="1380" customFormat="1">
      <c r="B29" s="1399" t="s">
        <v>1485</v>
      </c>
      <c r="C29" s="1400" t="s">
        <v>591</v>
      </c>
    </row>
    <row r="30" spans="2:28" s="1380" customFormat="1">
      <c r="B30" s="1399" t="s">
        <v>1417</v>
      </c>
      <c r="C30" s="1400" t="s">
        <v>591</v>
      </c>
      <c r="E30" s="1401"/>
      <c r="F30" s="1401"/>
      <c r="G30" s="1401"/>
      <c r="H30" s="1401"/>
      <c r="I30" s="1401"/>
      <c r="J30" s="1401"/>
      <c r="K30" s="1401"/>
      <c r="L30" s="1401"/>
      <c r="M30" s="1401"/>
      <c r="N30" s="1401"/>
      <c r="O30" s="1401"/>
      <c r="P30" s="1401"/>
      <c r="Q30" s="1401"/>
      <c r="R30" s="1401"/>
      <c r="S30" s="1401"/>
      <c r="T30" s="1401"/>
      <c r="U30" s="1401"/>
      <c r="V30" s="1401">
        <v>0</v>
      </c>
      <c r="W30" s="1401">
        <f>V30+'Balance Sheet and Cflow'!V345</f>
        <v>0</v>
      </c>
      <c r="X30" s="1401">
        <f>W30+'Balance Sheet and Cflow'!W345</f>
        <v>0</v>
      </c>
      <c r="Y30" s="1401">
        <f>X30+'Balance Sheet and Cflow'!X345</f>
        <v>-1101.2652651680201</v>
      </c>
      <c r="Z30" s="1401">
        <f>Y30+'Balance Sheet and Cflow'!Y345</f>
        <v>-3281.2672989572602</v>
      </c>
      <c r="AA30" s="1401">
        <f>Z30+'Balance Sheet and Cflow'!Z345</f>
        <v>-6066.3001126373192</v>
      </c>
      <c r="AB30" s="1401">
        <f>AA30+'Balance Sheet and Cflow'!AA345</f>
        <v>-9416.9279113316679</v>
      </c>
    </row>
    <row r="31" spans="2:28" s="1386" customFormat="1">
      <c r="B31" s="1403" t="s">
        <v>1119</v>
      </c>
      <c r="C31" s="1404" t="s">
        <v>591</v>
      </c>
      <c r="D31" s="1405">
        <f t="shared" ref="D31:Z31" si="12">D21+SUM(D25:D30)</f>
        <v>0</v>
      </c>
      <c r="E31" s="1405">
        <f t="shared" si="12"/>
        <v>27858.2</v>
      </c>
      <c r="F31" s="1405">
        <f t="shared" si="12"/>
        <v>36771.199999999997</v>
      </c>
      <c r="G31" s="1405">
        <f t="shared" si="12"/>
        <v>35816.44</v>
      </c>
      <c r="H31" s="1405">
        <f t="shared" si="12"/>
        <v>32613.439999999999</v>
      </c>
      <c r="I31" s="1405">
        <f t="shared" si="12"/>
        <v>32529.439999999999</v>
      </c>
      <c r="J31" s="1405">
        <f t="shared" si="12"/>
        <v>35528.44</v>
      </c>
      <c r="K31" s="1405">
        <f t="shared" si="12"/>
        <v>39305.440000000002</v>
      </c>
      <c r="L31" s="1405">
        <f t="shared" si="12"/>
        <v>45479.44</v>
      </c>
      <c r="M31" s="1405">
        <f t="shared" si="12"/>
        <v>46530.880000000005</v>
      </c>
      <c r="N31" s="1405">
        <f t="shared" si="12"/>
        <v>41914.839999999997</v>
      </c>
      <c r="O31" s="1405">
        <f t="shared" si="12"/>
        <v>40939.839999999997</v>
      </c>
      <c r="P31" s="1405">
        <f t="shared" si="12"/>
        <v>40160.184799999995</v>
      </c>
      <c r="Q31" s="1405">
        <f t="shared" si="12"/>
        <v>53969.476800000004</v>
      </c>
      <c r="R31" s="1405">
        <f t="shared" si="12"/>
        <v>59354.416800000006</v>
      </c>
      <c r="S31" s="1405">
        <f t="shared" si="12"/>
        <v>61726.366599999994</v>
      </c>
      <c r="T31" s="1405">
        <f t="shared" si="12"/>
        <v>73959.854182200012</v>
      </c>
      <c r="U31" s="1405">
        <f t="shared" si="12"/>
        <v>80136.201182199991</v>
      </c>
      <c r="V31" s="1405">
        <f t="shared" si="12"/>
        <v>79734.183878200012</v>
      </c>
      <c r="W31" s="1405">
        <f t="shared" si="12"/>
        <v>117126.74308628443</v>
      </c>
      <c r="X31" s="1405">
        <f t="shared" si="12"/>
        <v>114075.1735159689</v>
      </c>
      <c r="Y31" s="1405">
        <f t="shared" si="12"/>
        <v>110243.88626326792</v>
      </c>
      <c r="Z31" s="1405">
        <f t="shared" si="12"/>
        <v>105171.02710469908</v>
      </c>
      <c r="AA31" s="1405">
        <f t="shared" ref="AA31:AB31" si="13">AA21+SUM(AA25:AA30)</f>
        <v>99624.434134006908</v>
      </c>
      <c r="AB31" s="1405">
        <f t="shared" si="13"/>
        <v>93824.676352328737</v>
      </c>
    </row>
    <row r="32" spans="2:28" s="1380" customFormat="1">
      <c r="B32" s="1389"/>
      <c r="C32" s="1409"/>
    </row>
    <row r="33" spans="1:28" s="1380" customFormat="1">
      <c r="B33" s="1389" t="s">
        <v>1477</v>
      </c>
      <c r="C33" s="1409"/>
    </row>
    <row r="34" spans="1:28" s="1380" customFormat="1">
      <c r="B34" s="1389" t="s">
        <v>1486</v>
      </c>
      <c r="C34" s="1409"/>
    </row>
    <row r="35" spans="1:28" s="1380" customFormat="1">
      <c r="B35" s="1389" t="s">
        <v>1487</v>
      </c>
      <c r="C35" s="1409"/>
    </row>
    <row r="36" spans="1:28" s="1380" customFormat="1">
      <c r="B36" s="1403" t="s">
        <v>1488</v>
      </c>
      <c r="C36" s="1404"/>
      <c r="D36" s="1410"/>
      <c r="E36" s="1410"/>
      <c r="F36" s="1410"/>
      <c r="G36" s="1410"/>
      <c r="H36" s="1410"/>
      <c r="I36" s="1410"/>
      <c r="J36" s="1410"/>
      <c r="K36" s="1410"/>
      <c r="L36" s="1410"/>
      <c r="M36" s="1410"/>
      <c r="N36" s="1410"/>
      <c r="O36" s="1410"/>
      <c r="P36" s="1410"/>
      <c r="Q36" s="1410"/>
      <c r="R36" s="1410"/>
      <c r="S36" s="1410"/>
      <c r="T36" s="1410"/>
      <c r="U36" s="1410"/>
      <c r="V36" s="1410"/>
      <c r="W36" s="1410"/>
      <c r="X36" s="1410"/>
      <c r="Y36" s="1410"/>
      <c r="Z36" s="1410"/>
      <c r="AA36" s="1410"/>
      <c r="AB36" s="1410"/>
    </row>
    <row r="37" spans="1:28" s="1380" customFormat="1">
      <c r="C37" s="1396"/>
    </row>
    <row r="38" spans="1:28" s="1380" customFormat="1">
      <c r="A38" s="1380" t="s">
        <v>615</v>
      </c>
      <c r="B38" s="1388" t="s">
        <v>1430</v>
      </c>
      <c r="C38" s="1411"/>
      <c r="D38" s="1388">
        <f t="shared" ref="D38:AB38" si="14">D$2</f>
        <v>2006</v>
      </c>
      <c r="E38" s="1388">
        <f t="shared" si="14"/>
        <v>2007</v>
      </c>
      <c r="F38" s="1388">
        <f t="shared" si="14"/>
        <v>2008</v>
      </c>
      <c r="G38" s="1388">
        <f t="shared" si="14"/>
        <v>2009</v>
      </c>
      <c r="H38" s="1388">
        <f t="shared" si="14"/>
        <v>2010</v>
      </c>
      <c r="I38" s="1388">
        <f t="shared" si="14"/>
        <v>2011</v>
      </c>
      <c r="J38" s="1388">
        <f t="shared" si="14"/>
        <v>2012</v>
      </c>
      <c r="K38" s="1388">
        <f t="shared" si="14"/>
        <v>2013</v>
      </c>
      <c r="L38" s="1388">
        <f t="shared" si="14"/>
        <v>2014</v>
      </c>
      <c r="M38" s="1388">
        <f t="shared" si="14"/>
        <v>2015</v>
      </c>
      <c r="N38" s="1388">
        <f t="shared" si="14"/>
        <v>2016</v>
      </c>
      <c r="O38" s="1388">
        <f t="shared" si="14"/>
        <v>2017</v>
      </c>
      <c r="P38" s="1388">
        <f t="shared" si="14"/>
        <v>2018</v>
      </c>
      <c r="Q38" s="1388">
        <f t="shared" si="14"/>
        <v>2019</v>
      </c>
      <c r="R38" s="1388">
        <f t="shared" si="14"/>
        <v>2020</v>
      </c>
      <c r="S38" s="1388">
        <f t="shared" si="14"/>
        <v>2021</v>
      </c>
      <c r="T38" s="1388">
        <f t="shared" si="14"/>
        <v>2022</v>
      </c>
      <c r="U38" s="1388">
        <f t="shared" si="14"/>
        <v>2023</v>
      </c>
      <c r="V38" s="1388">
        <f t="shared" si="14"/>
        <v>2024</v>
      </c>
      <c r="W38" s="1388">
        <f t="shared" si="14"/>
        <v>2025</v>
      </c>
      <c r="X38" s="1388">
        <f t="shared" si="14"/>
        <v>2026</v>
      </c>
      <c r="Y38" s="1388">
        <f t="shared" si="14"/>
        <v>2027</v>
      </c>
      <c r="Z38" s="1388">
        <f t="shared" si="14"/>
        <v>2028</v>
      </c>
      <c r="AA38" s="1388">
        <f t="shared" si="14"/>
        <v>2029</v>
      </c>
      <c r="AB38" s="1388">
        <f t="shared" si="14"/>
        <v>2030</v>
      </c>
    </row>
    <row r="39" spans="1:28" s="1380" customFormat="1">
      <c r="B39" s="1380" t="s">
        <v>687</v>
      </c>
      <c r="C39" s="1396" t="s">
        <v>591</v>
      </c>
      <c r="D39" s="1406"/>
      <c r="E39" s="1401">
        <f>'Balance Sheet and Cflow'!C416</f>
        <v>7990</v>
      </c>
      <c r="F39" s="1401">
        <f>'Balance Sheet and Cflow'!D416</f>
        <v>12061.33</v>
      </c>
      <c r="G39" s="1401">
        <f>'Balance Sheet and Cflow'!E416</f>
        <v>13707</v>
      </c>
      <c r="H39" s="1401">
        <f>'Balance Sheet and Cflow'!F416</f>
        <v>17460</v>
      </c>
      <c r="I39" s="1401">
        <f>'Balance Sheet and Cflow'!G416</f>
        <v>18262</v>
      </c>
      <c r="J39" s="1401">
        <f>'Balance Sheet and Cflow'!H416</f>
        <v>20969</v>
      </c>
      <c r="K39" s="1401">
        <f>'Balance Sheet and Cflow'!I416</f>
        <v>21266</v>
      </c>
      <c r="L39" s="1401">
        <f>'Balance Sheet and Cflow'!J416</f>
        <v>23460</v>
      </c>
      <c r="M39" s="1401">
        <f>'Balance Sheet and Cflow'!K416</f>
        <v>22895</v>
      </c>
      <c r="N39" s="1401">
        <f>'Balance Sheet and Cflow'!L416</f>
        <v>21341</v>
      </c>
      <c r="O39" s="1401">
        <f>'Balance Sheet and Cflow'!M416</f>
        <v>22901</v>
      </c>
      <c r="P39" s="1401">
        <f>'Balance Sheet and Cflow'!N416</f>
        <v>22938.811999999998</v>
      </c>
      <c r="Q39" s="1401">
        <f>'Balance Sheet and Cflow'!O416</f>
        <v>25132.851999999999</v>
      </c>
      <c r="R39" s="1401">
        <f>'Balance Sheet and Cflow'!P416</f>
        <v>26009.095000000001</v>
      </c>
      <c r="S39" s="1401">
        <f>'Balance Sheet and Cflow'!Q416</f>
        <v>26754.050000000003</v>
      </c>
      <c r="T39" s="1401">
        <f>'Balance Sheet and Cflow'!R416</f>
        <v>29141.994000000002</v>
      </c>
      <c r="U39" s="1401">
        <f>'Balance Sheet and Cflow'!S416</f>
        <v>32322.651000000005</v>
      </c>
      <c r="V39" s="1401">
        <f>'Balance Sheet and Cflow'!T416</f>
        <v>34391.597000000002</v>
      </c>
      <c r="W39" s="1401">
        <f>'Balance Sheet and Cflow'!V416</f>
        <v>42474.105831966364</v>
      </c>
      <c r="X39" s="1401">
        <f>'Balance Sheet and Cflow'!W416</f>
        <v>47281.52542977938</v>
      </c>
      <c r="Y39" s="1401">
        <f>'Balance Sheet and Cflow'!X416</f>
        <v>49342.820741226758</v>
      </c>
      <c r="Z39" s="1401">
        <f>'Balance Sheet and Cflow'!Y416</f>
        <v>51491.024704882409</v>
      </c>
      <c r="AA39" s="1401">
        <f>'Balance Sheet and Cflow'!Z416</f>
        <v>53729.794804044934</v>
      </c>
      <c r="AB39" s="1401">
        <f>'Balance Sheet and Cflow'!AA416</f>
        <v>56062.943842146051</v>
      </c>
    </row>
    <row r="40" spans="1:28" s="1380" customFormat="1">
      <c r="B40" s="1380" t="s">
        <v>77</v>
      </c>
      <c r="C40" s="1396" t="s">
        <v>591</v>
      </c>
      <c r="D40" s="1406"/>
      <c r="E40" s="1401">
        <f>'Balance Sheet and Cflow'!C426</f>
        <v>0</v>
      </c>
      <c r="F40" s="1401">
        <f>'Balance Sheet and Cflow'!D426</f>
        <v>0</v>
      </c>
      <c r="G40" s="1401">
        <f>'Balance Sheet and Cflow'!E426</f>
        <v>2464</v>
      </c>
      <c r="H40" s="1401">
        <f>'Balance Sheet and Cflow'!F426</f>
        <v>5165</v>
      </c>
      <c r="I40" s="1401">
        <f>'Balance Sheet and Cflow'!G426</f>
        <v>4665</v>
      </c>
      <c r="J40" s="1401">
        <f>'Balance Sheet and Cflow'!H426</f>
        <v>4679</v>
      </c>
      <c r="K40" s="1401">
        <f>'Balance Sheet and Cflow'!I426</f>
        <v>2900</v>
      </c>
      <c r="L40" s="1401">
        <f>'Balance Sheet and Cflow'!J426</f>
        <v>1665</v>
      </c>
      <c r="M40" s="1401">
        <f>'Balance Sheet and Cflow'!K426</f>
        <v>1258</v>
      </c>
      <c r="N40" s="1401">
        <f>'Balance Sheet and Cflow'!L426</f>
        <v>11</v>
      </c>
      <c r="O40" s="1401">
        <f>'Balance Sheet and Cflow'!M426</f>
        <v>1370</v>
      </c>
      <c r="P40" s="1401">
        <f>'Balance Sheet and Cflow'!N426</f>
        <v>-3108</v>
      </c>
      <c r="Q40" s="1401">
        <f>'Balance Sheet and Cflow'!O426</f>
        <v>2603</v>
      </c>
      <c r="R40" s="1401">
        <f>'Balance Sheet and Cflow'!P426</f>
        <v>2632.085</v>
      </c>
      <c r="S40" s="1401">
        <f>'Balance Sheet and Cflow'!Q426</f>
        <v>3330.7729999999992</v>
      </c>
      <c r="T40" s="1401">
        <f>'Balance Sheet and Cflow'!R426</f>
        <v>3670.7039999999997</v>
      </c>
      <c r="U40" s="1401">
        <f>'Balance Sheet and Cflow'!S426</f>
        <v>4537.2420000000002</v>
      </c>
      <c r="V40" s="1401">
        <f>'Balance Sheet and Cflow'!T426</f>
        <v>5804.6650000000009</v>
      </c>
      <c r="W40" s="1401">
        <f>'Balance Sheet and Cflow'!V426</f>
        <v>2084.4562465740128</v>
      </c>
      <c r="X40" s="1401">
        <f>'Balance Sheet and Cflow'!W426</f>
        <v>5069.9778078283634</v>
      </c>
      <c r="Y40" s="1401">
        <f>'Balance Sheet and Cflow'!X426</f>
        <v>7708.9397968255289</v>
      </c>
      <c r="Z40" s="1401">
        <f>'Balance Sheet and Cflow'!Y426</f>
        <v>10361.079285377851</v>
      </c>
      <c r="AA40" s="1401">
        <f>'Balance Sheet and Cflow'!Z426</f>
        <v>11772.182043895984</v>
      </c>
      <c r="AB40" s="1401">
        <f>'Balance Sheet and Cflow'!AA426</f>
        <v>13080.317106786435</v>
      </c>
    </row>
    <row r="41" spans="1:28" s="1380" customFormat="1">
      <c r="B41" s="1380" t="s">
        <v>2</v>
      </c>
      <c r="C41" s="1396" t="s">
        <v>591</v>
      </c>
      <c r="D41" s="1406"/>
      <c r="E41" s="1401">
        <f>'Balance Sheet and Cflow'!C418</f>
        <v>3509</v>
      </c>
      <c r="F41" s="1401">
        <f>'Balance Sheet and Cflow'!D418</f>
        <v>5132</v>
      </c>
      <c r="G41" s="1401">
        <f>'Balance Sheet and Cflow'!E418</f>
        <v>6205</v>
      </c>
      <c r="H41" s="1401">
        <f>'Balance Sheet and Cflow'!F418</f>
        <v>9287</v>
      </c>
      <c r="I41" s="1401">
        <f>'Balance Sheet and Cflow'!G418</f>
        <v>9348</v>
      </c>
      <c r="J41" s="1401">
        <f>'Balance Sheet and Cflow'!H418</f>
        <v>9745</v>
      </c>
      <c r="K41" s="1401">
        <f>'Balance Sheet and Cflow'!I418</f>
        <v>8659</v>
      </c>
      <c r="L41" s="1401">
        <f>'Balance Sheet and Cflow'!J418</f>
        <v>8623</v>
      </c>
      <c r="M41" s="1401">
        <f>'Balance Sheet and Cflow'!K418</f>
        <v>8393</v>
      </c>
      <c r="N41" s="1401">
        <f>'Balance Sheet and Cflow'!L418</f>
        <v>8057</v>
      </c>
      <c r="O41" s="1401">
        <f>'Balance Sheet and Cflow'!M418</f>
        <v>8321</v>
      </c>
      <c r="P41" s="1401">
        <f>'Balance Sheet and Cflow'!N418</f>
        <v>8513</v>
      </c>
      <c r="Q41" s="1401">
        <f>'Balance Sheet and Cflow'!O418</f>
        <v>9966</v>
      </c>
      <c r="R41" s="1401">
        <f>'Balance Sheet and Cflow'!P418</f>
        <v>13060</v>
      </c>
      <c r="S41" s="1401">
        <f>'Balance Sheet and Cflow'!Q418</f>
        <v>13287</v>
      </c>
      <c r="T41" s="1401">
        <f>'Balance Sheet and Cflow'!R418</f>
        <v>14235</v>
      </c>
      <c r="U41" s="1401">
        <f>'Balance Sheet and Cflow'!S418</f>
        <v>15885</v>
      </c>
      <c r="V41" s="1401">
        <f>'Balance Sheet and Cflow'!T418</f>
        <v>17879</v>
      </c>
      <c r="W41" s="1401">
        <f>'Balance Sheet and Cflow'!V418</f>
        <v>18547.777952688124</v>
      </c>
      <c r="X41" s="1401">
        <f>'Balance Sheet and Cflow'!W418</f>
        <v>22026.102884302556</v>
      </c>
      <c r="Y41" s="1401">
        <f>'Balance Sheet and Cflow'!X418</f>
        <v>24266.810115801967</v>
      </c>
      <c r="Z41" s="1401">
        <f>'Balance Sheet and Cflow'!Y418</f>
        <v>26620.859772424206</v>
      </c>
      <c r="AA41" s="1401">
        <f>'Balance Sheet and Cflow'!Z418</f>
        <v>27939.493298103363</v>
      </c>
      <c r="AB41" s="1401">
        <f>'Balance Sheet and Cflow'!AA418</f>
        <v>29320.919629442382</v>
      </c>
    </row>
    <row r="42" spans="1:28" s="1380" customFormat="1">
      <c r="B42" s="1380" t="s">
        <v>111</v>
      </c>
      <c r="C42" s="1396" t="s">
        <v>591</v>
      </c>
      <c r="D42" s="1406"/>
      <c r="E42" s="1401">
        <f>'Balance Sheet and Cflow'!C428</f>
        <v>252</v>
      </c>
      <c r="F42" s="1401">
        <f>'Balance Sheet and Cflow'!D428</f>
        <v>-14</v>
      </c>
      <c r="G42" s="1401">
        <f>'Balance Sheet and Cflow'!E428</f>
        <v>1709.5000000000002</v>
      </c>
      <c r="H42" s="1401">
        <f>'Balance Sheet and Cflow'!F428</f>
        <v>2892</v>
      </c>
      <c r="I42" s="1401">
        <f>'Balance Sheet and Cflow'!G428</f>
        <v>2830</v>
      </c>
      <c r="J42" s="1401">
        <f>'Balance Sheet and Cflow'!H428</f>
        <v>2717</v>
      </c>
      <c r="K42" s="1401">
        <f>'Balance Sheet and Cflow'!I428</f>
        <v>1032</v>
      </c>
      <c r="L42" s="1401">
        <f>'Balance Sheet and Cflow'!J428</f>
        <v>-891</v>
      </c>
      <c r="M42" s="1401">
        <f>'Balance Sheet and Cflow'!K428</f>
        <v>-25</v>
      </c>
      <c r="N42" s="1401">
        <f>'Balance Sheet and Cflow'!L428</f>
        <v>374</v>
      </c>
      <c r="O42" s="1401">
        <f>'Balance Sheet and Cflow'!M428</f>
        <v>361</v>
      </c>
      <c r="P42" s="1401">
        <f>'Balance Sheet and Cflow'!N428</f>
        <v>-3294</v>
      </c>
      <c r="Q42" s="1401">
        <f>'Balance Sheet and Cflow'!O428</f>
        <v>711</v>
      </c>
      <c r="R42" s="1401">
        <f>'Balance Sheet and Cflow'!P428</f>
        <v>-1654.7730000000001</v>
      </c>
      <c r="S42" s="1401">
        <f>'Balance Sheet and Cflow'!Q428</f>
        <v>1287.8070000000002</v>
      </c>
      <c r="T42" s="1401">
        <f>'Balance Sheet and Cflow'!R428</f>
        <v>1121.1880000000001</v>
      </c>
      <c r="U42" s="1401">
        <f>'Balance Sheet and Cflow'!S428</f>
        <v>1284.4479999999999</v>
      </c>
      <c r="V42" s="1401">
        <f>'Balance Sheet and Cflow'!T428</f>
        <v>1847.6309999999999</v>
      </c>
      <c r="W42" s="1401">
        <f>'Balance Sheet and Cflow'!V428</f>
        <v>-2284.2333262787533</v>
      </c>
      <c r="X42" s="1401">
        <f>'Balance Sheet and Cflow'!W428</f>
        <v>736.32068869677698</v>
      </c>
      <c r="Y42" s="1401">
        <f>'Balance Sheet and Cflow'!X428</f>
        <v>2202.5305303360401</v>
      </c>
      <c r="Z42" s="1401">
        <f>'Balance Sheet and Cflow'!Y428</f>
        <v>4360.0040675784803</v>
      </c>
      <c r="AA42" s="1401">
        <f>'Balance Sheet and Cflow'!Z428</f>
        <v>5570.065627360118</v>
      </c>
      <c r="AB42" s="1401">
        <f>'Balance Sheet and Cflow'!AA428</f>
        <v>6701.2555973886965</v>
      </c>
    </row>
    <row r="43" spans="1:28" s="1380" customFormat="1">
      <c r="B43" s="1380" t="s">
        <v>248</v>
      </c>
      <c r="C43" s="1396" t="s">
        <v>591</v>
      </c>
      <c r="D43" s="1406"/>
      <c r="E43" s="1401">
        <f>'Balance Sheet and Cflow'!C430</f>
        <v>6868</v>
      </c>
      <c r="F43" s="1401">
        <f>'Balance Sheet and Cflow'!D430</f>
        <v>11382</v>
      </c>
      <c r="G43" s="1401">
        <f>'Balance Sheet and Cflow'!E430</f>
        <v>5282.7</v>
      </c>
      <c r="H43" s="1401">
        <f>'Balance Sheet and Cflow'!F430</f>
        <v>4848</v>
      </c>
      <c r="I43" s="1401">
        <f>'Balance Sheet and Cflow'!G430</f>
        <v>6522</v>
      </c>
      <c r="J43" s="1401">
        <f>'Balance Sheet and Cflow'!H430</f>
        <v>10176</v>
      </c>
      <c r="K43" s="1401">
        <f>'Balance Sheet and Cflow'!I430</f>
        <v>7394</v>
      </c>
      <c r="L43" s="1401">
        <f>'Balance Sheet and Cflow'!J430</f>
        <v>7095</v>
      </c>
      <c r="M43" s="1401">
        <f>'Balance Sheet and Cflow'!K430</f>
        <v>4146</v>
      </c>
      <c r="N43" s="1401">
        <f>'Balance Sheet and Cflow'!L430</f>
        <v>5584</v>
      </c>
      <c r="O43" s="1401">
        <f>'Balance Sheet and Cflow'!M430</f>
        <v>6697</v>
      </c>
      <c r="P43" s="1401">
        <f>'Balance Sheet and Cflow'!N430</f>
        <v>6273.7529999999997</v>
      </c>
      <c r="Q43" s="1401">
        <f>'Balance Sheet and Cflow'!O430</f>
        <v>9096.1370000000006</v>
      </c>
      <c r="R43" s="1401">
        <f>'Balance Sheet and Cflow'!P430</f>
        <v>6155</v>
      </c>
      <c r="S43" s="1401">
        <f>'Balance Sheet and Cflow'!Q430</f>
        <v>9921</v>
      </c>
      <c r="T43" s="1401">
        <f>'Balance Sheet and Cflow'!R430</f>
        <v>9063</v>
      </c>
      <c r="U43" s="1401">
        <f>'Balance Sheet and Cflow'!S430</f>
        <v>7158</v>
      </c>
      <c r="V43" s="1401">
        <f>'Balance Sheet and Cflow'!T430</f>
        <v>7382</v>
      </c>
      <c r="W43" s="1401">
        <f>'Balance Sheet and Cflow'!V430</f>
        <v>20387.570799343855</v>
      </c>
      <c r="X43" s="1401">
        <f>'Balance Sheet and Cflow'!W430</f>
        <v>10401.935594551464</v>
      </c>
      <c r="Y43" s="1401">
        <f>'Balance Sheet and Cflow'!X430</f>
        <v>10361.99235565762</v>
      </c>
      <c r="Z43" s="1401">
        <f>'Balance Sheet and Cflow'!Y430</f>
        <v>10813.115188025306</v>
      </c>
      <c r="AA43" s="1401">
        <f>'Balance Sheet and Cflow'!Z430</f>
        <v>11283.256908849437</v>
      </c>
      <c r="AB43" s="1401">
        <f>'Balance Sheet and Cflow'!AA430</f>
        <v>12053.5329260614</v>
      </c>
    </row>
    <row r="44" spans="1:28" s="1380" customFormat="1">
      <c r="B44" s="1380" t="s">
        <v>1489</v>
      </c>
      <c r="C44" s="1396" t="s">
        <v>537</v>
      </c>
      <c r="D44" s="1406"/>
      <c r="E44" s="1406"/>
      <c r="F44" s="1406"/>
      <c r="G44" s="1406"/>
      <c r="H44" s="1406"/>
      <c r="I44" s="1406"/>
      <c r="J44" s="1406"/>
      <c r="K44" s="1406"/>
      <c r="L44" s="1406"/>
      <c r="M44" s="1406"/>
      <c r="N44" s="1406"/>
      <c r="O44" s="1406"/>
      <c r="P44" s="1406"/>
      <c r="Q44" s="1406"/>
      <c r="R44" s="1406"/>
      <c r="S44" s="1406"/>
      <c r="T44" s="1406"/>
      <c r="U44" s="1406"/>
      <c r="V44" s="1406"/>
      <c r="W44" s="1406"/>
      <c r="X44" s="1406"/>
      <c r="Y44" s="1406"/>
      <c r="Z44" s="1406"/>
      <c r="AA44" s="1406"/>
      <c r="AB44" s="1406"/>
    </row>
    <row r="45" spans="1:28" s="1380" customFormat="1">
      <c r="B45" s="1380" t="s">
        <v>1267</v>
      </c>
      <c r="C45" s="1396" t="s">
        <v>591</v>
      </c>
      <c r="D45" s="1406"/>
      <c r="E45" s="1401">
        <f>'Balance Sheet and Cflow'!C390</f>
        <v>-4002</v>
      </c>
      <c r="F45" s="1401">
        <f>'Balance Sheet and Cflow'!D390</f>
        <v>-7344</v>
      </c>
      <c r="G45" s="1401">
        <f>'Balance Sheet and Cflow'!E390</f>
        <v>-295.99999999999977</v>
      </c>
      <c r="H45" s="1401">
        <f>'Balance Sheet and Cflow'!F390</f>
        <v>2623</v>
      </c>
      <c r="I45" s="1401">
        <f>'Balance Sheet and Cflow'!G390</f>
        <v>2077</v>
      </c>
      <c r="J45" s="1401">
        <f>'Balance Sheet and Cflow'!H390</f>
        <v>-2729</v>
      </c>
      <c r="K45" s="1401">
        <f>'Balance Sheet and Cflow'!I390</f>
        <v>-456</v>
      </c>
      <c r="L45" s="1401">
        <f>'Balance Sheet and Cflow'!J390</f>
        <v>11491</v>
      </c>
      <c r="M45" s="1401">
        <f>'Balance Sheet and Cflow'!K390</f>
        <v>-7012</v>
      </c>
      <c r="N45" s="1401">
        <f>'Balance Sheet and Cflow'!L390</f>
        <v>1425</v>
      </c>
      <c r="O45" s="1401">
        <f>'Balance Sheet and Cflow'!M390</f>
        <v>2636</v>
      </c>
      <c r="P45" s="1401">
        <f>'Balance Sheet and Cflow'!N390</f>
        <v>2936.4439999999995</v>
      </c>
      <c r="Q45" s="1401">
        <f>'Balance Sheet and Cflow'!O390</f>
        <v>-2919.9019999999996</v>
      </c>
      <c r="R45" s="1401">
        <f>'Balance Sheet and Cflow'!P390</f>
        <v>4113.9030000000002</v>
      </c>
      <c r="S45" s="1401">
        <f>'Balance Sheet and Cflow'!Q390</f>
        <v>-130.00200000000177</v>
      </c>
      <c r="T45" s="1401">
        <f>'Balance Sheet and Cflow'!R390</f>
        <v>-1563.7849999999994</v>
      </c>
      <c r="U45" s="1401">
        <f>'Balance Sheet and Cflow'!S390</f>
        <v>-1565.815999999998</v>
      </c>
      <c r="V45" s="1401">
        <f>'Balance Sheet and Cflow'!T390</f>
        <v>382.18099999999868</v>
      </c>
      <c r="W45" s="1401">
        <f>'Balance Sheet and Cflow'!V390</f>
        <v>-9591.9753277703021</v>
      </c>
      <c r="X45" s="1401">
        <f>'Balance Sheet and Cflow'!W390</f>
        <v>306.31330466965107</v>
      </c>
      <c r="Y45" s="1401">
        <f>'Balance Sheet and Cflow'!X390</f>
        <v>966.34821841220207</v>
      </c>
      <c r="Z45" s="1401">
        <f>'Balance Sheet and Cflow'!Y390</f>
        <v>2083.1912722071611</v>
      </c>
      <c r="AA45" s="1401">
        <f>'Balance Sheet and Cflow'!Z390</f>
        <v>2426.9377883157958</v>
      </c>
      <c r="AB45" s="1401">
        <f>'Balance Sheet and Cflow'!AA390</f>
        <v>2544.6354806479403</v>
      </c>
    </row>
    <row r="46" spans="1:28" s="1380" customFormat="1">
      <c r="B46" s="1380" t="s">
        <v>1490</v>
      </c>
      <c r="C46" s="1396" t="s">
        <v>1067</v>
      </c>
      <c r="D46" s="1214"/>
      <c r="E46" s="1214"/>
      <c r="F46" s="1214"/>
      <c r="G46" s="1214"/>
      <c r="H46" s="1214"/>
      <c r="I46" s="1214"/>
      <c r="J46" s="1214"/>
      <c r="K46" s="1214"/>
      <c r="L46" s="1214"/>
      <c r="M46" s="1214"/>
      <c r="N46" s="1214"/>
      <c r="O46" s="1214"/>
      <c r="P46" s="1214"/>
      <c r="Q46" s="1214"/>
      <c r="R46" s="1214"/>
      <c r="S46" s="1214"/>
      <c r="T46" s="1214"/>
      <c r="U46" s="1214"/>
      <c r="V46" s="1214"/>
      <c r="W46" s="1214"/>
      <c r="X46" s="1214"/>
      <c r="Y46" s="1214"/>
      <c r="Z46" s="1214"/>
      <c r="AA46" s="1214"/>
      <c r="AB46" s="1214"/>
    </row>
    <row r="47" spans="1:28" s="1380" customFormat="1">
      <c r="C47" s="1396"/>
    </row>
    <row r="48" spans="1:28" s="1380" customFormat="1">
      <c r="A48" s="1380" t="s">
        <v>615</v>
      </c>
      <c r="B48" s="1388" t="s">
        <v>1491</v>
      </c>
      <c r="C48" s="1412"/>
      <c r="D48" s="1388">
        <f t="shared" ref="D48:AB48" si="15">D$2</f>
        <v>2006</v>
      </c>
      <c r="E48" s="1388">
        <f t="shared" si="15"/>
        <v>2007</v>
      </c>
      <c r="F48" s="1388">
        <f t="shared" si="15"/>
        <v>2008</v>
      </c>
      <c r="G48" s="1388">
        <f t="shared" si="15"/>
        <v>2009</v>
      </c>
      <c r="H48" s="1388">
        <f t="shared" si="15"/>
        <v>2010</v>
      </c>
      <c r="I48" s="1388">
        <f t="shared" si="15"/>
        <v>2011</v>
      </c>
      <c r="J48" s="1388">
        <f t="shared" si="15"/>
        <v>2012</v>
      </c>
      <c r="K48" s="1388">
        <f t="shared" si="15"/>
        <v>2013</v>
      </c>
      <c r="L48" s="1388">
        <f t="shared" si="15"/>
        <v>2014</v>
      </c>
      <c r="M48" s="1388">
        <f t="shared" si="15"/>
        <v>2015</v>
      </c>
      <c r="N48" s="1388">
        <f t="shared" si="15"/>
        <v>2016</v>
      </c>
      <c r="O48" s="1388">
        <f t="shared" si="15"/>
        <v>2017</v>
      </c>
      <c r="P48" s="1388">
        <f t="shared" si="15"/>
        <v>2018</v>
      </c>
      <c r="Q48" s="1388">
        <f t="shared" si="15"/>
        <v>2019</v>
      </c>
      <c r="R48" s="1388">
        <f t="shared" si="15"/>
        <v>2020</v>
      </c>
      <c r="S48" s="1388">
        <f t="shared" si="15"/>
        <v>2021</v>
      </c>
      <c r="T48" s="1388">
        <f t="shared" si="15"/>
        <v>2022</v>
      </c>
      <c r="U48" s="1388">
        <f t="shared" si="15"/>
        <v>2023</v>
      </c>
      <c r="V48" s="1388">
        <f t="shared" si="15"/>
        <v>2024</v>
      </c>
      <c r="W48" s="1388">
        <f t="shared" si="15"/>
        <v>2025</v>
      </c>
      <c r="X48" s="1388">
        <f t="shared" si="15"/>
        <v>2026</v>
      </c>
      <c r="Y48" s="1388">
        <f t="shared" si="15"/>
        <v>2027</v>
      </c>
      <c r="Z48" s="1388">
        <f t="shared" si="15"/>
        <v>2028</v>
      </c>
      <c r="AA48" s="1388">
        <f t="shared" si="15"/>
        <v>2029</v>
      </c>
      <c r="AB48" s="1388">
        <f t="shared" si="15"/>
        <v>2030</v>
      </c>
    </row>
    <row r="49" spans="2:28" s="1380" customFormat="1">
      <c r="C49" s="1396"/>
    </row>
    <row r="50" spans="2:28" s="1380" customFormat="1">
      <c r="B50" s="1380" t="s">
        <v>631</v>
      </c>
      <c r="C50" s="1396"/>
      <c r="I50" s="1406">
        <f t="shared" ref="I50:AB50" si="16">I40*(1-I51)</f>
        <v>3638.7000000000003</v>
      </c>
      <c r="J50" s="1406">
        <f t="shared" si="16"/>
        <v>3649.6200000000003</v>
      </c>
      <c r="K50" s="1406">
        <f t="shared" si="16"/>
        <v>2262</v>
      </c>
      <c r="L50" s="1406">
        <f t="shared" si="16"/>
        <v>1298.7</v>
      </c>
      <c r="M50" s="1406">
        <f t="shared" si="16"/>
        <v>981.24</v>
      </c>
      <c r="N50" s="1406">
        <f t="shared" si="16"/>
        <v>8.58</v>
      </c>
      <c r="O50" s="1406">
        <f t="shared" si="16"/>
        <v>1068.6000000000001</v>
      </c>
      <c r="P50" s="1406">
        <f t="shared" si="16"/>
        <v>-2424.2400000000002</v>
      </c>
      <c r="Q50" s="1406">
        <f t="shared" si="16"/>
        <v>2030.3400000000001</v>
      </c>
      <c r="R50" s="1406">
        <f t="shared" si="16"/>
        <v>2053.0263</v>
      </c>
      <c r="S50" s="1406">
        <f t="shared" si="16"/>
        <v>2598.0029399999994</v>
      </c>
      <c r="T50" s="1406">
        <f t="shared" si="16"/>
        <v>2863.14912</v>
      </c>
      <c r="U50" s="1406">
        <f t="shared" si="16"/>
        <v>3539.0487600000001</v>
      </c>
      <c r="V50" s="1406">
        <f t="shared" si="16"/>
        <v>4527.6387000000004</v>
      </c>
      <c r="W50" s="1406">
        <f t="shared" si="16"/>
        <v>1625.8758723277301</v>
      </c>
      <c r="X50" s="1406">
        <f t="shared" si="16"/>
        <v>3954.5826901061237</v>
      </c>
      <c r="Y50" s="1406">
        <f t="shared" si="16"/>
        <v>6012.9730415239128</v>
      </c>
      <c r="Z50" s="1406">
        <f t="shared" si="16"/>
        <v>8081.641842594724</v>
      </c>
      <c r="AA50" s="1406">
        <f t="shared" si="16"/>
        <v>9182.3019942388673</v>
      </c>
      <c r="AB50" s="1406">
        <f t="shared" si="16"/>
        <v>10202.64734329342</v>
      </c>
    </row>
    <row r="51" spans="2:28" s="1214" customFormat="1">
      <c r="B51" s="1214" t="s">
        <v>406</v>
      </c>
      <c r="C51" s="1215" t="s">
        <v>1067</v>
      </c>
      <c r="D51" s="1413">
        <v>0.22</v>
      </c>
      <c r="E51" s="1413">
        <v>0.22</v>
      </c>
      <c r="F51" s="1413">
        <v>0.22</v>
      </c>
      <c r="G51" s="1413">
        <v>0.22</v>
      </c>
      <c r="H51" s="1413">
        <v>0.22</v>
      </c>
      <c r="I51" s="1413">
        <v>0.22</v>
      </c>
      <c r="J51" s="1413">
        <v>0.22</v>
      </c>
      <c r="K51" s="1413">
        <v>0.22</v>
      </c>
      <c r="L51" s="1413">
        <v>0.22</v>
      </c>
      <c r="M51" s="1413">
        <v>0.22</v>
      </c>
      <c r="N51" s="1413">
        <v>0.22</v>
      </c>
      <c r="O51" s="1413">
        <v>0.22</v>
      </c>
      <c r="P51" s="1413">
        <v>0.22</v>
      </c>
      <c r="Q51" s="1413">
        <v>0.22</v>
      </c>
      <c r="R51" s="1413">
        <v>0.22</v>
      </c>
      <c r="S51" s="1413">
        <v>0.22</v>
      </c>
      <c r="T51" s="1413">
        <v>0.22</v>
      </c>
      <c r="U51" s="1413">
        <v>0.22</v>
      </c>
      <c r="V51" s="1413">
        <v>0.22</v>
      </c>
      <c r="W51" s="1413">
        <v>0.22</v>
      </c>
      <c r="X51" s="1413">
        <v>0.22</v>
      </c>
      <c r="Y51" s="1413">
        <v>0.22</v>
      </c>
      <c r="Z51" s="1413">
        <v>0.22</v>
      </c>
      <c r="AA51" s="1413">
        <v>0.22</v>
      </c>
      <c r="AB51" s="1413">
        <v>0.22</v>
      </c>
    </row>
    <row r="52" spans="2:28" s="1380" customFormat="1">
      <c r="B52" s="1380" t="s">
        <v>1492</v>
      </c>
      <c r="C52" s="1396"/>
      <c r="I52" s="1406">
        <f t="shared" ref="I52:AB52" si="17">AVERAGE(E43:I43)*5</f>
        <v>34902.699999999997</v>
      </c>
      <c r="J52" s="1406">
        <f t="shared" si="17"/>
        <v>38210.699999999997</v>
      </c>
      <c r="K52" s="1406">
        <f t="shared" si="17"/>
        <v>34222.699999999997</v>
      </c>
      <c r="L52" s="1406">
        <f t="shared" si="17"/>
        <v>36035</v>
      </c>
      <c r="M52" s="1406">
        <f t="shared" si="17"/>
        <v>35333</v>
      </c>
      <c r="N52" s="1406">
        <f t="shared" si="17"/>
        <v>34395</v>
      </c>
      <c r="O52" s="1406">
        <f t="shared" si="17"/>
        <v>30916</v>
      </c>
      <c r="P52" s="1406">
        <f t="shared" si="17"/>
        <v>29795.753000000001</v>
      </c>
      <c r="Q52" s="1406">
        <f t="shared" si="17"/>
        <v>31796.89</v>
      </c>
      <c r="R52" s="1406">
        <f t="shared" si="17"/>
        <v>33805.89</v>
      </c>
      <c r="S52" s="1406">
        <f t="shared" si="17"/>
        <v>38142.89</v>
      </c>
      <c r="T52" s="1406">
        <f t="shared" si="17"/>
        <v>40508.89</v>
      </c>
      <c r="U52" s="1406">
        <f t="shared" si="17"/>
        <v>41393.137000000002</v>
      </c>
      <c r="V52" s="1406">
        <f t="shared" si="17"/>
        <v>39679</v>
      </c>
      <c r="W52" s="1406">
        <f>AVERAGE(T43:W43)*5</f>
        <v>54988.213499179823</v>
      </c>
      <c r="X52" s="1406">
        <f>AVERAGE(U43:X43)*5</f>
        <v>56661.882992369145</v>
      </c>
      <c r="Y52" s="1406">
        <f>AVERAGE(V43:Y43)*5</f>
        <v>60666.873436941169</v>
      </c>
      <c r="Z52" s="1406">
        <f>AVERAGE(W43:Z43)*5</f>
        <v>64955.767421972792</v>
      </c>
      <c r="AA52" s="1406">
        <f t="shared" si="17"/>
        <v>63247.870846427671</v>
      </c>
      <c r="AB52" s="1406">
        <f t="shared" si="17"/>
        <v>54913.832973145225</v>
      </c>
    </row>
    <row r="53" spans="2:28" s="1416" customFormat="1">
      <c r="B53" s="1414" t="s">
        <v>1493</v>
      </c>
      <c r="C53" s="1415"/>
      <c r="D53" s="1414"/>
      <c r="E53" s="1414"/>
      <c r="F53" s="1414"/>
      <c r="G53" s="1414"/>
      <c r="H53" s="1414"/>
      <c r="I53" s="1414">
        <f t="shared" ref="I53:AB53" si="18">I50/I52</f>
        <v>0.10425267959212327</v>
      </c>
      <c r="J53" s="1414">
        <f t="shared" si="18"/>
        <v>9.5513036924212341E-2</v>
      </c>
      <c r="K53" s="1414">
        <f t="shared" si="18"/>
        <v>6.6096479821872625E-2</v>
      </c>
      <c r="L53" s="1414">
        <f t="shared" si="18"/>
        <v>3.6039961148883033E-2</v>
      </c>
      <c r="M53" s="1414">
        <f t="shared" si="18"/>
        <v>2.7771205388730083E-2</v>
      </c>
      <c r="N53" s="1414">
        <f t="shared" si="18"/>
        <v>2.4945486262538158E-4</v>
      </c>
      <c r="O53" s="1414">
        <f t="shared" si="18"/>
        <v>3.456462673049554E-2</v>
      </c>
      <c r="P53" s="1414">
        <f t="shared" si="18"/>
        <v>-8.136193101077191E-2</v>
      </c>
      <c r="Q53" s="1414">
        <f t="shared" si="18"/>
        <v>6.3853414594949393E-2</v>
      </c>
      <c r="R53" s="1414">
        <f t="shared" si="18"/>
        <v>6.0729840273396146E-2</v>
      </c>
      <c r="S53" s="1414">
        <f t="shared" si="18"/>
        <v>6.8112377955629466E-2</v>
      </c>
      <c r="T53" s="1414">
        <f t="shared" si="18"/>
        <v>7.0679525407879612E-2</v>
      </c>
      <c r="U53" s="1414">
        <f t="shared" si="18"/>
        <v>8.5498442894047871E-2</v>
      </c>
      <c r="V53" s="1414">
        <f t="shared" si="18"/>
        <v>0.11410667355528115</v>
      </c>
      <c r="W53" s="1414">
        <f t="shared" si="18"/>
        <v>2.9567715858817289E-2</v>
      </c>
      <c r="X53" s="1414">
        <f t="shared" si="18"/>
        <v>6.9792645095093309E-2</v>
      </c>
      <c r="Y53" s="1414">
        <f t="shared" si="18"/>
        <v>9.911460243247848E-2</v>
      </c>
      <c r="Z53" s="1414">
        <f t="shared" si="18"/>
        <v>0.124417617762775</v>
      </c>
      <c r="AA53" s="1414">
        <f t="shared" si="18"/>
        <v>0.14517962219683947</v>
      </c>
      <c r="AB53" s="1414">
        <f t="shared" si="18"/>
        <v>0.18579375707179044</v>
      </c>
    </row>
    <row r="54" spans="2:28" s="1416" customFormat="1">
      <c r="B54" s="1164" t="s">
        <v>1494</v>
      </c>
      <c r="C54" s="1417"/>
      <c r="D54" s="1418"/>
      <c r="E54" s="1418"/>
      <c r="F54" s="1418"/>
      <c r="G54" s="1418"/>
      <c r="H54" s="1418"/>
      <c r="I54" s="1419"/>
      <c r="J54" s="1419">
        <f>J53-I53</f>
        <v>-8.7396426679109268E-3</v>
      </c>
      <c r="K54" s="1419">
        <f t="shared" ref="K54:V54" si="19">K53-J53</f>
        <v>-2.9416557102339716E-2</v>
      </c>
      <c r="L54" s="1419">
        <f t="shared" si="19"/>
        <v>-3.0056518672989592E-2</v>
      </c>
      <c r="M54" s="1419">
        <f t="shared" si="19"/>
        <v>-8.2687557601529502E-3</v>
      </c>
      <c r="N54" s="1419">
        <f t="shared" si="19"/>
        <v>-2.7521750526104703E-2</v>
      </c>
      <c r="O54" s="1419">
        <f t="shared" si="19"/>
        <v>3.4315171867870156E-2</v>
      </c>
      <c r="P54" s="1419">
        <f t="shared" si="19"/>
        <v>-0.11592655774126745</v>
      </c>
      <c r="Q54" s="1419">
        <f t="shared" si="19"/>
        <v>0.1452153456057213</v>
      </c>
      <c r="R54" s="1419">
        <f t="shared" si="19"/>
        <v>-3.1235743215532463E-3</v>
      </c>
      <c r="S54" s="1419">
        <f t="shared" si="19"/>
        <v>7.38253768223332E-3</v>
      </c>
      <c r="T54" s="1419">
        <f t="shared" si="19"/>
        <v>2.5671474522501458E-3</v>
      </c>
      <c r="U54" s="1419">
        <f t="shared" si="19"/>
        <v>1.4818917486168259E-2</v>
      </c>
      <c r="V54" s="1419">
        <f t="shared" si="19"/>
        <v>2.8608230661233275E-2</v>
      </c>
      <c r="W54" s="1419">
        <f t="shared" ref="W54" si="20">W53-V53</f>
        <v>-8.4538957696463857E-2</v>
      </c>
      <c r="X54" s="1419">
        <f t="shared" ref="X54" si="21">X53-W53</f>
        <v>4.0224929236276019E-2</v>
      </c>
      <c r="Y54" s="1419">
        <f t="shared" ref="Y54" si="22">Y53-X53</f>
        <v>2.9321957337385171E-2</v>
      </c>
      <c r="Z54" s="1419">
        <f t="shared" ref="Z54" si="23">Z53-Y53</f>
        <v>2.5303015330296524E-2</v>
      </c>
      <c r="AA54" s="1419">
        <f t="shared" ref="AA54" si="24">AA53-Z53</f>
        <v>2.0762004434064465E-2</v>
      </c>
      <c r="AB54" s="1419">
        <f t="shared" ref="AB54" si="25">AB53-AA53</f>
        <v>4.0614134874950969E-2</v>
      </c>
    </row>
    <row r="55" spans="2:28" s="1416" customFormat="1">
      <c r="C55" s="1420"/>
    </row>
    <row r="56" spans="2:28" s="1416" customFormat="1">
      <c r="B56" s="1380" t="s">
        <v>631</v>
      </c>
      <c r="C56" s="1420"/>
      <c r="I56" s="1406">
        <f t="shared" ref="I56:AB56" si="26">I50</f>
        <v>3638.7000000000003</v>
      </c>
      <c r="J56" s="1406">
        <f t="shared" si="26"/>
        <v>3649.6200000000003</v>
      </c>
      <c r="K56" s="1406">
        <f t="shared" si="26"/>
        <v>2262</v>
      </c>
      <c r="L56" s="1406">
        <f t="shared" si="26"/>
        <v>1298.7</v>
      </c>
      <c r="M56" s="1406">
        <f t="shared" si="26"/>
        <v>981.24</v>
      </c>
      <c r="N56" s="1406">
        <f t="shared" si="26"/>
        <v>8.58</v>
      </c>
      <c r="O56" s="1406">
        <f t="shared" si="26"/>
        <v>1068.6000000000001</v>
      </c>
      <c r="P56" s="1406">
        <f t="shared" si="26"/>
        <v>-2424.2400000000002</v>
      </c>
      <c r="Q56" s="1406">
        <f t="shared" si="26"/>
        <v>2030.3400000000001</v>
      </c>
      <c r="R56" s="1406">
        <f t="shared" si="26"/>
        <v>2053.0263</v>
      </c>
      <c r="S56" s="1406">
        <f t="shared" si="26"/>
        <v>2598.0029399999994</v>
      </c>
      <c r="T56" s="1406">
        <f t="shared" si="26"/>
        <v>2863.14912</v>
      </c>
      <c r="U56" s="1406">
        <f t="shared" si="26"/>
        <v>3539.0487600000001</v>
      </c>
      <c r="V56" s="1406">
        <f t="shared" si="26"/>
        <v>4527.6387000000004</v>
      </c>
      <c r="W56" s="1406">
        <f t="shared" si="26"/>
        <v>1625.8758723277301</v>
      </c>
      <c r="X56" s="1406">
        <f t="shared" si="26"/>
        <v>3954.5826901061237</v>
      </c>
      <c r="Y56" s="1406">
        <f t="shared" si="26"/>
        <v>6012.9730415239128</v>
      </c>
      <c r="Z56" s="1406">
        <f t="shared" si="26"/>
        <v>8081.641842594724</v>
      </c>
      <c r="AA56" s="1406">
        <f t="shared" si="26"/>
        <v>9182.3019942388673</v>
      </c>
      <c r="AB56" s="1406">
        <f t="shared" si="26"/>
        <v>10202.64734329342</v>
      </c>
    </row>
    <row r="57" spans="2:28" s="1380" customFormat="1">
      <c r="B57" s="1380" t="s">
        <v>872</v>
      </c>
      <c r="C57" s="1396"/>
      <c r="I57" s="1401">
        <f>('Balance Sheet and Cflow'!G90)</f>
        <v>26262</v>
      </c>
      <c r="J57" s="1401">
        <f>('Balance Sheet and Cflow'!H90)</f>
        <v>31022</v>
      </c>
      <c r="K57" s="1401">
        <f>('Balance Sheet and Cflow'!I90)</f>
        <v>41151</v>
      </c>
      <c r="L57" s="1401">
        <f>('Balance Sheet and Cflow'!J90)</f>
        <v>52230</v>
      </c>
      <c r="M57" s="1401">
        <f>('Balance Sheet and Cflow'!K90)</f>
        <v>47017.7</v>
      </c>
      <c r="N57" s="1401">
        <f>('Balance Sheet and Cflow'!L90)</f>
        <v>44063</v>
      </c>
      <c r="O57" s="1401">
        <f>('Balance Sheet and Cflow'!M90)</f>
        <v>44865.357000000004</v>
      </c>
      <c r="P57" s="1401">
        <f>('Balance Sheet and Cflow'!N90)</f>
        <v>44458.634999999995</v>
      </c>
      <c r="Q57" s="1401">
        <f>('Balance Sheet and Cflow'!O90)</f>
        <v>48891.562000000005</v>
      </c>
      <c r="R57" s="1401">
        <f>('Balance Sheet and Cflow'!P90)</f>
        <v>55129.767999999989</v>
      </c>
      <c r="S57" s="1401">
        <f>('Balance Sheet and Cflow'!Q90)</f>
        <v>58075.773000000001</v>
      </c>
      <c r="T57" s="1401">
        <f>('Balance Sheet and Cflow'!R90)</f>
        <v>71846.038</v>
      </c>
      <c r="U57" s="1401">
        <f>('Balance Sheet and Cflow'!S90)</f>
        <v>74422.790000000008</v>
      </c>
      <c r="V57" s="1401">
        <f>('Balance Sheet and Cflow'!T90)</f>
        <v>74252.096999999994</v>
      </c>
      <c r="W57" s="1401">
        <f>('Balance Sheet and Cflow'!V90)</f>
        <v>76474.009950763546</v>
      </c>
      <c r="X57" s="1401">
        <f>('Balance Sheet and Cflow'!W90)</f>
        <v>74352.591727513267</v>
      </c>
      <c r="Y57" s="1401">
        <f>('Balance Sheet and Cflow'!X90)</f>
        <v>72806.944502703176</v>
      </c>
      <c r="Z57" s="1401">
        <f>('Balance Sheet and Cflow'!Y90)</f>
        <v>72180.70298477693</v>
      </c>
      <c r="AA57" s="1401">
        <f>('Balance Sheet and Cflow'!Z90)</f>
        <v>72294.440756321434</v>
      </c>
      <c r="AB57" s="1401">
        <f>('Balance Sheet and Cflow'!AA90)</f>
        <v>73290.008957386395</v>
      </c>
    </row>
    <row r="58" spans="2:28" s="1380" customFormat="1">
      <c r="B58" s="1421" t="s">
        <v>1495</v>
      </c>
      <c r="C58" s="1422"/>
      <c r="D58" s="1423"/>
      <c r="E58" s="1423"/>
      <c r="F58" s="1423"/>
      <c r="G58" s="1423"/>
      <c r="H58" s="1423"/>
      <c r="I58" s="1414">
        <f t="shared" ref="I58:AB58" si="27">I56/I57</f>
        <v>0.13855380397532557</v>
      </c>
      <c r="J58" s="1414">
        <f t="shared" si="27"/>
        <v>0.11764618657726776</v>
      </c>
      <c r="K58" s="1414">
        <f t="shared" si="27"/>
        <v>5.4968287526427059E-2</v>
      </c>
      <c r="L58" s="1414">
        <f t="shared" si="27"/>
        <v>2.4865020103388858E-2</v>
      </c>
      <c r="M58" s="1414">
        <f t="shared" si="27"/>
        <v>2.0869587410698526E-2</v>
      </c>
      <c r="N58" s="1414">
        <f t="shared" si="27"/>
        <v>1.9472119465311033E-4</v>
      </c>
      <c r="O58" s="1414">
        <f t="shared" si="27"/>
        <v>2.3817931505593505E-2</v>
      </c>
      <c r="P58" s="1414">
        <f t="shared" si="27"/>
        <v>-5.4527989894426594E-2</v>
      </c>
      <c r="Q58" s="1414">
        <f t="shared" si="27"/>
        <v>4.152741121259329E-2</v>
      </c>
      <c r="R58" s="1414">
        <f t="shared" si="27"/>
        <v>3.7239886443926271E-2</v>
      </c>
      <c r="S58" s="1414">
        <f t="shared" si="27"/>
        <v>4.4734711322740366E-2</v>
      </c>
      <c r="T58" s="1414">
        <f t="shared" si="27"/>
        <v>3.9851176205429731E-2</v>
      </c>
      <c r="U58" s="1414">
        <f t="shared" si="27"/>
        <v>4.7553293285564811E-2</v>
      </c>
      <c r="V58" s="1414">
        <f t="shared" si="27"/>
        <v>6.0976576863546371E-2</v>
      </c>
      <c r="W58" s="1414">
        <f t="shared" si="27"/>
        <v>2.1260502403032375E-2</v>
      </c>
      <c r="X58" s="1414">
        <f t="shared" si="27"/>
        <v>5.3186884252788981E-2</v>
      </c>
      <c r="Y58" s="1414">
        <f t="shared" si="27"/>
        <v>8.258790535153776E-2</v>
      </c>
      <c r="Z58" s="1414">
        <f t="shared" si="27"/>
        <v>0.11196402235510453</v>
      </c>
      <c r="AA58" s="1414">
        <f t="shared" si="27"/>
        <v>0.12701256000014033</v>
      </c>
      <c r="AB58" s="1414">
        <f t="shared" si="27"/>
        <v>0.13920925223553496</v>
      </c>
    </row>
    <row r="59" spans="2:28">
      <c r="B59" s="1164" t="s">
        <v>1494</v>
      </c>
      <c r="I59" s="1419"/>
      <c r="J59" s="1419">
        <f>J58-I58</f>
        <v>-2.0907617398057812E-2</v>
      </c>
      <c r="K59" s="1419">
        <f t="shared" ref="K59:W59" si="28">K58-J58</f>
        <v>-6.2677899050840702E-2</v>
      </c>
      <c r="L59" s="1419">
        <f t="shared" si="28"/>
        <v>-3.0103267423038201E-2</v>
      </c>
      <c r="M59" s="1419">
        <f t="shared" si="28"/>
        <v>-3.9954326926903323E-3</v>
      </c>
      <c r="N59" s="1419">
        <f t="shared" si="28"/>
        <v>-2.0674866216045414E-2</v>
      </c>
      <c r="O59" s="1419">
        <f t="shared" si="28"/>
        <v>2.3623210310940394E-2</v>
      </c>
      <c r="P59" s="1419">
        <f t="shared" si="28"/>
        <v>-7.8345921400020099E-2</v>
      </c>
      <c r="Q59" s="1419">
        <f t="shared" si="28"/>
        <v>9.6055401107019878E-2</v>
      </c>
      <c r="R59" s="1419">
        <f t="shared" si="28"/>
        <v>-4.2875247686670198E-3</v>
      </c>
      <c r="S59" s="1419">
        <f t="shared" si="28"/>
        <v>7.494824878814095E-3</v>
      </c>
      <c r="T59" s="1419">
        <f t="shared" si="28"/>
        <v>-4.8835351173106348E-3</v>
      </c>
      <c r="U59" s="1419">
        <f t="shared" si="28"/>
        <v>7.7021170801350805E-3</v>
      </c>
      <c r="V59" s="1419">
        <f t="shared" si="28"/>
        <v>1.342328357798156E-2</v>
      </c>
      <c r="W59" s="1419">
        <f t="shared" si="28"/>
        <v>-3.9716074460513992E-2</v>
      </c>
      <c r="X59" s="1419">
        <f t="shared" ref="X59" si="29">X58-W58</f>
        <v>3.1926381849756602E-2</v>
      </c>
      <c r="Y59" s="1419">
        <f t="shared" ref="Y59" si="30">Y58-X58</f>
        <v>2.9401021098748779E-2</v>
      </c>
      <c r="Z59" s="1419">
        <f t="shared" ref="Z59" si="31">Z58-Y58</f>
        <v>2.9376117003566765E-2</v>
      </c>
      <c r="AA59" s="1419">
        <f t="shared" ref="AA59:AB59" si="32">AA58-Z58</f>
        <v>1.5048537645035803E-2</v>
      </c>
      <c r="AB59" s="1419">
        <f t="shared" si="32"/>
        <v>1.2196692235394629E-2</v>
      </c>
    </row>
    <row r="60" spans="2:28">
      <c r="B60" s="330"/>
      <c r="I60" s="1419"/>
      <c r="J60" s="1419"/>
      <c r="K60" s="1419"/>
      <c r="L60" s="1419"/>
      <c r="M60" s="1419"/>
      <c r="N60" s="1419"/>
      <c r="O60" s="1419"/>
      <c r="P60" s="1419"/>
      <c r="Q60" s="1419"/>
      <c r="R60" s="1419"/>
      <c r="S60" s="1419"/>
      <c r="T60" s="1419"/>
      <c r="U60" s="1419"/>
      <c r="V60" s="1419"/>
      <c r="W60" s="1419"/>
      <c r="X60" s="1419"/>
      <c r="Y60" s="1419"/>
      <c r="Z60" s="1419"/>
      <c r="AA60" s="1419"/>
      <c r="AB60" s="1419"/>
    </row>
    <row r="61" spans="2:28">
      <c r="B61" s="1164" t="s">
        <v>227</v>
      </c>
      <c r="I61" s="1419">
        <f>I58</f>
        <v>0.13855380397532557</v>
      </c>
      <c r="J61" s="1419">
        <f t="shared" ref="J61:V61" si="33">J58</f>
        <v>0.11764618657726776</v>
      </c>
      <c r="K61" s="1419">
        <f t="shared" si="33"/>
        <v>5.4968287526427059E-2</v>
      </c>
      <c r="L61" s="1419">
        <f t="shared" si="33"/>
        <v>2.4865020103388858E-2</v>
      </c>
      <c r="M61" s="1419">
        <f t="shared" si="33"/>
        <v>2.0869587410698526E-2</v>
      </c>
      <c r="N61" s="1419">
        <f t="shared" si="33"/>
        <v>1.9472119465311033E-4</v>
      </c>
      <c r="O61" s="1419">
        <f t="shared" si="33"/>
        <v>2.3817931505593505E-2</v>
      </c>
      <c r="P61" s="1419">
        <f t="shared" si="33"/>
        <v>-5.4527989894426594E-2</v>
      </c>
      <c r="Q61" s="1419">
        <f t="shared" si="33"/>
        <v>4.152741121259329E-2</v>
      </c>
      <c r="R61" s="1419">
        <f t="shared" si="33"/>
        <v>3.7239886443926271E-2</v>
      </c>
      <c r="S61" s="1419">
        <f t="shared" si="33"/>
        <v>4.4734711322740366E-2</v>
      </c>
      <c r="T61" s="1419">
        <f t="shared" si="33"/>
        <v>3.9851176205429731E-2</v>
      </c>
      <c r="U61" s="1419">
        <f t="shared" si="33"/>
        <v>4.7553293285564811E-2</v>
      </c>
      <c r="V61" s="1419">
        <f t="shared" si="33"/>
        <v>6.0976576863546371E-2</v>
      </c>
      <c r="W61" s="1419">
        <f t="shared" ref="W61:AB61" si="34">W58</f>
        <v>2.1260502403032375E-2</v>
      </c>
      <c r="X61" s="1419">
        <f t="shared" si="34"/>
        <v>5.3186884252788981E-2</v>
      </c>
      <c r="Y61" s="1419">
        <f t="shared" si="34"/>
        <v>8.258790535153776E-2</v>
      </c>
      <c r="Z61" s="1419">
        <f t="shared" si="34"/>
        <v>0.11196402235510453</v>
      </c>
      <c r="AA61" s="1419">
        <f t="shared" si="34"/>
        <v>0.12701256000014033</v>
      </c>
      <c r="AB61" s="1419">
        <f t="shared" si="34"/>
        <v>0.13920925223553496</v>
      </c>
    </row>
    <row r="62" spans="2:28">
      <c r="B62" s="1164" t="s">
        <v>251</v>
      </c>
      <c r="I62" s="1424">
        <f>DCF!$B$46</f>
        <v>0.106223</v>
      </c>
      <c r="J62" s="1424">
        <f>DCF!$B$46</f>
        <v>0.106223</v>
      </c>
      <c r="K62" s="1424">
        <f>DCF!$B$46</f>
        <v>0.106223</v>
      </c>
      <c r="L62" s="1424">
        <f>DCF!$B$46</f>
        <v>0.106223</v>
      </c>
      <c r="M62" s="1424">
        <f>DCF!$B$46</f>
        <v>0.106223</v>
      </c>
      <c r="N62" s="1424">
        <f>DCF!$B$46</f>
        <v>0.106223</v>
      </c>
      <c r="O62" s="1424">
        <f>DCF!$B$46</f>
        <v>0.106223</v>
      </c>
      <c r="P62" s="1424">
        <f>DCF!$B$46</f>
        <v>0.106223</v>
      </c>
      <c r="Q62" s="1424">
        <f>DCF!$B$46</f>
        <v>0.106223</v>
      </c>
      <c r="R62" s="1424">
        <f>DCF!$B$46</f>
        <v>0.106223</v>
      </c>
      <c r="S62" s="1424">
        <f>DCF!$B$46</f>
        <v>0.106223</v>
      </c>
      <c r="T62" s="1424">
        <f>DCF!$B$46</f>
        <v>0.106223</v>
      </c>
      <c r="U62" s="1424">
        <f>DCF!$B$46</f>
        <v>0.106223</v>
      </c>
      <c r="V62" s="1424">
        <f>DCF!$B$46</f>
        <v>0.106223</v>
      </c>
      <c r="W62" s="1424">
        <f>DCF!$B$46</f>
        <v>0.106223</v>
      </c>
      <c r="X62" s="1424">
        <f>DCF!$B$46</f>
        <v>0.106223</v>
      </c>
      <c r="Y62" s="1424">
        <f>DCF!$B$46</f>
        <v>0.106223</v>
      </c>
      <c r="Z62" s="1424">
        <f>DCF!$B$46</f>
        <v>0.106223</v>
      </c>
      <c r="AA62" s="1424">
        <f>DCF!$B$46</f>
        <v>0.106223</v>
      </c>
      <c r="AB62" s="1424">
        <f>DCF!$B$46</f>
        <v>0.106223</v>
      </c>
    </row>
    <row r="63" spans="2:28">
      <c r="B63" s="1167" t="s">
        <v>1496</v>
      </c>
      <c r="C63" s="1198"/>
      <c r="D63" s="1198"/>
      <c r="E63" s="1198"/>
      <c r="F63" s="1198"/>
      <c r="G63" s="1198"/>
      <c r="H63" s="1198"/>
      <c r="I63" s="1425">
        <f>I61-I62</f>
        <v>3.2330803975325575E-2</v>
      </c>
      <c r="J63" s="1425">
        <f t="shared" ref="J63:U63" si="35">J61-J62</f>
        <v>1.1423186577267763E-2</v>
      </c>
      <c r="K63" s="1425">
        <f t="shared" si="35"/>
        <v>-5.1254712473572939E-2</v>
      </c>
      <c r="L63" s="1425">
        <f t="shared" si="35"/>
        <v>-8.1357979896611143E-2</v>
      </c>
      <c r="M63" s="1425">
        <f t="shared" si="35"/>
        <v>-8.5353412589301472E-2</v>
      </c>
      <c r="N63" s="1425">
        <f t="shared" si="35"/>
        <v>-0.10602827880534689</v>
      </c>
      <c r="O63" s="1425">
        <f t="shared" si="35"/>
        <v>-8.2405068494406486E-2</v>
      </c>
      <c r="P63" s="1425">
        <f t="shared" si="35"/>
        <v>-0.1607509898944266</v>
      </c>
      <c r="Q63" s="1425">
        <f t="shared" si="35"/>
        <v>-6.4695588787406708E-2</v>
      </c>
      <c r="R63" s="1425">
        <f t="shared" si="35"/>
        <v>-6.8983113556073727E-2</v>
      </c>
      <c r="S63" s="1425">
        <f t="shared" si="35"/>
        <v>-6.1488288677259632E-2</v>
      </c>
      <c r="T63" s="1425">
        <f t="shared" si="35"/>
        <v>-6.6371823794570267E-2</v>
      </c>
      <c r="U63" s="1425">
        <f t="shared" si="35"/>
        <v>-5.8669706714435187E-2</v>
      </c>
      <c r="V63" s="1425">
        <f t="shared" ref="V63:AB63" si="36">V61-V62</f>
        <v>-4.5246423136453627E-2</v>
      </c>
      <c r="W63" s="1425">
        <f t="shared" si="36"/>
        <v>-8.4962497596967626E-2</v>
      </c>
      <c r="X63" s="1425">
        <f t="shared" si="36"/>
        <v>-5.3036115747211017E-2</v>
      </c>
      <c r="Y63" s="1425">
        <f t="shared" si="36"/>
        <v>-2.3635094648462238E-2</v>
      </c>
      <c r="Z63" s="1425">
        <f t="shared" si="36"/>
        <v>5.7410223551045275E-3</v>
      </c>
      <c r="AA63" s="1425">
        <f t="shared" si="36"/>
        <v>2.0789560000140331E-2</v>
      </c>
      <c r="AB63" s="1425">
        <f t="shared" si="36"/>
        <v>3.298625223553496E-2</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sheetPr>
  <dimension ref="A1:ES643"/>
  <sheetViews>
    <sheetView showGridLines="0" zoomScale="85" zoomScaleNormal="85" workbookViewId="0">
      <pane xSplit="2" ySplit="3" topLeftCell="AB4" activePane="bottomRight" state="frozen"/>
      <selection activeCell="B7" sqref="B7"/>
      <selection pane="topRight" activeCell="B7" sqref="B7"/>
      <selection pane="bottomLeft" activeCell="B7" sqref="B7"/>
      <selection pane="bottomRight" activeCell="CV316" sqref="CV316"/>
    </sheetView>
  </sheetViews>
  <sheetFormatPr defaultColWidth="9.08984375" defaultRowHeight="13" outlineLevelRow="1" outlineLevelCol="1"/>
  <cols>
    <col min="1" max="1" width="2.81640625" style="759" customWidth="1"/>
    <col min="2" max="2" width="37.81640625" style="349" bestFit="1" customWidth="1"/>
    <col min="3" max="3" width="11.81640625" style="349" customWidth="1"/>
    <col min="4" max="7" width="11.81640625" style="349" hidden="1" customWidth="1" outlineLevel="1"/>
    <col min="8" max="8" width="11.81640625" style="349" customWidth="1" collapsed="1"/>
    <col min="9" max="12" width="11.81640625" style="349" hidden="1" customWidth="1" outlineLevel="1"/>
    <col min="13" max="13" width="11.81640625" style="349" customWidth="1" collapsed="1"/>
    <col min="14" max="17" width="11.81640625" style="349" hidden="1" customWidth="1" outlineLevel="1"/>
    <col min="18" max="18" width="11.81640625" style="349" customWidth="1" collapsed="1"/>
    <col min="19" max="22" width="11.81640625" style="349" hidden="1" customWidth="1" outlineLevel="1"/>
    <col min="23" max="23" width="11.81640625" style="349" customWidth="1" collapsed="1"/>
    <col min="24" max="27" width="11.81640625" style="349" hidden="1" customWidth="1" outlineLevel="1"/>
    <col min="28" max="28" width="11.81640625" style="349" customWidth="1" collapsed="1"/>
    <col min="29" max="32" width="11.81640625" style="349" hidden="1" customWidth="1" outlineLevel="1"/>
    <col min="33" max="33" width="11.81640625" style="349" customWidth="1" collapsed="1"/>
    <col min="34" max="37" width="11.81640625" style="349" hidden="1" customWidth="1" outlineLevel="1"/>
    <col min="38" max="38" width="11.81640625" style="349" customWidth="1" collapsed="1"/>
    <col min="39" max="42" width="11.81640625" style="349" hidden="1" customWidth="1" outlineLevel="1"/>
    <col min="43" max="43" width="11.81640625" style="349" customWidth="1" collapsed="1"/>
    <col min="44" max="47" width="11.08984375" style="349" hidden="1" customWidth="1" outlineLevel="1"/>
    <col min="48" max="48" width="11.08984375" style="349" customWidth="1" collapsed="1"/>
    <col min="49" max="49" width="11.1796875" style="349" hidden="1" customWidth="1" outlineLevel="1"/>
    <col min="50" max="51" width="10.81640625" style="349" hidden="1" customWidth="1" outlineLevel="1"/>
    <col min="52" max="52" width="11.1796875" style="349" hidden="1" customWidth="1" outlineLevel="1"/>
    <col min="53" max="53" width="12.08984375" style="349" bestFit="1" customWidth="1" collapsed="1"/>
    <col min="54" max="56" width="10.81640625" style="349" hidden="1" customWidth="1" outlineLevel="1"/>
    <col min="57" max="57" width="11.1796875" style="349" hidden="1" customWidth="1" outlineLevel="1"/>
    <col min="58" max="58" width="13.6328125" style="349" bestFit="1" customWidth="1" collapsed="1"/>
    <col min="59" max="62" width="10.81640625" style="349" hidden="1" customWidth="1" outlineLevel="1"/>
    <col min="63" max="63" width="10.81640625" style="349" bestFit="1" customWidth="1" collapsed="1"/>
    <col min="64" max="67" width="10.81640625" style="349" hidden="1" customWidth="1" outlineLevel="1"/>
    <col min="68" max="68" width="11.453125" style="349" customWidth="1" collapsed="1"/>
    <col min="69" max="72" width="11.453125" style="349" hidden="1" customWidth="1" outlineLevel="1"/>
    <col min="73" max="73" width="10.81640625" style="349" bestFit="1" customWidth="1" collapsed="1"/>
    <col min="74" max="77" width="11.453125" style="349" hidden="1" customWidth="1" outlineLevel="1"/>
    <col min="78" max="78" width="12.81640625" style="349" bestFit="1" customWidth="1" collapsed="1"/>
    <col min="79" max="82" width="11.453125" style="349" hidden="1" customWidth="1" outlineLevel="1"/>
    <col min="83" max="83" width="12.81640625" style="349" bestFit="1" customWidth="1" collapsed="1"/>
    <col min="84" max="87" width="11.453125" style="349" hidden="1" customWidth="1" outlineLevel="1"/>
    <col min="88" max="88" width="10.81640625" style="349" customWidth="1" collapsed="1"/>
    <col min="89" max="92" width="11.453125" style="349" hidden="1" customWidth="1" outlineLevel="1"/>
    <col min="93" max="93" width="10.81640625" style="349" customWidth="1" collapsed="1"/>
    <col min="94" max="98" width="10.81640625" style="349" customWidth="1"/>
    <col min="99" max="99" width="9.81640625" style="349" customWidth="1"/>
    <col min="100" max="100" width="9.81640625" style="1369" customWidth="1"/>
    <col min="101" max="122" width="9.81640625" style="349" customWidth="1"/>
    <col min="123" max="130" width="9.08984375" style="349"/>
    <col min="131" max="139" width="9.1796875" style="349" bestFit="1" customWidth="1"/>
    <col min="140" max="140" width="10.54296875" style="349" bestFit="1" customWidth="1"/>
    <col min="141" max="142" width="9.1796875" style="349" bestFit="1" customWidth="1"/>
    <col min="143" max="143" width="9.08984375" style="349"/>
    <col min="144" max="144" width="11.54296875" style="349" bestFit="1" customWidth="1"/>
    <col min="145" max="145" width="9.1796875" style="349" bestFit="1" customWidth="1"/>
    <col min="146" max="147" width="9.08984375" style="349"/>
    <col min="148" max="148" width="11.54296875" style="349" bestFit="1" customWidth="1"/>
    <col min="149" max="149" width="9.1796875" style="349" bestFit="1" customWidth="1"/>
    <col min="150" max="16384" width="9.08984375" style="349"/>
  </cols>
  <sheetData>
    <row r="1" spans="1:121" s="399" customFormat="1" ht="14.5">
      <c r="A1" s="769"/>
      <c r="B1" s="346" t="s">
        <v>524</v>
      </c>
      <c r="C1" s="680" t="s">
        <v>810</v>
      </c>
      <c r="D1" s="680" t="s">
        <v>810</v>
      </c>
      <c r="E1" s="680" t="s">
        <v>810</v>
      </c>
      <c r="F1" s="680" t="s">
        <v>810</v>
      </c>
      <c r="G1" s="680" t="s">
        <v>810</v>
      </c>
      <c r="H1" s="680" t="s">
        <v>810</v>
      </c>
      <c r="I1" s="680" t="s">
        <v>810</v>
      </c>
      <c r="J1" s="680" t="s">
        <v>810</v>
      </c>
      <c r="K1" s="680" t="s">
        <v>810</v>
      </c>
      <c r="L1" s="680" t="s">
        <v>810</v>
      </c>
      <c r="M1" s="680" t="s">
        <v>810</v>
      </c>
      <c r="N1" s="680" t="s">
        <v>810</v>
      </c>
      <c r="O1" s="680" t="s">
        <v>810</v>
      </c>
      <c r="P1" s="680" t="s">
        <v>810</v>
      </c>
      <c r="Q1" s="680" t="s">
        <v>810</v>
      </c>
      <c r="R1" s="680" t="s">
        <v>810</v>
      </c>
      <c r="S1" s="680" t="s">
        <v>810</v>
      </c>
      <c r="T1" s="680" t="s">
        <v>810</v>
      </c>
      <c r="U1" s="680" t="s">
        <v>810</v>
      </c>
      <c r="V1" s="680" t="s">
        <v>810</v>
      </c>
      <c r="W1" s="680" t="s">
        <v>810</v>
      </c>
      <c r="X1" s="680" t="s">
        <v>810</v>
      </c>
      <c r="Y1" s="680" t="s">
        <v>810</v>
      </c>
      <c r="Z1" s="680" t="s">
        <v>810</v>
      </c>
      <c r="AA1" s="680" t="s">
        <v>810</v>
      </c>
      <c r="AB1" s="680" t="s">
        <v>810</v>
      </c>
      <c r="AC1" s="680" t="s">
        <v>810</v>
      </c>
      <c r="AD1" s="680" t="s">
        <v>810</v>
      </c>
      <c r="AE1" s="680" t="s">
        <v>810</v>
      </c>
      <c r="AF1" s="680" t="s">
        <v>810</v>
      </c>
      <c r="AG1" s="680" t="s">
        <v>810</v>
      </c>
      <c r="AH1" s="680" t="s">
        <v>810</v>
      </c>
      <c r="AI1" s="680" t="s">
        <v>810</v>
      </c>
      <c r="AJ1" s="680" t="s">
        <v>810</v>
      </c>
      <c r="AK1" s="680" t="s">
        <v>810</v>
      </c>
      <c r="AL1" s="680" t="s">
        <v>810</v>
      </c>
      <c r="AM1" s="680" t="s">
        <v>810</v>
      </c>
      <c r="AN1" s="680" t="s">
        <v>810</v>
      </c>
      <c r="AO1" s="680" t="s">
        <v>810</v>
      </c>
      <c r="AP1" s="680" t="s">
        <v>810</v>
      </c>
      <c r="AQ1" s="680" t="s">
        <v>810</v>
      </c>
      <c r="AR1" s="680" t="s">
        <v>810</v>
      </c>
      <c r="AS1" s="680" t="s">
        <v>810</v>
      </c>
      <c r="AT1" s="680" t="s">
        <v>810</v>
      </c>
      <c r="AU1" s="680" t="s">
        <v>810</v>
      </c>
      <c r="AV1" s="680" t="s">
        <v>810</v>
      </c>
      <c r="AW1" s="680" t="s">
        <v>810</v>
      </c>
      <c r="AX1" s="680" t="s">
        <v>810</v>
      </c>
      <c r="AY1" s="680" t="s">
        <v>810</v>
      </c>
      <c r="AZ1" s="680" t="s">
        <v>810</v>
      </c>
      <c r="BA1" s="680" t="s">
        <v>810</v>
      </c>
      <c r="BB1" s="680" t="s">
        <v>810</v>
      </c>
      <c r="BC1" s="680" t="s">
        <v>810</v>
      </c>
      <c r="BD1" s="680" t="s">
        <v>810</v>
      </c>
      <c r="BE1" s="680" t="s">
        <v>810</v>
      </c>
      <c r="BF1" s="680" t="s">
        <v>810</v>
      </c>
      <c r="BG1" s="680" t="s">
        <v>810</v>
      </c>
      <c r="BH1" s="680" t="s">
        <v>810</v>
      </c>
      <c r="BI1" s="680" t="s">
        <v>810</v>
      </c>
      <c r="BJ1" s="680" t="s">
        <v>810</v>
      </c>
      <c r="BK1" s="680" t="s">
        <v>810</v>
      </c>
      <c r="BL1" s="680" t="s">
        <v>810</v>
      </c>
      <c r="BM1" s="680" t="s">
        <v>810</v>
      </c>
      <c r="BN1" s="680" t="s">
        <v>810</v>
      </c>
      <c r="BO1" s="680" t="s">
        <v>810</v>
      </c>
      <c r="BP1" s="680" t="s">
        <v>810</v>
      </c>
      <c r="BQ1" s="680" t="s">
        <v>810</v>
      </c>
      <c r="BR1" s="680" t="s">
        <v>810</v>
      </c>
      <c r="BS1" s="680" t="s">
        <v>810</v>
      </c>
      <c r="BT1" s="680" t="s">
        <v>810</v>
      </c>
      <c r="BU1" s="680" t="s">
        <v>810</v>
      </c>
      <c r="BV1" s="680" t="s">
        <v>810</v>
      </c>
      <c r="BW1" s="680" t="s">
        <v>810</v>
      </c>
      <c r="BX1" s="680" t="s">
        <v>810</v>
      </c>
      <c r="BY1" s="680" t="s">
        <v>810</v>
      </c>
      <c r="BZ1" s="680" t="s">
        <v>810</v>
      </c>
      <c r="CA1" s="586"/>
      <c r="CB1" s="586"/>
      <c r="CC1" s="586"/>
      <c r="CD1" s="586"/>
      <c r="CE1" s="680" t="s">
        <v>810</v>
      </c>
      <c r="CF1" s="586"/>
      <c r="CG1" s="586"/>
      <c r="CH1" s="586"/>
      <c r="CI1" s="586"/>
      <c r="CJ1" s="680" t="s">
        <v>810</v>
      </c>
      <c r="CK1" s="586"/>
      <c r="CL1" s="586"/>
      <c r="CM1" s="586"/>
      <c r="CN1" s="1349"/>
      <c r="CO1" s="1301" t="s">
        <v>811</v>
      </c>
      <c r="CP1" s="1301"/>
      <c r="CQ1" s="1301"/>
      <c r="CR1" s="1301"/>
      <c r="CS1" s="1301"/>
      <c r="CT1" s="1301"/>
      <c r="CU1" s="364">
        <f>DCF!$B$32</f>
        <v>4509.6917769222537</v>
      </c>
      <c r="CV1" s="1361"/>
    </row>
    <row r="2" spans="1:121" s="399" customFormat="1" ht="20.5" customHeight="1">
      <c r="A2" s="769"/>
      <c r="B2" s="346" t="s">
        <v>591</v>
      </c>
      <c r="C2" s="552">
        <v>2007</v>
      </c>
      <c r="D2" s="552" t="s">
        <v>539</v>
      </c>
      <c r="E2" s="552" t="s">
        <v>540</v>
      </c>
      <c r="F2" s="552" t="s">
        <v>541</v>
      </c>
      <c r="G2" s="552" t="s">
        <v>542</v>
      </c>
      <c r="H2" s="552">
        <f>C2+1</f>
        <v>2008</v>
      </c>
      <c r="I2" s="552" t="s">
        <v>539</v>
      </c>
      <c r="J2" s="552" t="s">
        <v>540</v>
      </c>
      <c r="K2" s="552" t="s">
        <v>541</v>
      </c>
      <c r="L2" s="552" t="s">
        <v>542</v>
      </c>
      <c r="M2" s="552">
        <f>H2+1</f>
        <v>2009</v>
      </c>
      <c r="N2" s="552" t="s">
        <v>539</v>
      </c>
      <c r="O2" s="552" t="s">
        <v>540</v>
      </c>
      <c r="P2" s="552" t="s">
        <v>541</v>
      </c>
      <c r="Q2" s="552" t="s">
        <v>542</v>
      </c>
      <c r="R2" s="552">
        <f>M2+1</f>
        <v>2010</v>
      </c>
      <c r="S2" s="552" t="s">
        <v>539</v>
      </c>
      <c r="T2" s="552" t="s">
        <v>540</v>
      </c>
      <c r="U2" s="552" t="s">
        <v>541</v>
      </c>
      <c r="V2" s="552" t="s">
        <v>542</v>
      </c>
      <c r="W2" s="552">
        <f>R2+1</f>
        <v>2011</v>
      </c>
      <c r="X2" s="552" t="s">
        <v>539</v>
      </c>
      <c r="Y2" s="552" t="s">
        <v>540</v>
      </c>
      <c r="Z2" s="552" t="s">
        <v>541</v>
      </c>
      <c r="AA2" s="552" t="s">
        <v>542</v>
      </c>
      <c r="AB2" s="552">
        <f>W2+1</f>
        <v>2012</v>
      </c>
      <c r="AC2" s="552" t="s">
        <v>539</v>
      </c>
      <c r="AD2" s="552" t="s">
        <v>540</v>
      </c>
      <c r="AE2" s="552" t="s">
        <v>541</v>
      </c>
      <c r="AF2" s="552" t="s">
        <v>542</v>
      </c>
      <c r="AG2" s="552">
        <f>AB2+1</f>
        <v>2013</v>
      </c>
      <c r="AH2" s="552" t="s">
        <v>539</v>
      </c>
      <c r="AI2" s="552" t="s">
        <v>540</v>
      </c>
      <c r="AJ2" s="552" t="s">
        <v>541</v>
      </c>
      <c r="AK2" s="552" t="s">
        <v>542</v>
      </c>
      <c r="AL2" s="552">
        <f>AG2+1</f>
        <v>2014</v>
      </c>
      <c r="AM2" s="552" t="s">
        <v>539</v>
      </c>
      <c r="AN2" s="552" t="s">
        <v>540</v>
      </c>
      <c r="AO2" s="552" t="s">
        <v>541</v>
      </c>
      <c r="AP2" s="552" t="s">
        <v>542</v>
      </c>
      <c r="AQ2" s="552">
        <f>AL2+1</f>
        <v>2015</v>
      </c>
      <c r="AR2" s="552" t="s">
        <v>539</v>
      </c>
      <c r="AS2" s="552" t="s">
        <v>540</v>
      </c>
      <c r="AT2" s="552" t="s">
        <v>541</v>
      </c>
      <c r="AU2" s="552" t="s">
        <v>542</v>
      </c>
      <c r="AV2" s="552">
        <f>AQ2+1</f>
        <v>2016</v>
      </c>
      <c r="AW2" s="552" t="s">
        <v>539</v>
      </c>
      <c r="AX2" s="552" t="s">
        <v>540</v>
      </c>
      <c r="AY2" s="552" t="s">
        <v>541</v>
      </c>
      <c r="AZ2" s="552" t="s">
        <v>542</v>
      </c>
      <c r="BA2" s="552">
        <f>AV2+1</f>
        <v>2017</v>
      </c>
      <c r="BB2" s="552" t="s">
        <v>539</v>
      </c>
      <c r="BC2" s="552" t="s">
        <v>540</v>
      </c>
      <c r="BD2" s="552" t="s">
        <v>541</v>
      </c>
      <c r="BE2" s="552" t="s">
        <v>542</v>
      </c>
      <c r="BF2" s="552">
        <f>BA2+1</f>
        <v>2018</v>
      </c>
      <c r="BG2" s="552" t="s">
        <v>539</v>
      </c>
      <c r="BH2" s="552" t="s">
        <v>540</v>
      </c>
      <c r="BI2" s="552" t="s">
        <v>541</v>
      </c>
      <c r="BJ2" s="552" t="s">
        <v>542</v>
      </c>
      <c r="BK2" s="552">
        <f>BF2+1</f>
        <v>2019</v>
      </c>
      <c r="BL2" s="552" t="str">
        <f>BG2</f>
        <v>Q1</v>
      </c>
      <c r="BM2" s="552" t="str">
        <f t="shared" ref="BM2:BO2" si="0">BH2</f>
        <v>Q2</v>
      </c>
      <c r="BN2" s="552" t="str">
        <f t="shared" si="0"/>
        <v>Q3</v>
      </c>
      <c r="BO2" s="552" t="str">
        <f t="shared" si="0"/>
        <v>Q4</v>
      </c>
      <c r="BP2" s="552">
        <f>BK2+1</f>
        <v>2020</v>
      </c>
      <c r="BQ2" s="552" t="str">
        <f>BL2</f>
        <v>Q1</v>
      </c>
      <c r="BR2" s="552" t="str">
        <f>BM2</f>
        <v>Q2</v>
      </c>
      <c r="BS2" s="552" t="s">
        <v>541</v>
      </c>
      <c r="BT2" s="552" t="s">
        <v>542</v>
      </c>
      <c r="BU2" s="552">
        <f t="shared" ref="BU2" si="1">BP2+1</f>
        <v>2021</v>
      </c>
      <c r="BV2" s="552" t="str">
        <f>BQ2</f>
        <v>Q1</v>
      </c>
      <c r="BW2" s="552" t="str">
        <f t="shared" ref="BW2:BY2" si="2">BR2</f>
        <v>Q2</v>
      </c>
      <c r="BX2" s="552" t="str">
        <f t="shared" si="2"/>
        <v>Q3</v>
      </c>
      <c r="BY2" s="552" t="str">
        <f t="shared" si="2"/>
        <v>Q4</v>
      </c>
      <c r="BZ2" s="552">
        <f t="shared" ref="BZ2" si="3">BU2+1</f>
        <v>2022</v>
      </c>
      <c r="CA2" s="552" t="str">
        <f>BV2</f>
        <v>Q1</v>
      </c>
      <c r="CB2" s="552" t="str">
        <f>BW2</f>
        <v>Q2</v>
      </c>
      <c r="CC2" s="552" t="str">
        <f>BX2</f>
        <v>Q3</v>
      </c>
      <c r="CD2" s="552" t="str">
        <f>BY2</f>
        <v>Q4</v>
      </c>
      <c r="CE2" s="552">
        <f t="shared" ref="CE2" si="4">BZ2+1</f>
        <v>2023</v>
      </c>
      <c r="CF2" s="552" t="str">
        <f>CA2</f>
        <v>Q1</v>
      </c>
      <c r="CG2" s="552" t="str">
        <f>CB2</f>
        <v>Q2</v>
      </c>
      <c r="CH2" s="552" t="str">
        <f>CC2</f>
        <v>Q3</v>
      </c>
      <c r="CI2" s="552" t="str">
        <f>CD2</f>
        <v>Q4</v>
      </c>
      <c r="CJ2" s="552">
        <f t="shared" ref="CJ2" si="5">CE2+1</f>
        <v>2024</v>
      </c>
      <c r="CK2" s="552" t="str">
        <f>CF2</f>
        <v>Q1</v>
      </c>
      <c r="CL2" s="552" t="str">
        <f>CG2</f>
        <v>Q2</v>
      </c>
      <c r="CM2" s="552" t="str">
        <f>CH2</f>
        <v>Q3</v>
      </c>
      <c r="CN2" s="665" t="str">
        <f t="shared" ref="CN2" si="6">CI2</f>
        <v>Q4</v>
      </c>
      <c r="CO2" s="665">
        <f t="shared" ref="CO2" si="7">CJ2+1</f>
        <v>2025</v>
      </c>
      <c r="CP2" s="665">
        <f t="shared" ref="CP2" si="8">CO2+1</f>
        <v>2026</v>
      </c>
      <c r="CQ2" s="665">
        <f t="shared" ref="CQ2" si="9">CP2+1</f>
        <v>2027</v>
      </c>
      <c r="CR2" s="665">
        <f t="shared" ref="CR2" si="10">CQ2+1</f>
        <v>2028</v>
      </c>
      <c r="CS2" s="665">
        <f t="shared" ref="CS2" si="11">CR2+1</f>
        <v>2029</v>
      </c>
      <c r="CT2" s="665">
        <f t="shared" ref="CT2" si="12">CS2+1</f>
        <v>2030</v>
      </c>
      <c r="CU2" s="364"/>
      <c r="CV2" s="1362" t="s">
        <v>565</v>
      </c>
      <c r="CW2" s="364" t="s">
        <v>565</v>
      </c>
      <c r="CX2" s="364"/>
      <c r="CY2" s="364"/>
      <c r="CZ2" s="681"/>
      <c r="DA2" s="682"/>
      <c r="DL2" s="364"/>
      <c r="DM2" s="681"/>
      <c r="DN2" s="682"/>
    </row>
    <row r="3" spans="1:121" s="1008" customFormat="1">
      <c r="A3" s="1004"/>
      <c r="B3" s="1005"/>
      <c r="C3" s="1005"/>
      <c r="D3" s="1005"/>
      <c r="E3" s="1005"/>
      <c r="F3" s="1005"/>
      <c r="G3" s="1005"/>
      <c r="H3" s="1005"/>
      <c r="I3" s="1005"/>
      <c r="J3" s="1005"/>
      <c r="K3" s="1005"/>
      <c r="L3" s="1005"/>
      <c r="M3" s="1005"/>
      <c r="N3" s="1005"/>
      <c r="O3" s="1005"/>
      <c r="P3" s="1005"/>
      <c r="Q3" s="1005"/>
      <c r="R3" s="1005"/>
      <c r="S3" s="1005"/>
      <c r="T3" s="1005"/>
      <c r="U3" s="1005"/>
      <c r="V3" s="1005"/>
      <c r="W3" s="1005"/>
      <c r="X3" s="1005"/>
      <c r="Y3" s="1005"/>
      <c r="Z3" s="1005"/>
      <c r="AA3" s="1005"/>
      <c r="AB3" s="1005"/>
      <c r="AC3" s="1005"/>
      <c r="AD3" s="1005"/>
      <c r="AE3" s="1005"/>
      <c r="AF3" s="1005"/>
      <c r="AG3" s="1005"/>
      <c r="AH3" s="1005"/>
      <c r="AI3" s="1005"/>
      <c r="AJ3" s="1005"/>
      <c r="AK3" s="1005"/>
      <c r="AL3" s="1005"/>
      <c r="AM3" s="1005"/>
      <c r="AN3" s="1005"/>
      <c r="AO3" s="1005"/>
      <c r="AP3" s="1005"/>
      <c r="AQ3" s="1005"/>
      <c r="AR3" s="1005"/>
      <c r="AS3" s="1005"/>
      <c r="AT3" s="1005"/>
      <c r="AU3" s="1005"/>
      <c r="AV3" s="1005"/>
      <c r="AW3" s="1005"/>
      <c r="AX3" s="1005"/>
      <c r="AY3" s="1005"/>
      <c r="AZ3" s="1005"/>
      <c r="BA3" s="1005"/>
      <c r="BB3" s="1005"/>
      <c r="BC3" s="1005"/>
      <c r="BD3" s="1005"/>
      <c r="BE3" s="1005"/>
      <c r="BF3" s="1005"/>
      <c r="BG3" s="1005"/>
      <c r="BH3" s="1005"/>
      <c r="BI3" s="1005"/>
      <c r="BJ3" s="1005"/>
      <c r="BK3" s="1006"/>
      <c r="BL3" s="1007" t="s">
        <v>584</v>
      </c>
      <c r="BM3" s="1006"/>
      <c r="BN3" s="1006"/>
      <c r="BO3" s="1006"/>
      <c r="BP3" s="1006"/>
      <c r="BQ3" s="1006"/>
      <c r="BR3" s="1006"/>
      <c r="BS3" s="1006"/>
      <c r="BT3" s="1006"/>
      <c r="BU3" s="1006"/>
      <c r="BV3" s="1008" t="s">
        <v>730</v>
      </c>
      <c r="BW3" s="1008" t="s">
        <v>732</v>
      </c>
      <c r="CA3" s="1008" t="s">
        <v>730</v>
      </c>
      <c r="CJ3" s="1009" t="s">
        <v>1187</v>
      </c>
      <c r="CL3" s="1008" t="s">
        <v>1464</v>
      </c>
      <c r="CO3" s="1359"/>
      <c r="CP3" s="1359"/>
      <c r="CQ3" s="1006"/>
      <c r="CR3" s="1006"/>
      <c r="CS3" s="1006"/>
      <c r="CT3" s="1006"/>
      <c r="CU3" s="1005"/>
      <c r="CV3" s="1362" t="s">
        <v>733</v>
      </c>
      <c r="CW3" s="364" t="s">
        <v>1469</v>
      </c>
      <c r="CX3" s="1005"/>
      <c r="CY3" s="1005">
        <v>2025</v>
      </c>
      <c r="CZ3" s="1010">
        <f>CY3+1</f>
        <v>2026</v>
      </c>
      <c r="DA3" s="1010">
        <f t="shared" ref="DA3:DC3" si="13">CZ3+1</f>
        <v>2027</v>
      </c>
      <c r="DB3" s="1010">
        <f t="shared" si="13"/>
        <v>2028</v>
      </c>
      <c r="DC3" s="1010">
        <f t="shared" si="13"/>
        <v>2029</v>
      </c>
      <c r="DL3" s="1005"/>
      <c r="DM3" s="1010"/>
      <c r="DN3" s="1011"/>
    </row>
    <row r="4" spans="1:121">
      <c r="A4" s="759" t="s">
        <v>615</v>
      </c>
      <c r="B4" s="350" t="s">
        <v>585</v>
      </c>
      <c r="C4" s="553">
        <f>C$2</f>
        <v>2007</v>
      </c>
      <c r="D4" s="553" t="str">
        <f t="shared" ref="D4:BO4" si="14">D$2</f>
        <v>Q1</v>
      </c>
      <c r="E4" s="553" t="str">
        <f t="shared" si="14"/>
        <v>Q2</v>
      </c>
      <c r="F4" s="553" t="str">
        <f t="shared" si="14"/>
        <v>Q3</v>
      </c>
      <c r="G4" s="553" t="str">
        <f t="shared" si="14"/>
        <v>Q4</v>
      </c>
      <c r="H4" s="553">
        <f t="shared" si="14"/>
        <v>2008</v>
      </c>
      <c r="I4" s="553" t="str">
        <f t="shared" si="14"/>
        <v>Q1</v>
      </c>
      <c r="J4" s="553" t="str">
        <f t="shared" si="14"/>
        <v>Q2</v>
      </c>
      <c r="K4" s="553" t="str">
        <f t="shared" si="14"/>
        <v>Q3</v>
      </c>
      <c r="L4" s="553" t="str">
        <f t="shared" si="14"/>
        <v>Q4</v>
      </c>
      <c r="M4" s="553">
        <f t="shared" si="14"/>
        <v>2009</v>
      </c>
      <c r="N4" s="553" t="str">
        <f t="shared" si="14"/>
        <v>Q1</v>
      </c>
      <c r="O4" s="553" t="str">
        <f t="shared" si="14"/>
        <v>Q2</v>
      </c>
      <c r="P4" s="553" t="str">
        <f t="shared" si="14"/>
        <v>Q3</v>
      </c>
      <c r="Q4" s="553" t="str">
        <f t="shared" si="14"/>
        <v>Q4</v>
      </c>
      <c r="R4" s="553">
        <f t="shared" si="14"/>
        <v>2010</v>
      </c>
      <c r="S4" s="553" t="str">
        <f t="shared" si="14"/>
        <v>Q1</v>
      </c>
      <c r="T4" s="553" t="str">
        <f t="shared" si="14"/>
        <v>Q2</v>
      </c>
      <c r="U4" s="553" t="str">
        <f t="shared" si="14"/>
        <v>Q3</v>
      </c>
      <c r="V4" s="553" t="str">
        <f t="shared" si="14"/>
        <v>Q4</v>
      </c>
      <c r="W4" s="553">
        <f t="shared" si="14"/>
        <v>2011</v>
      </c>
      <c r="X4" s="553" t="str">
        <f t="shared" si="14"/>
        <v>Q1</v>
      </c>
      <c r="Y4" s="553" t="str">
        <f t="shared" si="14"/>
        <v>Q2</v>
      </c>
      <c r="Z4" s="553" t="str">
        <f t="shared" si="14"/>
        <v>Q3</v>
      </c>
      <c r="AA4" s="553" t="str">
        <f t="shared" si="14"/>
        <v>Q4</v>
      </c>
      <c r="AB4" s="553">
        <f t="shared" si="14"/>
        <v>2012</v>
      </c>
      <c r="AC4" s="553" t="str">
        <f t="shared" si="14"/>
        <v>Q1</v>
      </c>
      <c r="AD4" s="553" t="str">
        <f t="shared" si="14"/>
        <v>Q2</v>
      </c>
      <c r="AE4" s="553" t="str">
        <f t="shared" si="14"/>
        <v>Q3</v>
      </c>
      <c r="AF4" s="553" t="str">
        <f t="shared" si="14"/>
        <v>Q4</v>
      </c>
      <c r="AG4" s="553">
        <f t="shared" si="14"/>
        <v>2013</v>
      </c>
      <c r="AH4" s="553" t="str">
        <f t="shared" si="14"/>
        <v>Q1</v>
      </c>
      <c r="AI4" s="553" t="str">
        <f t="shared" si="14"/>
        <v>Q2</v>
      </c>
      <c r="AJ4" s="553" t="str">
        <f t="shared" si="14"/>
        <v>Q3</v>
      </c>
      <c r="AK4" s="553" t="str">
        <f t="shared" si="14"/>
        <v>Q4</v>
      </c>
      <c r="AL4" s="553">
        <f t="shared" si="14"/>
        <v>2014</v>
      </c>
      <c r="AM4" s="553" t="str">
        <f t="shared" si="14"/>
        <v>Q1</v>
      </c>
      <c r="AN4" s="553" t="str">
        <f t="shared" si="14"/>
        <v>Q2</v>
      </c>
      <c r="AO4" s="553" t="str">
        <f t="shared" si="14"/>
        <v>Q3</v>
      </c>
      <c r="AP4" s="553" t="str">
        <f t="shared" si="14"/>
        <v>Q4</v>
      </c>
      <c r="AQ4" s="553">
        <f t="shared" si="14"/>
        <v>2015</v>
      </c>
      <c r="AR4" s="553" t="str">
        <f t="shared" si="14"/>
        <v>Q1</v>
      </c>
      <c r="AS4" s="553" t="str">
        <f t="shared" si="14"/>
        <v>Q2</v>
      </c>
      <c r="AT4" s="553" t="str">
        <f t="shared" si="14"/>
        <v>Q3</v>
      </c>
      <c r="AU4" s="553" t="str">
        <f t="shared" si="14"/>
        <v>Q4</v>
      </c>
      <c r="AV4" s="553">
        <f t="shared" si="14"/>
        <v>2016</v>
      </c>
      <c r="AW4" s="553" t="str">
        <f t="shared" si="14"/>
        <v>Q1</v>
      </c>
      <c r="AX4" s="553" t="str">
        <f t="shared" si="14"/>
        <v>Q2</v>
      </c>
      <c r="AY4" s="553" t="str">
        <f t="shared" si="14"/>
        <v>Q3</v>
      </c>
      <c r="AZ4" s="553" t="str">
        <f t="shared" si="14"/>
        <v>Q4</v>
      </c>
      <c r="BA4" s="553">
        <f t="shared" si="14"/>
        <v>2017</v>
      </c>
      <c r="BB4" s="553" t="str">
        <f t="shared" si="14"/>
        <v>Q1</v>
      </c>
      <c r="BC4" s="553" t="str">
        <f t="shared" si="14"/>
        <v>Q2</v>
      </c>
      <c r="BD4" s="553" t="str">
        <f t="shared" si="14"/>
        <v>Q3</v>
      </c>
      <c r="BE4" s="553" t="str">
        <f t="shared" si="14"/>
        <v>Q4</v>
      </c>
      <c r="BF4" s="553">
        <f t="shared" si="14"/>
        <v>2018</v>
      </c>
      <c r="BG4" s="553" t="str">
        <f t="shared" si="14"/>
        <v>Q1</v>
      </c>
      <c r="BH4" s="553" t="str">
        <f t="shared" si="14"/>
        <v>Q2</v>
      </c>
      <c r="BI4" s="553" t="str">
        <f t="shared" si="14"/>
        <v>Q3</v>
      </c>
      <c r="BJ4" s="553" t="str">
        <f t="shared" si="14"/>
        <v>Q4</v>
      </c>
      <c r="BK4" s="553">
        <f t="shared" si="14"/>
        <v>2019</v>
      </c>
      <c r="BL4" s="553" t="str">
        <f t="shared" si="14"/>
        <v>Q1</v>
      </c>
      <c r="BM4" s="553" t="str">
        <f t="shared" si="14"/>
        <v>Q2</v>
      </c>
      <c r="BN4" s="553" t="str">
        <f t="shared" si="14"/>
        <v>Q3</v>
      </c>
      <c r="BO4" s="553" t="str">
        <f t="shared" si="14"/>
        <v>Q4</v>
      </c>
      <c r="BP4" s="553">
        <f t="shared" ref="BP4:CT4" si="15">BP$2</f>
        <v>2020</v>
      </c>
      <c r="BQ4" s="553" t="str">
        <f t="shared" si="15"/>
        <v>Q1</v>
      </c>
      <c r="BR4" s="553" t="str">
        <f t="shared" si="15"/>
        <v>Q2</v>
      </c>
      <c r="BS4" s="553" t="str">
        <f t="shared" si="15"/>
        <v>Q3</v>
      </c>
      <c r="BT4" s="553" t="str">
        <f t="shared" si="15"/>
        <v>Q4</v>
      </c>
      <c r="BU4" s="553">
        <f t="shared" si="15"/>
        <v>2021</v>
      </c>
      <c r="BV4" s="553" t="str">
        <f t="shared" si="15"/>
        <v>Q1</v>
      </c>
      <c r="BW4" s="553" t="str">
        <f t="shared" si="15"/>
        <v>Q2</v>
      </c>
      <c r="BX4" s="553" t="str">
        <f t="shared" si="15"/>
        <v>Q3</v>
      </c>
      <c r="BY4" s="553" t="str">
        <f t="shared" si="15"/>
        <v>Q4</v>
      </c>
      <c r="BZ4" s="553">
        <f t="shared" si="15"/>
        <v>2022</v>
      </c>
      <c r="CA4" s="553" t="str">
        <f t="shared" si="15"/>
        <v>Q1</v>
      </c>
      <c r="CB4" s="553" t="str">
        <f t="shared" si="15"/>
        <v>Q2</v>
      </c>
      <c r="CC4" s="553" t="str">
        <f t="shared" si="15"/>
        <v>Q3</v>
      </c>
      <c r="CD4" s="553" t="str">
        <f t="shared" si="15"/>
        <v>Q4</v>
      </c>
      <c r="CE4" s="553">
        <f t="shared" si="15"/>
        <v>2023</v>
      </c>
      <c r="CF4" s="553" t="str">
        <f t="shared" si="15"/>
        <v>Q1</v>
      </c>
      <c r="CG4" s="553" t="str">
        <f t="shared" si="15"/>
        <v>Q2</v>
      </c>
      <c r="CH4" s="553" t="str">
        <f t="shared" si="15"/>
        <v>Q3</v>
      </c>
      <c r="CI4" s="553" t="str">
        <f t="shared" si="15"/>
        <v>Q4</v>
      </c>
      <c r="CJ4" s="553">
        <f t="shared" si="15"/>
        <v>2024</v>
      </c>
      <c r="CK4" s="553" t="str">
        <f t="shared" si="15"/>
        <v>Q1</v>
      </c>
      <c r="CL4" s="553" t="str">
        <f t="shared" si="15"/>
        <v>Q2</v>
      </c>
      <c r="CM4" s="553" t="str">
        <f t="shared" si="15"/>
        <v>Q3</v>
      </c>
      <c r="CN4" s="553" t="str">
        <f t="shared" si="15"/>
        <v>Q4</v>
      </c>
      <c r="CO4" s="553">
        <f t="shared" si="15"/>
        <v>2025</v>
      </c>
      <c r="CP4" s="553">
        <f t="shared" si="15"/>
        <v>2026</v>
      </c>
      <c r="CQ4" s="553">
        <f t="shared" si="15"/>
        <v>2027</v>
      </c>
      <c r="CR4" s="553">
        <f t="shared" si="15"/>
        <v>2028</v>
      </c>
      <c r="CS4" s="553">
        <f t="shared" si="15"/>
        <v>2029</v>
      </c>
      <c r="CT4" s="553">
        <f t="shared" si="15"/>
        <v>2030</v>
      </c>
      <c r="CU4" s="347"/>
      <c r="CV4" s="1363"/>
      <c r="CW4" s="347"/>
      <c r="CX4" s="347"/>
      <c r="DA4" s="353"/>
      <c r="DL4" s="347"/>
      <c r="DM4" s="347"/>
      <c r="DN4" s="347"/>
    </row>
    <row r="5" spans="1:121" s="399" customFormat="1">
      <c r="A5" s="769"/>
      <c r="B5" s="364" t="s">
        <v>687</v>
      </c>
      <c r="C5" s="551">
        <f t="shared" ref="C5:AH5" si="16">C236</f>
        <v>7990</v>
      </c>
      <c r="D5" s="551">
        <f t="shared" si="16"/>
        <v>0</v>
      </c>
      <c r="E5" s="551">
        <f t="shared" si="16"/>
        <v>0</v>
      </c>
      <c r="F5" s="551">
        <f t="shared" si="16"/>
        <v>0</v>
      </c>
      <c r="G5" s="551">
        <f t="shared" si="16"/>
        <v>0</v>
      </c>
      <c r="H5" s="551">
        <f t="shared" si="16"/>
        <v>12061.33</v>
      </c>
      <c r="I5" s="551">
        <f t="shared" si="16"/>
        <v>0</v>
      </c>
      <c r="J5" s="551">
        <f t="shared" si="16"/>
        <v>0</v>
      </c>
      <c r="K5" s="551">
        <f t="shared" si="16"/>
        <v>0</v>
      </c>
      <c r="L5" s="551">
        <f t="shared" si="16"/>
        <v>0</v>
      </c>
      <c r="M5" s="551">
        <f t="shared" si="16"/>
        <v>13707</v>
      </c>
      <c r="N5" s="551">
        <f t="shared" si="16"/>
        <v>4106</v>
      </c>
      <c r="O5" s="551">
        <f t="shared" si="16"/>
        <v>4261</v>
      </c>
      <c r="P5" s="551">
        <f t="shared" si="16"/>
        <v>4442</v>
      </c>
      <c r="Q5" s="551">
        <f t="shared" si="16"/>
        <v>4651</v>
      </c>
      <c r="R5" s="551">
        <f t="shared" si="16"/>
        <v>17460</v>
      </c>
      <c r="S5" s="551">
        <f t="shared" si="16"/>
        <v>4482</v>
      </c>
      <c r="T5" s="551">
        <f t="shared" si="16"/>
        <v>4553</v>
      </c>
      <c r="U5" s="551">
        <f t="shared" si="16"/>
        <v>4780</v>
      </c>
      <c r="V5" s="551">
        <f t="shared" si="16"/>
        <v>4961</v>
      </c>
      <c r="W5" s="551">
        <f t="shared" si="16"/>
        <v>18262</v>
      </c>
      <c r="X5" s="551">
        <f t="shared" si="16"/>
        <v>4893</v>
      </c>
      <c r="Y5" s="551">
        <f t="shared" si="16"/>
        <v>5229</v>
      </c>
      <c r="Z5" s="551">
        <f t="shared" si="16"/>
        <v>5574</v>
      </c>
      <c r="AA5" s="551">
        <f t="shared" si="16"/>
        <v>5273</v>
      </c>
      <c r="AB5" s="551">
        <f t="shared" si="16"/>
        <v>20969</v>
      </c>
      <c r="AC5" s="551">
        <f t="shared" si="16"/>
        <v>5758</v>
      </c>
      <c r="AD5" s="551">
        <f t="shared" si="16"/>
        <v>6055</v>
      </c>
      <c r="AE5" s="551">
        <f t="shared" si="16"/>
        <v>6388</v>
      </c>
      <c r="AF5" s="551">
        <f t="shared" si="16"/>
        <v>6383</v>
      </c>
      <c r="AG5" s="551">
        <f t="shared" si="16"/>
        <v>21266</v>
      </c>
      <c r="AH5" s="551">
        <f t="shared" si="16"/>
        <v>5507</v>
      </c>
      <c r="AI5" s="551">
        <f t="shared" ref="AI5:BN5" si="17">AI236</f>
        <v>6041</v>
      </c>
      <c r="AJ5" s="551">
        <f t="shared" si="17"/>
        <v>6006</v>
      </c>
      <c r="AK5" s="551">
        <f t="shared" si="17"/>
        <v>5906</v>
      </c>
      <c r="AL5" s="551">
        <f t="shared" si="17"/>
        <v>23460</v>
      </c>
      <c r="AM5" s="551">
        <f t="shared" si="17"/>
        <v>5481</v>
      </c>
      <c r="AN5" s="551">
        <f t="shared" si="17"/>
        <v>5611</v>
      </c>
      <c r="AO5" s="551">
        <f t="shared" si="17"/>
        <v>5830</v>
      </c>
      <c r="AP5" s="551">
        <f t="shared" si="17"/>
        <v>5973</v>
      </c>
      <c r="AQ5" s="551">
        <f t="shared" si="17"/>
        <v>22895</v>
      </c>
      <c r="AR5" s="551">
        <f t="shared" si="17"/>
        <v>5616</v>
      </c>
      <c r="AS5" s="551">
        <f t="shared" si="17"/>
        <v>5238</v>
      </c>
      <c r="AT5" s="551">
        <f t="shared" si="17"/>
        <v>5230</v>
      </c>
      <c r="AU5" s="551">
        <f t="shared" si="17"/>
        <v>5257</v>
      </c>
      <c r="AV5" s="551">
        <f t="shared" si="17"/>
        <v>21341</v>
      </c>
      <c r="AW5" s="551">
        <f t="shared" si="17"/>
        <v>5266</v>
      </c>
      <c r="AX5" s="551">
        <f t="shared" si="17"/>
        <v>5667</v>
      </c>
      <c r="AY5" s="551">
        <f t="shared" si="17"/>
        <v>5970</v>
      </c>
      <c r="AZ5" s="551">
        <f t="shared" si="17"/>
        <v>5998</v>
      </c>
      <c r="BA5" s="551">
        <f t="shared" si="17"/>
        <v>22901</v>
      </c>
      <c r="BB5" s="551">
        <f t="shared" si="17"/>
        <v>5501.3649999999998</v>
      </c>
      <c r="BC5" s="551">
        <f t="shared" si="17"/>
        <v>5544.6769999999997</v>
      </c>
      <c r="BD5" s="551">
        <f t="shared" si="17"/>
        <v>5846.17</v>
      </c>
      <c r="BE5" s="551">
        <f t="shared" si="17"/>
        <v>6046.6</v>
      </c>
      <c r="BF5" s="551">
        <f t="shared" si="17"/>
        <v>22938.811999999998</v>
      </c>
      <c r="BG5" s="551">
        <f t="shared" si="17"/>
        <v>5967.2240000000002</v>
      </c>
      <c r="BH5" s="551">
        <f t="shared" si="17"/>
        <v>6289.6049999999996</v>
      </c>
      <c r="BI5" s="551">
        <f t="shared" si="17"/>
        <v>6463.6930000000011</v>
      </c>
      <c r="BJ5" s="551">
        <f t="shared" si="17"/>
        <v>6412.33</v>
      </c>
      <c r="BK5" s="551">
        <f t="shared" si="17"/>
        <v>25132.851999999999</v>
      </c>
      <c r="BL5" s="551">
        <f t="shared" si="17"/>
        <v>6497.1509999999998</v>
      </c>
      <c r="BM5" s="551">
        <f t="shared" si="17"/>
        <v>6585.009</v>
      </c>
      <c r="BN5" s="551">
        <f t="shared" si="17"/>
        <v>6573.991</v>
      </c>
      <c r="BO5" s="551">
        <f t="shared" ref="BO5:CT5" si="18">BO236</f>
        <v>6352.9440000000013</v>
      </c>
      <c r="BP5" s="551">
        <f t="shared" si="18"/>
        <v>26009.095000000001</v>
      </c>
      <c r="BQ5" s="551">
        <f t="shared" si="18"/>
        <v>6247.3630000000003</v>
      </c>
      <c r="BR5" s="551">
        <f t="shared" si="18"/>
        <v>6726.8360000000002</v>
      </c>
      <c r="BS5" s="551">
        <f t="shared" si="18"/>
        <v>6825.9939999999997</v>
      </c>
      <c r="BT5" s="551">
        <f t="shared" si="18"/>
        <v>6953.857</v>
      </c>
      <c r="BU5" s="551">
        <f t="shared" si="18"/>
        <v>26754.050000000003</v>
      </c>
      <c r="BV5" s="551">
        <f t="shared" si="18"/>
        <v>6742.0590000000002</v>
      </c>
      <c r="BW5" s="551">
        <f t="shared" si="18"/>
        <v>7332.7409999999991</v>
      </c>
      <c r="BX5" s="551">
        <f t="shared" si="18"/>
        <v>7520.600000000004</v>
      </c>
      <c r="BY5" s="551">
        <f t="shared" si="18"/>
        <v>7546.5939999999982</v>
      </c>
      <c r="BZ5" s="551">
        <f t="shared" si="18"/>
        <v>29141.994000000002</v>
      </c>
      <c r="CA5" s="551">
        <f t="shared" si="18"/>
        <v>7547.3239999999996</v>
      </c>
      <c r="CB5" s="551">
        <f t="shared" si="18"/>
        <v>8217.2030000000013</v>
      </c>
      <c r="CC5" s="551">
        <f t="shared" ref="CC5:CE5" si="19">CC236</f>
        <v>8103.2769999999991</v>
      </c>
      <c r="CD5" s="551">
        <f t="shared" si="19"/>
        <v>8454.8470000000016</v>
      </c>
      <c r="CE5" s="551">
        <f t="shared" si="19"/>
        <v>32322.651000000005</v>
      </c>
      <c r="CF5" s="551">
        <f t="shared" ref="CF5:CG5" si="20">CF236</f>
        <v>8438.2849999999999</v>
      </c>
      <c r="CG5" s="551">
        <f t="shared" si="20"/>
        <v>8613.3120000000017</v>
      </c>
      <c r="CH5" s="551">
        <f t="shared" ref="CH5:CK5" si="21">CH236</f>
        <v>8309.8139999999985</v>
      </c>
      <c r="CI5" s="551">
        <f t="shared" si="21"/>
        <v>9030.1860000000015</v>
      </c>
      <c r="CJ5" s="551">
        <f t="shared" si="21"/>
        <v>34391.597000000002</v>
      </c>
      <c r="CK5" s="551">
        <f t="shared" si="21"/>
        <v>8601.1769999999997</v>
      </c>
      <c r="CL5" s="551">
        <f t="shared" ref="CL5:CN5" si="22">CL236</f>
        <v>10493.717000000001</v>
      </c>
      <c r="CM5" s="551">
        <f t="shared" ref="CM5" si="23">CM236</f>
        <v>11452.569</v>
      </c>
      <c r="CN5" s="1351">
        <f t="shared" si="22"/>
        <v>11926.642831966365</v>
      </c>
      <c r="CO5" s="551">
        <f t="shared" si="18"/>
        <v>42474.105831966364</v>
      </c>
      <c r="CP5" s="885">
        <f t="shared" si="18"/>
        <v>47281.52542977938</v>
      </c>
      <c r="CQ5" s="551">
        <f t="shared" si="18"/>
        <v>49342.820741226758</v>
      </c>
      <c r="CR5" s="551">
        <f t="shared" si="18"/>
        <v>51491.024704882409</v>
      </c>
      <c r="CS5" s="551">
        <f t="shared" si="18"/>
        <v>53729.794804044934</v>
      </c>
      <c r="CT5" s="551">
        <f t="shared" si="18"/>
        <v>56062.943842146051</v>
      </c>
      <c r="CU5" s="364"/>
      <c r="CV5" s="1364">
        <f>(CO5/BZ5)^(1/(CO$2-BZ$2))-1</f>
        <v>0.1337961905433942</v>
      </c>
      <c r="CW5" s="1364">
        <f>(CT5/45811)^(1/(CT$2-CJ$2))-1</f>
        <v>3.4231325335662754E-2</v>
      </c>
      <c r="CX5" s="364"/>
      <c r="CY5" s="364">
        <f>Old!X4</f>
        <v>41495.908510024659</v>
      </c>
      <c r="CZ5" s="364">
        <f>Old!Y4</f>
        <v>48717.819545967293</v>
      </c>
      <c r="DA5" s="364">
        <f>Old!Z4</f>
        <v>50082.407782619586</v>
      </c>
      <c r="DB5" s="364">
        <f>Old!AA4</f>
        <v>51279.775198841642</v>
      </c>
      <c r="DC5" s="364">
        <f>Old!AB4</f>
        <v>52515.314727160716</v>
      </c>
      <c r="DF5" s="399" t="s">
        <v>1502</v>
      </c>
      <c r="DG5" s="399" t="s">
        <v>248</v>
      </c>
      <c r="DL5" s="364"/>
      <c r="DM5" s="364"/>
      <c r="DN5" s="364"/>
    </row>
    <row r="6" spans="1:121">
      <c r="B6" s="347" t="s">
        <v>0</v>
      </c>
      <c r="C6" s="356"/>
      <c r="D6" s="356"/>
      <c r="E6" s="356"/>
      <c r="F6" s="356"/>
      <c r="G6" s="356"/>
      <c r="H6" s="366">
        <f>H5/C5-1</f>
        <v>0.50955319148936162</v>
      </c>
      <c r="I6" s="366" t="e">
        <f t="shared" ref="I6:N6" si="24">I5/D5-1</f>
        <v>#DIV/0!</v>
      </c>
      <c r="J6" s="366" t="e">
        <f t="shared" si="24"/>
        <v>#DIV/0!</v>
      </c>
      <c r="K6" s="366" t="e">
        <f t="shared" si="24"/>
        <v>#DIV/0!</v>
      </c>
      <c r="L6" s="366" t="e">
        <f t="shared" si="24"/>
        <v>#DIV/0!</v>
      </c>
      <c r="M6" s="366">
        <f t="shared" si="24"/>
        <v>0.13644183518733</v>
      </c>
      <c r="N6" s="366" t="e">
        <f t="shared" si="24"/>
        <v>#DIV/0!</v>
      </c>
      <c r="O6" s="366" t="e">
        <f t="shared" ref="O6" si="25">O5/J5-1</f>
        <v>#DIV/0!</v>
      </c>
      <c r="P6" s="366" t="e">
        <f t="shared" ref="P6" si="26">P5/K5-1</f>
        <v>#DIV/0!</v>
      </c>
      <c r="Q6" s="366" t="e">
        <f t="shared" ref="Q6" si="27">Q5/L5-1</f>
        <v>#DIV/0!</v>
      </c>
      <c r="R6" s="366">
        <f t="shared" ref="R6" si="28">R5/M5-1</f>
        <v>0.2738017071569272</v>
      </c>
      <c r="S6" s="366">
        <f t="shared" ref="S6" si="29">S5/N5-1</f>
        <v>9.1573307355090172E-2</v>
      </c>
      <c r="T6" s="366">
        <f t="shared" ref="T6" si="30">T5/O5-1</f>
        <v>6.8528514433231713E-2</v>
      </c>
      <c r="U6" s="366">
        <f t="shared" ref="U6" si="31">U5/P5-1</f>
        <v>7.6091850517784776E-2</v>
      </c>
      <c r="V6" s="366">
        <f t="shared" ref="V6" si="32">V5/Q5-1</f>
        <v>6.6652332831649064E-2</v>
      </c>
      <c r="W6" s="366">
        <f t="shared" ref="W6" si="33">W5/R5-1</f>
        <v>4.5933562428407848E-2</v>
      </c>
      <c r="X6" s="356"/>
      <c r="Y6" s="356"/>
      <c r="Z6" s="356"/>
      <c r="AA6" s="356"/>
      <c r="AB6" s="356">
        <f>AB5/W5-1</f>
        <v>0.1482312999671449</v>
      </c>
      <c r="AC6" s="356"/>
      <c r="AD6" s="356"/>
      <c r="AE6" s="356"/>
      <c r="AF6" s="356"/>
      <c r="AG6" s="356">
        <f>AG5/AB5-1</f>
        <v>1.4163765558681929E-2</v>
      </c>
      <c r="AH6" s="356"/>
      <c r="AI6" s="356"/>
      <c r="AJ6" s="356"/>
      <c r="AK6" s="356"/>
      <c r="AL6" s="356">
        <f>AL5/AG5-1</f>
        <v>0.10316937835041862</v>
      </c>
      <c r="AM6" s="356"/>
      <c r="AN6" s="356"/>
      <c r="AO6" s="356"/>
      <c r="AP6" s="356"/>
      <c r="AQ6" s="356">
        <f>AQ5/AL5-1</f>
        <v>-2.4083546462063121E-2</v>
      </c>
      <c r="AR6" s="356"/>
      <c r="AS6" s="356"/>
      <c r="AT6" s="356"/>
      <c r="AU6" s="356"/>
      <c r="AV6" s="356">
        <f>AV5/AQ5-1</f>
        <v>-6.7875081895610423E-2</v>
      </c>
      <c r="AW6" s="356"/>
      <c r="AX6" s="356"/>
      <c r="AY6" s="356"/>
      <c r="AZ6" s="356"/>
      <c r="BA6" s="356">
        <f t="shared" ref="BA6:CM6" si="34">BA5/AV5-1</f>
        <v>7.3098730143854596E-2</v>
      </c>
      <c r="BB6" s="356">
        <f t="shared" si="34"/>
        <v>4.4695214584124621E-2</v>
      </c>
      <c r="BC6" s="356">
        <f t="shared" si="34"/>
        <v>-2.1585142050467687E-2</v>
      </c>
      <c r="BD6" s="356">
        <f t="shared" si="34"/>
        <v>-2.0742043551088774E-2</v>
      </c>
      <c r="BE6" s="356">
        <f t="shared" si="34"/>
        <v>8.1027009003000749E-3</v>
      </c>
      <c r="BF6" s="356">
        <f t="shared" si="34"/>
        <v>1.6511069385616306E-3</v>
      </c>
      <c r="BG6" s="356">
        <f t="shared" si="34"/>
        <v>8.468062017335698E-2</v>
      </c>
      <c r="BH6" s="356">
        <f t="shared" si="34"/>
        <v>0.13435011633680372</v>
      </c>
      <c r="BI6" s="356">
        <f t="shared" si="34"/>
        <v>0.1056286423419095</v>
      </c>
      <c r="BJ6" s="356">
        <f t="shared" si="34"/>
        <v>6.0485231369695303E-2</v>
      </c>
      <c r="BK6" s="356">
        <f t="shared" si="34"/>
        <v>9.5647499094547728E-2</v>
      </c>
      <c r="BL6" s="356">
        <f t="shared" si="34"/>
        <v>8.880628580391825E-2</v>
      </c>
      <c r="BM6" s="356">
        <f t="shared" si="34"/>
        <v>4.6967019391519926E-2</v>
      </c>
      <c r="BN6" s="356">
        <f t="shared" si="34"/>
        <v>1.7064238663562659E-2</v>
      </c>
      <c r="BO6" s="356">
        <f t="shared" si="34"/>
        <v>-9.2612201804957994E-3</v>
      </c>
      <c r="BP6" s="356">
        <f t="shared" si="34"/>
        <v>3.4864447536634646E-2</v>
      </c>
      <c r="BQ6" s="356">
        <f t="shared" si="34"/>
        <v>-3.8445774155472123E-2</v>
      </c>
      <c r="BR6" s="356">
        <f t="shared" si="34"/>
        <v>2.1537859705279105E-2</v>
      </c>
      <c r="BS6" s="356">
        <f t="shared" si="34"/>
        <v>3.8333335108003519E-2</v>
      </c>
      <c r="BT6" s="356">
        <f t="shared" si="34"/>
        <v>9.4588115368244852E-2</v>
      </c>
      <c r="BU6" s="356">
        <f t="shared" si="34"/>
        <v>2.8642096159055219E-2</v>
      </c>
      <c r="BV6" s="356">
        <f t="shared" si="34"/>
        <v>7.9184769638005692E-2</v>
      </c>
      <c r="BW6" s="356">
        <f t="shared" si="34"/>
        <v>9.0072806888706447E-2</v>
      </c>
      <c r="BX6" s="356">
        <f t="shared" si="34"/>
        <v>0.10175895261554646</v>
      </c>
      <c r="BY6" s="356">
        <f t="shared" si="34"/>
        <v>8.5238594926527522E-2</v>
      </c>
      <c r="BZ6" s="356">
        <f t="shared" si="34"/>
        <v>8.9255421141845703E-2</v>
      </c>
      <c r="CA6" s="356">
        <f t="shared" si="34"/>
        <v>0.1194390319040517</v>
      </c>
      <c r="CB6" s="356">
        <f t="shared" si="34"/>
        <v>0.12061819720620193</v>
      </c>
      <c r="CC6" s="356">
        <f t="shared" si="34"/>
        <v>7.7477461904634559E-2</v>
      </c>
      <c r="CD6" s="356">
        <f t="shared" si="34"/>
        <v>0.12035270480961402</v>
      </c>
      <c r="CE6" s="356">
        <f t="shared" si="34"/>
        <v>0.10914342374787411</v>
      </c>
      <c r="CF6" s="356">
        <f t="shared" si="34"/>
        <v>0.11804992074011933</v>
      </c>
      <c r="CG6" s="356">
        <f t="shared" si="34"/>
        <v>4.8204845371350835E-2</v>
      </c>
      <c r="CH6" s="356">
        <f t="shared" si="34"/>
        <v>2.548808340132025E-2</v>
      </c>
      <c r="CI6" s="356">
        <f t="shared" si="34"/>
        <v>6.8048422401966624E-2</v>
      </c>
      <c r="CJ6" s="356">
        <f t="shared" si="34"/>
        <v>6.4009168059884658E-2</v>
      </c>
      <c r="CK6" s="356">
        <f t="shared" si="34"/>
        <v>1.9303922538762341E-2</v>
      </c>
      <c r="CL6" s="356">
        <f t="shared" si="34"/>
        <v>0.21831381470913835</v>
      </c>
      <c r="CM6" s="356">
        <f t="shared" si="34"/>
        <v>0.37819799576741442</v>
      </c>
      <c r="CN6" s="356">
        <f t="shared" ref="CN6" si="35">CN5/CI5-1</f>
        <v>0.32075273222128131</v>
      </c>
      <c r="CO6" s="356">
        <f>CO5/CJ5-1</f>
        <v>0.23501405974158063</v>
      </c>
      <c r="CP6" s="356">
        <f t="shared" ref="CP6:CT6" si="36">CP5/CO5-1</f>
        <v>0.11318471580854128</v>
      </c>
      <c r="CQ6" s="356">
        <f t="shared" si="36"/>
        <v>4.3596209993451485E-2</v>
      </c>
      <c r="CR6" s="356">
        <f t="shared" si="36"/>
        <v>4.3536302371558477E-2</v>
      </c>
      <c r="CS6" s="356">
        <f t="shared" si="36"/>
        <v>4.3478841448463923E-2</v>
      </c>
      <c r="CT6" s="356">
        <f t="shared" si="36"/>
        <v>4.3423747412589586E-2</v>
      </c>
      <c r="CU6" s="347"/>
      <c r="CV6" s="1363"/>
      <c r="CW6" s="347"/>
      <c r="CX6" s="347"/>
      <c r="CY6" s="347"/>
      <c r="CZ6" s="353">
        <f>CZ5/CY5-1</f>
        <v>0.17403911121015581</v>
      </c>
      <c r="DA6" s="353">
        <f t="shared" ref="DA6:DC6" si="37">DA5/CZ5-1</f>
        <v>2.8010043334651957E-2</v>
      </c>
      <c r="DB6" s="353">
        <f t="shared" si="37"/>
        <v>2.3907944310888052E-2</v>
      </c>
      <c r="DC6" s="353">
        <f t="shared" si="37"/>
        <v>2.4094090185227346E-2</v>
      </c>
      <c r="DF6" s="347">
        <f>CJ5*1.2</f>
        <v>41269.916400000002</v>
      </c>
      <c r="DG6" s="349">
        <v>25000</v>
      </c>
      <c r="DH6" s="353">
        <f>DG6/DF6</f>
        <v>0.60576812799165247</v>
      </c>
      <c r="DL6" s="347"/>
      <c r="DM6" s="347"/>
      <c r="DN6" s="347"/>
    </row>
    <row r="7" spans="1:121">
      <c r="B7" s="357" t="s">
        <v>571</v>
      </c>
      <c r="C7" s="357"/>
      <c r="D7" s="357"/>
      <c r="E7" s="357"/>
      <c r="F7" s="357"/>
      <c r="G7" s="357"/>
      <c r="H7" s="357"/>
      <c r="I7" s="357"/>
      <c r="J7" s="357"/>
      <c r="K7" s="357"/>
      <c r="L7" s="357"/>
      <c r="M7" s="357"/>
      <c r="N7" s="357"/>
      <c r="O7" s="357"/>
      <c r="P7" s="357"/>
      <c r="Q7" s="357"/>
      <c r="R7" s="357"/>
      <c r="S7" s="357"/>
      <c r="T7" s="357"/>
      <c r="U7" s="357"/>
      <c r="V7" s="357"/>
      <c r="W7" s="357"/>
      <c r="X7" s="357"/>
      <c r="Y7" s="357"/>
      <c r="Z7" s="357"/>
      <c r="AA7" s="357"/>
      <c r="AB7" s="357"/>
      <c r="AC7" s="357"/>
      <c r="AD7" s="357"/>
      <c r="AE7" s="357"/>
      <c r="AF7" s="357"/>
      <c r="AG7" s="358"/>
      <c r="AH7" s="358"/>
      <c r="AI7" s="358"/>
      <c r="AJ7" s="358"/>
      <c r="AK7" s="358"/>
      <c r="AL7" s="358"/>
      <c r="AM7" s="358"/>
      <c r="AN7" s="358"/>
      <c r="AO7" s="358"/>
      <c r="AP7" s="358"/>
      <c r="AQ7" s="358"/>
      <c r="AR7" s="358"/>
      <c r="AS7" s="358"/>
      <c r="AT7" s="358"/>
      <c r="AU7" s="358"/>
      <c r="AV7" s="359"/>
      <c r="AW7" s="359"/>
      <c r="AX7" s="359"/>
      <c r="AY7" s="359"/>
      <c r="AZ7" s="359"/>
      <c r="BA7" s="359"/>
      <c r="BB7" s="359"/>
      <c r="BC7" s="359"/>
      <c r="BD7" s="359"/>
      <c r="BE7" s="359"/>
      <c r="BF7" s="359"/>
      <c r="BG7" s="359"/>
      <c r="BH7" s="359"/>
      <c r="BI7" s="359"/>
      <c r="BJ7" s="359"/>
      <c r="BK7" s="359"/>
      <c r="BL7" s="359"/>
      <c r="BM7" s="359"/>
      <c r="BN7" s="359"/>
      <c r="BO7" s="359"/>
      <c r="BP7" s="360" t="s">
        <v>572</v>
      </c>
      <c r="BQ7" s="360"/>
      <c r="BR7" s="360"/>
      <c r="BS7" s="360"/>
      <c r="BT7" s="360"/>
      <c r="BU7" s="360" t="s">
        <v>572</v>
      </c>
      <c r="BV7" s="360"/>
      <c r="BW7" s="360"/>
      <c r="BX7" s="360"/>
      <c r="BY7" s="360"/>
      <c r="BZ7" s="360" t="s">
        <v>572</v>
      </c>
      <c r="CA7" s="360"/>
      <c r="CB7" s="360"/>
      <c r="CC7" s="360"/>
      <c r="CD7" s="360"/>
      <c r="CE7" s="360"/>
      <c r="CF7" s="360"/>
      <c r="CG7" s="360"/>
      <c r="CH7" s="360"/>
      <c r="CI7" s="360"/>
      <c r="CJ7" s="359" t="s">
        <v>847</v>
      </c>
      <c r="CK7" s="360"/>
      <c r="CL7" s="360"/>
      <c r="CM7" s="360"/>
      <c r="CN7" s="360"/>
      <c r="CO7" s="369" t="s">
        <v>1514</v>
      </c>
      <c r="CP7" s="359"/>
      <c r="CQ7" s="359"/>
      <c r="CR7" s="359"/>
      <c r="CS7" s="359"/>
      <c r="CT7" s="359"/>
      <c r="CU7" s="347"/>
      <c r="CV7" s="1363"/>
      <c r="CW7" s="347"/>
      <c r="CX7" s="347"/>
      <c r="CY7" s="347"/>
      <c r="CZ7" s="347"/>
      <c r="DA7" s="347"/>
      <c r="DF7" s="347">
        <f>CJ5*1.3</f>
        <v>44709.076100000006</v>
      </c>
      <c r="DG7" s="349">
        <v>20000</v>
      </c>
      <c r="DH7" s="353">
        <f>DG7/DF7</f>
        <v>0.44733646374768182</v>
      </c>
      <c r="DL7" s="347"/>
      <c r="DM7" s="347"/>
      <c r="DN7" s="347"/>
    </row>
    <row r="8" spans="1:121">
      <c r="B8" s="357" t="s">
        <v>1</v>
      </c>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8"/>
      <c r="AH8" s="358"/>
      <c r="AI8" s="358"/>
      <c r="AJ8" s="358"/>
      <c r="AK8" s="358"/>
      <c r="AL8" s="358"/>
      <c r="AM8" s="358"/>
      <c r="AN8" s="358"/>
      <c r="AO8" s="358"/>
      <c r="AP8" s="358"/>
      <c r="AQ8" s="358"/>
      <c r="AR8" s="358"/>
      <c r="AS8" s="358"/>
      <c r="AT8" s="358"/>
      <c r="AU8" s="358"/>
      <c r="AV8" s="359"/>
      <c r="AW8" s="359"/>
      <c r="AX8" s="359"/>
      <c r="AY8" s="359"/>
      <c r="AZ8" s="359"/>
      <c r="BA8" s="667">
        <f>BA5</f>
        <v>22901</v>
      </c>
      <c r="BB8" s="667">
        <f t="shared" ref="BB8:CE8" si="38">BB5</f>
        <v>5501.3649999999998</v>
      </c>
      <c r="BC8" s="667">
        <f t="shared" si="38"/>
        <v>5544.6769999999997</v>
      </c>
      <c r="BD8" s="667">
        <f t="shared" si="38"/>
        <v>5846.17</v>
      </c>
      <c r="BE8" s="667">
        <f t="shared" si="38"/>
        <v>6046.6</v>
      </c>
      <c r="BF8" s="667">
        <f t="shared" si="38"/>
        <v>22938.811999999998</v>
      </c>
      <c r="BG8" s="667">
        <f t="shared" si="38"/>
        <v>5967.2240000000002</v>
      </c>
      <c r="BH8" s="667">
        <f t="shared" si="38"/>
        <v>6289.6049999999996</v>
      </c>
      <c r="BI8" s="667">
        <f t="shared" si="38"/>
        <v>6463.6930000000011</v>
      </c>
      <c r="BJ8" s="667">
        <f t="shared" si="38"/>
        <v>6412.33</v>
      </c>
      <c r="BK8" s="667">
        <f t="shared" si="38"/>
        <v>25132.851999999999</v>
      </c>
      <c r="BL8" s="667">
        <f t="shared" si="38"/>
        <v>6497.1509999999998</v>
      </c>
      <c r="BM8" s="667">
        <f t="shared" si="38"/>
        <v>6585.009</v>
      </c>
      <c r="BN8" s="667">
        <f t="shared" si="38"/>
        <v>6573.991</v>
      </c>
      <c r="BO8" s="667">
        <f t="shared" si="38"/>
        <v>6352.9440000000013</v>
      </c>
      <c r="BP8" s="667">
        <f t="shared" si="38"/>
        <v>26009.095000000001</v>
      </c>
      <c r="BQ8" s="667">
        <f t="shared" si="38"/>
        <v>6247.3630000000003</v>
      </c>
      <c r="BR8" s="667">
        <f t="shared" si="38"/>
        <v>6726.8360000000002</v>
      </c>
      <c r="BS8" s="667">
        <f t="shared" si="38"/>
        <v>6825.9939999999997</v>
      </c>
      <c r="BT8" s="667">
        <f t="shared" si="38"/>
        <v>6953.857</v>
      </c>
      <c r="BU8" s="667">
        <f t="shared" si="38"/>
        <v>26754.050000000003</v>
      </c>
      <c r="BV8" s="667">
        <f t="shared" si="38"/>
        <v>6742.0590000000002</v>
      </c>
      <c r="BW8" s="667">
        <f t="shared" si="38"/>
        <v>7332.7409999999991</v>
      </c>
      <c r="BX8" s="667">
        <f t="shared" si="38"/>
        <v>7520.600000000004</v>
      </c>
      <c r="BY8" s="667">
        <f t="shared" si="38"/>
        <v>7546.5939999999982</v>
      </c>
      <c r="BZ8" s="667">
        <f t="shared" si="38"/>
        <v>29141.994000000002</v>
      </c>
      <c r="CA8" s="667">
        <f t="shared" si="38"/>
        <v>7547.3239999999996</v>
      </c>
      <c r="CB8" s="667">
        <f t="shared" si="38"/>
        <v>8217.2030000000013</v>
      </c>
      <c r="CC8" s="667">
        <f t="shared" si="38"/>
        <v>8103.2769999999991</v>
      </c>
      <c r="CD8" s="667">
        <f t="shared" si="38"/>
        <v>8454.8470000000016</v>
      </c>
      <c r="CE8" s="667">
        <f t="shared" si="38"/>
        <v>32322.651000000005</v>
      </c>
      <c r="CF8" s="667">
        <f t="shared" ref="CF8:CG8" si="39">CF5</f>
        <v>8438.2849999999999</v>
      </c>
      <c r="CG8" s="667">
        <f t="shared" si="39"/>
        <v>8613.3120000000017</v>
      </c>
      <c r="CH8" s="667">
        <f t="shared" ref="CH8:CI8" si="40">CH5</f>
        <v>8309.8139999999985</v>
      </c>
      <c r="CI8" s="667">
        <f t="shared" si="40"/>
        <v>9030.1860000000015</v>
      </c>
      <c r="CJ8" s="576" cm="1">
        <f t="array" ref="CJ8">_xll.VAData("EXCL_IJ", "FY-"&amp;CJ$2, "Net revenue", "Consensus", "CD", "IMPL","","")</f>
        <v>34332.993674062498</v>
      </c>
      <c r="CK8" s="667">
        <f t="shared" ref="CK8:CL8" si="41">CK5</f>
        <v>8601.1769999999997</v>
      </c>
      <c r="CL8" s="667">
        <f t="shared" si="41"/>
        <v>10493.717000000001</v>
      </c>
      <c r="CM8" s="667">
        <f t="shared" ref="CM8" si="42">CM5</f>
        <v>11452.569</v>
      </c>
      <c r="CN8" s="667"/>
      <c r="CO8" s="576" cm="1">
        <f t="array" ref="CO8">_xll.VAData("EXCL_IJ", "FY-"&amp;CO$2, "Net revenue", "Consensus", "CD", "IMPL","","")</f>
        <v>41303.847094473756</v>
      </c>
      <c r="CP8" s="576" cm="1">
        <f t="array" ref="CP8">_xll.VAData("EXCL_IJ", "FY-"&amp;CP$2, "Net revenue", "Consensus", "CD", "IMPL","","")</f>
        <v>44670.01922745417</v>
      </c>
      <c r="CQ8" s="576" cm="1">
        <f t="array" ref="CQ8">_xll.VAData("EXCL_IJ", "FY-"&amp;CQ$2, "Net revenue", "Consensus", "CD", "IMPL","","")</f>
        <v>46332.675348408622</v>
      </c>
      <c r="CR8" s="576" cm="1">
        <f t="array" ref="CR8">_xll.VAData("EXCL_IJ", "FY-"&amp;CR$2, "Net revenue", "Consensus", "CD", "IMPL","","")</f>
        <v>49720.780001019099</v>
      </c>
      <c r="CS8" s="576" cm="1">
        <f t="array" ref="CS8">_xll.VAData("EXCL_IJ", "FY-"&amp;CS$2, "Net revenue", "Consensus", "CD", "IMPL","","")</f>
        <v>51825.9845422383</v>
      </c>
      <c r="CT8" s="576" cm="1">
        <f t="array" ref="CT8">_xll.VAData("EXCL_IJ", "FY-"&amp;CT$2, "Net revenue", "Consensus", "CD", "IMPL","","")</f>
        <v>48131.257742574096</v>
      </c>
      <c r="CU8" s="347"/>
      <c r="CV8" s="1365">
        <f>(CO8/BZ8)^(1/(CO$2-BZ$2))-1</f>
        <v>0.12328617372862061</v>
      </c>
      <c r="CW8" s="347"/>
      <c r="CX8" s="347"/>
      <c r="CY8" s="347"/>
      <c r="CZ8" s="347"/>
      <c r="DA8" s="347"/>
      <c r="DL8" s="347"/>
      <c r="DM8" s="347"/>
      <c r="DN8" s="347"/>
    </row>
    <row r="9" spans="1:121" s="356" customFormat="1">
      <c r="A9" s="794"/>
      <c r="B9" s="1339" t="s">
        <v>560</v>
      </c>
      <c r="C9" s="1339"/>
      <c r="D9" s="1339"/>
      <c r="E9" s="1339"/>
      <c r="F9" s="1339"/>
      <c r="G9" s="1339"/>
      <c r="H9" s="1339"/>
      <c r="I9" s="1339"/>
      <c r="J9" s="1339"/>
      <c r="K9" s="1339"/>
      <c r="L9" s="1339"/>
      <c r="M9" s="1339"/>
      <c r="N9" s="1339"/>
      <c r="O9" s="1339"/>
      <c r="P9" s="1339"/>
      <c r="Q9" s="1339"/>
      <c r="R9" s="1339"/>
      <c r="S9" s="1339"/>
      <c r="T9" s="1339"/>
      <c r="U9" s="1339"/>
      <c r="V9" s="1339"/>
      <c r="W9" s="1339"/>
      <c r="X9" s="1339"/>
      <c r="Y9" s="1339"/>
      <c r="Z9" s="1339"/>
      <c r="AA9" s="1339"/>
      <c r="AB9" s="1339"/>
      <c r="AC9" s="1339"/>
      <c r="AD9" s="1339"/>
      <c r="AE9" s="1339"/>
      <c r="AF9" s="1339"/>
      <c r="AG9" s="1340"/>
      <c r="AH9" s="1340"/>
      <c r="AI9" s="1340"/>
      <c r="AJ9" s="1340"/>
      <c r="AK9" s="1340"/>
      <c r="AL9" s="1340"/>
      <c r="AM9" s="1340"/>
      <c r="AN9" s="1340"/>
      <c r="AO9" s="1340"/>
      <c r="AP9" s="1340"/>
      <c r="AQ9" s="1340"/>
      <c r="AR9" s="1340"/>
      <c r="AS9" s="1340"/>
      <c r="AT9" s="1340"/>
      <c r="AU9" s="1340"/>
      <c r="AV9" s="361"/>
      <c r="AW9" s="361"/>
      <c r="AX9" s="361"/>
      <c r="AY9" s="361"/>
      <c r="AZ9" s="361"/>
      <c r="BA9" s="361">
        <f>BA5/BA8-1</f>
        <v>0</v>
      </c>
      <c r="BB9" s="361"/>
      <c r="BC9" s="361"/>
      <c r="BD9" s="361"/>
      <c r="BE9" s="361"/>
      <c r="BF9" s="361">
        <f>BF5/BF8-1</f>
        <v>0</v>
      </c>
      <c r="BG9" s="361"/>
      <c r="BH9" s="361"/>
      <c r="BI9" s="361"/>
      <c r="BJ9" s="361"/>
      <c r="BK9" s="361">
        <f>BK5/BK8-1</f>
        <v>0</v>
      </c>
      <c r="BL9" s="361"/>
      <c r="BM9" s="361"/>
      <c r="BN9" s="361"/>
      <c r="BO9" s="361"/>
      <c r="BP9" s="361">
        <f>BP5/BP8-1</f>
        <v>0</v>
      </c>
      <c r="BQ9" s="361"/>
      <c r="BR9" s="361"/>
      <c r="BS9" s="361"/>
      <c r="BT9" s="361"/>
      <c r="BU9" s="361">
        <f>BU5/BU8-1</f>
        <v>0</v>
      </c>
      <c r="BV9" s="361"/>
      <c r="BW9" s="361"/>
      <c r="BX9" s="361"/>
      <c r="BY9" s="361"/>
      <c r="BZ9" s="361">
        <f>BZ5/BZ8-1</f>
        <v>0</v>
      </c>
      <c r="CA9" s="361"/>
      <c r="CB9" s="361"/>
      <c r="CC9" s="361"/>
      <c r="CD9" s="361"/>
      <c r="CE9" s="361">
        <f>CE5/CE8-1</f>
        <v>0</v>
      </c>
      <c r="CF9" s="361"/>
      <c r="CG9" s="361"/>
      <c r="CH9" s="361"/>
      <c r="CI9" s="361"/>
      <c r="CJ9" s="361"/>
      <c r="CK9" s="361"/>
      <c r="CL9" s="361"/>
      <c r="CM9" s="361"/>
      <c r="CN9" s="361"/>
      <c r="CO9" s="361">
        <f t="shared" ref="CO9:CT9" si="43">IFERROR(CO5/CO8-1,"")</f>
        <v>2.8332923439695401E-2</v>
      </c>
      <c r="CP9" s="361">
        <f t="shared" si="43"/>
        <v>5.8462168754120025E-2</v>
      </c>
      <c r="CQ9" s="361">
        <f t="shared" si="43"/>
        <v>6.4968089370680548E-2</v>
      </c>
      <c r="CR9" s="361">
        <f t="shared" si="43"/>
        <v>3.560371948764729E-2</v>
      </c>
      <c r="CS9" s="361">
        <f t="shared" si="43"/>
        <v>3.6734666569720797E-2</v>
      </c>
      <c r="CT9" s="361">
        <f t="shared" si="43"/>
        <v>0.164792828435814</v>
      </c>
      <c r="CV9" s="1366"/>
    </row>
    <row r="10" spans="1:121">
      <c r="B10" s="1339" t="s">
        <v>1468</v>
      </c>
      <c r="C10" s="1339"/>
      <c r="D10" s="1339"/>
      <c r="E10" s="1339"/>
      <c r="F10" s="1339"/>
      <c r="G10" s="1339"/>
      <c r="H10" s="1339"/>
      <c r="I10" s="1339"/>
      <c r="J10" s="1339"/>
      <c r="K10" s="1339"/>
      <c r="L10" s="1339"/>
      <c r="M10" s="1339"/>
      <c r="N10" s="1339"/>
      <c r="O10" s="1339"/>
      <c r="P10" s="1339"/>
      <c r="Q10" s="1339"/>
      <c r="R10" s="1339"/>
      <c r="S10" s="1339"/>
      <c r="T10" s="1339"/>
      <c r="U10" s="1339"/>
      <c r="V10" s="1339"/>
      <c r="W10" s="1339"/>
      <c r="X10" s="1339"/>
      <c r="Y10" s="1339"/>
      <c r="Z10" s="1339"/>
      <c r="AA10" s="1339"/>
      <c r="AB10" s="1339"/>
      <c r="AC10" s="1339"/>
      <c r="AD10" s="1339"/>
      <c r="AE10" s="1339"/>
      <c r="AF10" s="1339"/>
      <c r="AG10" s="1340"/>
      <c r="AH10" s="1340"/>
      <c r="AI10" s="1340"/>
      <c r="AJ10" s="1340"/>
      <c r="AK10" s="1340"/>
      <c r="AL10" s="1340"/>
      <c r="AM10" s="1340"/>
      <c r="AN10" s="1340"/>
      <c r="AO10" s="1340"/>
      <c r="AP10" s="1340"/>
      <c r="AQ10" s="1340"/>
      <c r="AR10" s="1340"/>
      <c r="AS10" s="1340"/>
      <c r="AT10" s="1340"/>
      <c r="AU10" s="1340"/>
      <c r="AV10" s="361"/>
      <c r="AW10" s="361"/>
      <c r="AX10" s="361"/>
      <c r="AY10" s="361"/>
      <c r="AZ10" s="361"/>
      <c r="BA10" s="361"/>
      <c r="BB10" s="361"/>
      <c r="BC10" s="361"/>
      <c r="BD10" s="361"/>
      <c r="BE10" s="361"/>
      <c r="BF10" s="361"/>
      <c r="BG10" s="361"/>
      <c r="BH10" s="361"/>
      <c r="BI10" s="361"/>
      <c r="BJ10" s="361"/>
      <c r="BK10" s="361"/>
      <c r="BL10" s="361"/>
      <c r="BM10" s="361"/>
      <c r="BN10" s="361"/>
      <c r="BO10" s="361"/>
      <c r="BP10" s="361"/>
      <c r="BQ10" s="361"/>
      <c r="BR10" s="361"/>
      <c r="BS10" s="361"/>
      <c r="BT10" s="361"/>
      <c r="BU10" s="361"/>
      <c r="BV10" s="361"/>
      <c r="BW10" s="361"/>
      <c r="BX10" s="361"/>
      <c r="BY10" s="361"/>
      <c r="BZ10" s="361"/>
      <c r="CA10" s="361"/>
      <c r="CB10" s="361"/>
      <c r="CC10" s="361"/>
      <c r="CD10" s="361"/>
      <c r="CE10" s="361"/>
      <c r="CF10" s="361"/>
      <c r="CG10" s="361"/>
      <c r="CH10" s="361"/>
      <c r="CI10" s="361"/>
      <c r="CJ10" s="361"/>
      <c r="CK10" s="361"/>
      <c r="CL10" s="361"/>
      <c r="CM10" s="361"/>
      <c r="CN10" s="361"/>
      <c r="CO10" s="361">
        <f>IFERROR(CO8/CJ8-1,"")</f>
        <v>0.20303657428153499</v>
      </c>
      <c r="CP10" s="361">
        <f t="shared" ref="CP10:CT10" si="44">IFERROR(CP8/CO8-1,"")</f>
        <v>8.1497787004707112E-2</v>
      </c>
      <c r="CQ10" s="361">
        <f t="shared" si="44"/>
        <v>3.7220850801259253E-2</v>
      </c>
      <c r="CR10" s="361">
        <f t="shared" si="44"/>
        <v>7.3125599312642509E-2</v>
      </c>
      <c r="CS10" s="361">
        <f t="shared" si="44"/>
        <v>4.2340537320131544E-2</v>
      </c>
      <c r="CT10" s="361">
        <f t="shared" si="44"/>
        <v>-7.1291010335809313E-2</v>
      </c>
      <c r="CU10" s="347"/>
      <c r="CV10" s="1363"/>
      <c r="CW10" s="347"/>
      <c r="CX10" s="347"/>
      <c r="CY10" s="347"/>
      <c r="CZ10" s="347"/>
      <c r="DA10" s="347"/>
      <c r="DL10" s="347"/>
      <c r="DM10" s="347"/>
      <c r="DN10" s="347"/>
    </row>
    <row r="11" spans="1:121">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63"/>
      <c r="AH11" s="363"/>
      <c r="AI11" s="363"/>
      <c r="AJ11" s="363"/>
      <c r="AK11" s="363"/>
      <c r="AL11" s="363"/>
      <c r="AM11" s="363"/>
      <c r="AN11" s="363"/>
      <c r="AO11" s="363"/>
      <c r="AP11" s="363"/>
      <c r="AQ11" s="363"/>
      <c r="AR11" s="363"/>
      <c r="AS11" s="363"/>
      <c r="AT11" s="363"/>
      <c r="AU11" s="363"/>
      <c r="AV11" s="363"/>
      <c r="AW11" s="363"/>
      <c r="AX11" s="363"/>
      <c r="AY11" s="363"/>
      <c r="AZ11" s="363"/>
      <c r="BA11" s="363"/>
      <c r="BB11" s="363"/>
      <c r="BC11" s="363"/>
      <c r="BD11" s="363"/>
      <c r="BE11" s="363"/>
      <c r="BF11" s="363"/>
      <c r="BG11" s="363"/>
      <c r="BH11" s="363"/>
      <c r="BI11" s="363"/>
      <c r="BJ11" s="363"/>
      <c r="BK11" s="363"/>
      <c r="BL11" s="363"/>
      <c r="BM11" s="363"/>
      <c r="BN11" s="363"/>
      <c r="BO11" s="363"/>
      <c r="BP11" s="363"/>
      <c r="BQ11" s="363"/>
      <c r="BR11" s="363"/>
      <c r="BS11" s="363"/>
      <c r="BT11" s="363"/>
      <c r="BU11" s="363"/>
      <c r="BV11" s="363"/>
      <c r="BW11" s="363"/>
      <c r="BX11" s="363"/>
      <c r="BY11" s="363"/>
      <c r="BZ11" s="363"/>
      <c r="CA11" s="363"/>
      <c r="CB11" s="363"/>
      <c r="CC11" s="363"/>
      <c r="CD11" s="363"/>
      <c r="CE11" s="363"/>
      <c r="CF11" s="363"/>
      <c r="CG11" s="363"/>
      <c r="CH11" s="363"/>
      <c r="CI11" s="363"/>
      <c r="CJ11" s="363"/>
      <c r="CK11" s="363"/>
      <c r="CL11" s="363"/>
      <c r="CM11" s="363"/>
      <c r="CN11" s="363"/>
      <c r="CO11" s="363"/>
      <c r="CP11" s="363"/>
      <c r="CQ11" s="363"/>
      <c r="CR11" s="363"/>
      <c r="CS11" s="363"/>
      <c r="CT11" s="363"/>
      <c r="CU11" s="347"/>
      <c r="CV11" s="1363"/>
      <c r="CW11" s="347"/>
      <c r="CX11" s="347"/>
      <c r="CY11" s="347"/>
      <c r="CZ11" s="347"/>
      <c r="DA11" s="347"/>
      <c r="DL11" s="347"/>
      <c r="DM11" s="347"/>
      <c r="DN11" s="347"/>
    </row>
    <row r="12" spans="1:121" s="399" customFormat="1">
      <c r="A12" s="769"/>
      <c r="B12" s="364" t="s">
        <v>2</v>
      </c>
      <c r="C12" s="551">
        <f>C248</f>
        <v>3509</v>
      </c>
      <c r="D12" s="551">
        <f t="shared" ref="D12:BO12" si="45">D248</f>
        <v>1134</v>
      </c>
      <c r="E12" s="551">
        <f t="shared" si="45"/>
        <v>1490</v>
      </c>
      <c r="F12" s="551">
        <f t="shared" si="45"/>
        <v>1486</v>
      </c>
      <c r="G12" s="551">
        <f t="shared" si="45"/>
        <v>1022</v>
      </c>
      <c r="H12" s="551">
        <f t="shared" si="45"/>
        <v>5132</v>
      </c>
      <c r="I12" s="551">
        <f t="shared" si="45"/>
        <v>1113</v>
      </c>
      <c r="J12" s="551">
        <f t="shared" si="45"/>
        <v>1455</v>
      </c>
      <c r="K12" s="551">
        <f t="shared" si="45"/>
        <v>1672</v>
      </c>
      <c r="L12" s="551">
        <f t="shared" si="45"/>
        <v>1965</v>
      </c>
      <c r="M12" s="551">
        <f t="shared" si="45"/>
        <v>6205</v>
      </c>
      <c r="N12" s="551">
        <f t="shared" si="45"/>
        <v>2142</v>
      </c>
      <c r="O12" s="551">
        <f t="shared" si="45"/>
        <v>2288</v>
      </c>
      <c r="P12" s="551">
        <f t="shared" si="45"/>
        <v>2362</v>
      </c>
      <c r="Q12" s="551">
        <f t="shared" si="45"/>
        <v>2495</v>
      </c>
      <c r="R12" s="551">
        <f t="shared" si="45"/>
        <v>9287</v>
      </c>
      <c r="S12" s="551">
        <f t="shared" si="45"/>
        <v>2363</v>
      </c>
      <c r="T12" s="551">
        <f t="shared" si="45"/>
        <v>2395</v>
      </c>
      <c r="U12" s="551">
        <f t="shared" si="45"/>
        <v>2270</v>
      </c>
      <c r="V12" s="551">
        <f t="shared" si="45"/>
        <v>2320</v>
      </c>
      <c r="W12" s="551">
        <f t="shared" si="45"/>
        <v>9348</v>
      </c>
      <c r="X12" s="551">
        <f t="shared" si="45"/>
        <v>2391</v>
      </c>
      <c r="Y12" s="551">
        <f t="shared" si="45"/>
        <v>2546</v>
      </c>
      <c r="Z12" s="551">
        <f t="shared" si="45"/>
        <v>2505</v>
      </c>
      <c r="AA12" s="551">
        <f t="shared" si="45"/>
        <v>2303</v>
      </c>
      <c r="AB12" s="551">
        <f t="shared" si="45"/>
        <v>9745</v>
      </c>
      <c r="AC12" s="551">
        <f t="shared" si="45"/>
        <v>2025</v>
      </c>
      <c r="AD12" s="551">
        <f t="shared" si="45"/>
        <v>2139</v>
      </c>
      <c r="AE12" s="551">
        <f t="shared" si="45"/>
        <v>2255</v>
      </c>
      <c r="AF12" s="551">
        <f t="shared" si="45"/>
        <v>2240</v>
      </c>
      <c r="AG12" s="551">
        <f t="shared" si="45"/>
        <v>8659</v>
      </c>
      <c r="AH12" s="551">
        <f t="shared" si="45"/>
        <v>2201</v>
      </c>
      <c r="AI12" s="551">
        <f t="shared" si="45"/>
        <v>2061</v>
      </c>
      <c r="AJ12" s="551">
        <f t="shared" si="45"/>
        <v>2061</v>
      </c>
      <c r="AK12" s="551">
        <f t="shared" si="45"/>
        <v>2300</v>
      </c>
      <c r="AL12" s="551">
        <f t="shared" si="45"/>
        <v>8623</v>
      </c>
      <c r="AM12" s="551">
        <f t="shared" si="45"/>
        <v>1877</v>
      </c>
      <c r="AN12" s="551">
        <f t="shared" si="45"/>
        <v>2000</v>
      </c>
      <c r="AO12" s="551">
        <f t="shared" si="45"/>
        <v>2196</v>
      </c>
      <c r="AP12" s="551">
        <f t="shared" si="45"/>
        <v>2320</v>
      </c>
      <c r="AQ12" s="551">
        <f t="shared" si="45"/>
        <v>8393</v>
      </c>
      <c r="AR12" s="551">
        <f t="shared" si="45"/>
        <v>2192</v>
      </c>
      <c r="AS12" s="551">
        <f t="shared" si="45"/>
        <v>2064</v>
      </c>
      <c r="AT12" s="551">
        <f t="shared" si="45"/>
        <v>1980</v>
      </c>
      <c r="AU12" s="551">
        <f t="shared" si="45"/>
        <v>1821</v>
      </c>
      <c r="AV12" s="551">
        <f t="shared" si="45"/>
        <v>8057</v>
      </c>
      <c r="AW12" s="551">
        <f t="shared" si="45"/>
        <v>1848</v>
      </c>
      <c r="AX12" s="551">
        <f t="shared" si="45"/>
        <v>2073</v>
      </c>
      <c r="AY12" s="551">
        <f t="shared" si="45"/>
        <v>2281</v>
      </c>
      <c r="AZ12" s="551">
        <f t="shared" si="45"/>
        <v>2119</v>
      </c>
      <c r="BA12" s="551">
        <f t="shared" si="45"/>
        <v>8321</v>
      </c>
      <c r="BB12" s="551">
        <f t="shared" si="45"/>
        <v>1986</v>
      </c>
      <c r="BC12" s="551">
        <f t="shared" si="45"/>
        <v>2000</v>
      </c>
      <c r="BD12" s="551">
        <f t="shared" si="45"/>
        <v>2176</v>
      </c>
      <c r="BE12" s="551">
        <f t="shared" si="45"/>
        <v>2351</v>
      </c>
      <c r="BF12" s="551">
        <f t="shared" si="45"/>
        <v>8513</v>
      </c>
      <c r="BG12" s="551">
        <f t="shared" si="45"/>
        <v>2279</v>
      </c>
      <c r="BH12" s="551">
        <f t="shared" si="45"/>
        <v>2471</v>
      </c>
      <c r="BI12" s="551">
        <f t="shared" si="45"/>
        <v>2608</v>
      </c>
      <c r="BJ12" s="551">
        <f t="shared" si="45"/>
        <v>2608</v>
      </c>
      <c r="BK12" s="551">
        <f t="shared" si="45"/>
        <v>9966</v>
      </c>
      <c r="BL12" s="551">
        <f t="shared" si="45"/>
        <v>3184</v>
      </c>
      <c r="BM12" s="551">
        <f t="shared" si="45"/>
        <v>3306</v>
      </c>
      <c r="BN12" s="551">
        <f t="shared" si="45"/>
        <v>3405</v>
      </c>
      <c r="BO12" s="551">
        <f t="shared" si="45"/>
        <v>3165</v>
      </c>
      <c r="BP12" s="551">
        <f t="shared" ref="BP12:CT12" si="46">BP248</f>
        <v>13060</v>
      </c>
      <c r="BQ12" s="551">
        <f t="shared" si="46"/>
        <v>3119</v>
      </c>
      <c r="BR12" s="551">
        <f t="shared" si="46"/>
        <v>3369</v>
      </c>
      <c r="BS12" s="551">
        <f t="shared" si="46"/>
        <v>3418</v>
      </c>
      <c r="BT12" s="551">
        <f t="shared" si="46"/>
        <v>3381</v>
      </c>
      <c r="BU12" s="551">
        <f t="shared" si="46"/>
        <v>13287</v>
      </c>
      <c r="BV12" s="551">
        <f t="shared" si="46"/>
        <v>3174</v>
      </c>
      <c r="BW12" s="551">
        <f t="shared" si="46"/>
        <v>3560</v>
      </c>
      <c r="BX12" s="551">
        <f t="shared" si="46"/>
        <v>3643</v>
      </c>
      <c r="BY12" s="551">
        <f t="shared" si="46"/>
        <v>3858</v>
      </c>
      <c r="BZ12" s="551">
        <f t="shared" si="46"/>
        <v>14235</v>
      </c>
      <c r="CA12" s="551">
        <f t="shared" si="46"/>
        <v>3583</v>
      </c>
      <c r="CB12" s="551">
        <f t="shared" ref="CB12:CC12" si="47">CB248</f>
        <v>4069</v>
      </c>
      <c r="CC12" s="551">
        <f t="shared" si="47"/>
        <v>4103</v>
      </c>
      <c r="CD12" s="551">
        <f t="shared" ref="CD12:CE12" si="48">CD248</f>
        <v>4130</v>
      </c>
      <c r="CE12" s="551">
        <f t="shared" si="48"/>
        <v>15885</v>
      </c>
      <c r="CF12" s="551">
        <f t="shared" ref="CF12:CG12" si="49">CF248</f>
        <v>4454</v>
      </c>
      <c r="CG12" s="551">
        <f t="shared" si="49"/>
        <v>4503</v>
      </c>
      <c r="CH12" s="551">
        <f t="shared" ref="CH12:CK12" si="50">CH248</f>
        <v>4339</v>
      </c>
      <c r="CI12" s="551">
        <f t="shared" si="50"/>
        <v>4583</v>
      </c>
      <c r="CJ12" s="551">
        <f t="shared" si="50"/>
        <v>17879</v>
      </c>
      <c r="CK12" s="551">
        <f t="shared" si="50"/>
        <v>4321</v>
      </c>
      <c r="CL12" s="551">
        <f t="shared" ref="CL12:CN12" si="51">CL248</f>
        <v>4487</v>
      </c>
      <c r="CM12" s="551">
        <f t="shared" ref="CM12" si="52">CM248</f>
        <v>4858</v>
      </c>
      <c r="CN12" s="1351">
        <f t="shared" si="51"/>
        <v>4881.7779526881241</v>
      </c>
      <c r="CO12" s="551">
        <f t="shared" si="46"/>
        <v>18547.777952688124</v>
      </c>
      <c r="CP12" s="551">
        <f t="shared" si="46"/>
        <v>22026.102884302556</v>
      </c>
      <c r="CQ12" s="551">
        <f t="shared" si="46"/>
        <v>24266.810115801967</v>
      </c>
      <c r="CR12" s="551">
        <f t="shared" si="46"/>
        <v>26620.859772424206</v>
      </c>
      <c r="CS12" s="551">
        <f t="shared" si="46"/>
        <v>27939.493298103363</v>
      </c>
      <c r="CT12" s="551">
        <f t="shared" si="46"/>
        <v>29320.919629442382</v>
      </c>
      <c r="CU12" s="364"/>
      <c r="CV12" s="1362"/>
      <c r="CW12" s="1364">
        <f>(CT12/22452)^(1/(CT$2-CJ$2))-1</f>
        <v>4.5491305900001944E-2</v>
      </c>
      <c r="CX12" s="364"/>
      <c r="CY12" s="364">
        <f>Old!X5</f>
        <v>20677.714631191488</v>
      </c>
      <c r="CZ12" s="364">
        <f>Old!Y5</f>
        <v>23816.19512184387</v>
      </c>
      <c r="DA12" s="364">
        <f>Old!Z5</f>
        <v>25025.885460748661</v>
      </c>
      <c r="DB12" s="364">
        <f>Old!AA5</f>
        <v>26592.193763350788</v>
      </c>
      <c r="DC12" s="364">
        <f>Old!AB5</f>
        <v>27480.438044350718</v>
      </c>
      <c r="DL12" s="364"/>
      <c r="DM12" s="364"/>
      <c r="DN12" s="364"/>
    </row>
    <row r="13" spans="1:121">
      <c r="B13" s="347" t="s">
        <v>0</v>
      </c>
      <c r="C13" s="356"/>
      <c r="D13" s="356"/>
      <c r="E13" s="356"/>
      <c r="F13" s="356"/>
      <c r="G13" s="356"/>
      <c r="H13" s="366" t="s">
        <v>3</v>
      </c>
      <c r="I13" s="366"/>
      <c r="J13" s="366"/>
      <c r="K13" s="366"/>
      <c r="L13" s="366"/>
      <c r="M13" s="356">
        <f>M12/H12-1</f>
        <v>0.20908028059236172</v>
      </c>
      <c r="N13" s="356"/>
      <c r="O13" s="356"/>
      <c r="P13" s="356"/>
      <c r="Q13" s="356"/>
      <c r="R13" s="356">
        <f>R12/M12-1</f>
        <v>0.49669621273166809</v>
      </c>
      <c r="S13" s="356"/>
      <c r="T13" s="356"/>
      <c r="U13" s="356"/>
      <c r="V13" s="356"/>
      <c r="W13" s="356">
        <f>W12/R12-1</f>
        <v>6.5683213093572501E-3</v>
      </c>
      <c r="X13" s="356"/>
      <c r="Y13" s="356"/>
      <c r="Z13" s="356"/>
      <c r="AA13" s="356"/>
      <c r="AB13" s="356">
        <f>AB12/W12-1</f>
        <v>4.2468977321352241E-2</v>
      </c>
      <c r="AC13" s="356"/>
      <c r="AD13" s="356"/>
      <c r="AE13" s="356"/>
      <c r="AF13" s="356"/>
      <c r="AG13" s="356">
        <f>AG12/AB12-1</f>
        <v>-0.1114417650076962</v>
      </c>
      <c r="AH13" s="356"/>
      <c r="AI13" s="356"/>
      <c r="AJ13" s="356"/>
      <c r="AK13" s="356"/>
      <c r="AL13" s="356">
        <f>AL12/AG12-1</f>
        <v>-4.1575239635062156E-3</v>
      </c>
      <c r="AM13" s="356"/>
      <c r="AN13" s="356"/>
      <c r="AO13" s="356"/>
      <c r="AP13" s="356"/>
      <c r="AQ13" s="356">
        <f>AQ12/AL12-1</f>
        <v>-2.6672851675750953E-2</v>
      </c>
      <c r="AR13" s="356"/>
      <c r="AS13" s="356"/>
      <c r="AT13" s="356"/>
      <c r="AU13" s="356"/>
      <c r="AV13" s="356">
        <f>AV12/AQ12-1</f>
        <v>-4.0033361134278578E-2</v>
      </c>
      <c r="AW13" s="356"/>
      <c r="AX13" s="356"/>
      <c r="AY13" s="356"/>
      <c r="AZ13" s="356"/>
      <c r="BA13" s="356">
        <f t="shared" ref="BA13:CM13" si="53">BA12/AV12-1</f>
        <v>3.2766538413801616E-2</v>
      </c>
      <c r="BB13" s="356">
        <f t="shared" si="53"/>
        <v>7.4675324675324672E-2</v>
      </c>
      <c r="BC13" s="356">
        <f t="shared" si="53"/>
        <v>-3.5214664737096002E-2</v>
      </c>
      <c r="BD13" s="356">
        <f t="shared" si="53"/>
        <v>-4.6032441911442401E-2</v>
      </c>
      <c r="BE13" s="356">
        <f t="shared" si="53"/>
        <v>0.10948560641812177</v>
      </c>
      <c r="BF13" s="356">
        <f t="shared" si="53"/>
        <v>2.3074149741617589E-2</v>
      </c>
      <c r="BG13" s="356">
        <f t="shared" si="53"/>
        <v>0.14753272910372606</v>
      </c>
      <c r="BH13" s="356">
        <f t="shared" si="53"/>
        <v>0.23550000000000004</v>
      </c>
      <c r="BI13" s="356">
        <f t="shared" si="53"/>
        <v>0.19852941176470584</v>
      </c>
      <c r="BJ13" s="356">
        <f t="shared" si="53"/>
        <v>0.1093151850276477</v>
      </c>
      <c r="BK13" s="356">
        <f t="shared" si="53"/>
        <v>0.17068013626218725</v>
      </c>
      <c r="BL13" s="356">
        <f t="shared" si="53"/>
        <v>0.39710399297937693</v>
      </c>
      <c r="BM13" s="356">
        <f t="shared" si="53"/>
        <v>0.33791987049777417</v>
      </c>
      <c r="BN13" s="356">
        <f t="shared" si="53"/>
        <v>0.30559815950920255</v>
      </c>
      <c r="BO13" s="356">
        <f t="shared" si="53"/>
        <v>0.2135736196319018</v>
      </c>
      <c r="BP13" s="356">
        <f t="shared" si="53"/>
        <v>0.3104555488661449</v>
      </c>
      <c r="BQ13" s="356">
        <f t="shared" si="53"/>
        <v>-2.0414572864321578E-2</v>
      </c>
      <c r="BR13" s="356">
        <f t="shared" si="53"/>
        <v>1.9056261343012748E-2</v>
      </c>
      <c r="BS13" s="356">
        <f t="shared" si="53"/>
        <v>3.8179148311305866E-3</v>
      </c>
      <c r="BT13" s="356">
        <f t="shared" si="53"/>
        <v>6.824644549763037E-2</v>
      </c>
      <c r="BU13" s="356">
        <f t="shared" si="53"/>
        <v>1.7381316998468677E-2</v>
      </c>
      <c r="BV13" s="356">
        <f t="shared" si="53"/>
        <v>1.7633857005450393E-2</v>
      </c>
      <c r="BW13" s="356">
        <f t="shared" si="53"/>
        <v>5.6693380825170614E-2</v>
      </c>
      <c r="BX13" s="356">
        <f t="shared" si="53"/>
        <v>6.5827969572849643E-2</v>
      </c>
      <c r="BY13" s="356">
        <f t="shared" si="53"/>
        <v>0.1410825199645076</v>
      </c>
      <c r="BZ13" s="356">
        <f t="shared" si="53"/>
        <v>7.1347934070896457E-2</v>
      </c>
      <c r="CA13" s="356">
        <f t="shared" si="53"/>
        <v>0.12885948330182728</v>
      </c>
      <c r="CB13" s="356">
        <f t="shared" si="53"/>
        <v>0.14297752808988773</v>
      </c>
      <c r="CC13" s="356">
        <f t="shared" si="53"/>
        <v>0.12626955805654672</v>
      </c>
      <c r="CD13" s="356">
        <f t="shared" si="53"/>
        <v>7.0502851218247731E-2</v>
      </c>
      <c r="CE13" s="356">
        <f t="shared" si="53"/>
        <v>0.11591148577449939</v>
      </c>
      <c r="CF13" s="356">
        <f t="shared" si="53"/>
        <v>0.24309238068657546</v>
      </c>
      <c r="CG13" s="356">
        <f t="shared" si="53"/>
        <v>0.10666011304988943</v>
      </c>
      <c r="CH13" s="356">
        <f t="shared" si="53"/>
        <v>5.7518888618084407E-2</v>
      </c>
      <c r="CI13" s="356">
        <f t="shared" si="53"/>
        <v>0.10968523002421304</v>
      </c>
      <c r="CJ13" s="356">
        <f t="shared" si="53"/>
        <v>0.12552722694365759</v>
      </c>
      <c r="CK13" s="356">
        <f t="shared" si="53"/>
        <v>-2.9860799281544725E-2</v>
      </c>
      <c r="CL13" s="356">
        <f t="shared" si="53"/>
        <v>-3.5531867643793236E-3</v>
      </c>
      <c r="CM13" s="356">
        <f t="shared" si="53"/>
        <v>0.11961281401244528</v>
      </c>
      <c r="CN13" s="356">
        <f t="shared" ref="CN13" si="54">CN12/CI12-1</f>
        <v>6.519265823437137E-2</v>
      </c>
      <c r="CO13" s="356">
        <f>CO12/CJ12-1</f>
        <v>3.7405780674988787E-2</v>
      </c>
      <c r="CP13" s="356">
        <f t="shared" ref="CP13:CT13" si="55">CP12/CO12-1</f>
        <v>0.18753324201351673</v>
      </c>
      <c r="CQ13" s="356">
        <f t="shared" si="55"/>
        <v>0.1017296270370327</v>
      </c>
      <c r="CR13" s="356">
        <f t="shared" si="55"/>
        <v>9.7006967351235707E-2</v>
      </c>
      <c r="CS13" s="356">
        <f t="shared" si="55"/>
        <v>4.9533844396907556E-2</v>
      </c>
      <c r="CT13" s="356">
        <f t="shared" si="55"/>
        <v>4.9443499801508306E-2</v>
      </c>
      <c r="CU13" s="347"/>
      <c r="CV13" s="1363"/>
      <c r="CW13" s="347"/>
      <c r="CX13" s="347"/>
      <c r="CY13" s="347"/>
      <c r="CZ13" s="353">
        <f>CZ12/CY12-1</f>
        <v>0.15178082039676255</v>
      </c>
      <c r="DA13" s="353">
        <f t="shared" ref="DA13" si="56">DA12/CZ12-1</f>
        <v>5.0792762349989307E-2</v>
      </c>
      <c r="DB13" s="353">
        <f t="shared" ref="DB13" si="57">DB12/DA12-1</f>
        <v>6.2587527824291112E-2</v>
      </c>
      <c r="DC13" s="353">
        <f t="shared" ref="DC13" si="58">DC12/DB12-1</f>
        <v>3.3402444676230658E-2</v>
      </c>
      <c r="DL13" s="347"/>
      <c r="DM13" s="348"/>
      <c r="DN13" s="348"/>
    </row>
    <row r="14" spans="1:121">
      <c r="B14" s="347" t="s">
        <v>4</v>
      </c>
      <c r="C14" s="356">
        <f>C12/C$5</f>
        <v>0.43917396745932413</v>
      </c>
      <c r="D14" s="356" t="e">
        <f t="shared" ref="D14:BO14" si="59">D12/D$5</f>
        <v>#DIV/0!</v>
      </c>
      <c r="E14" s="356" t="e">
        <f t="shared" si="59"/>
        <v>#DIV/0!</v>
      </c>
      <c r="F14" s="356" t="e">
        <f t="shared" si="59"/>
        <v>#DIV/0!</v>
      </c>
      <c r="G14" s="356" t="e">
        <f t="shared" si="59"/>
        <v>#DIV/0!</v>
      </c>
      <c r="H14" s="356">
        <f t="shared" si="59"/>
        <v>0.42549204772607996</v>
      </c>
      <c r="I14" s="356" t="e">
        <f t="shared" si="59"/>
        <v>#DIV/0!</v>
      </c>
      <c r="J14" s="356" t="e">
        <f t="shared" si="59"/>
        <v>#DIV/0!</v>
      </c>
      <c r="K14" s="356" t="e">
        <f t="shared" si="59"/>
        <v>#DIV/0!</v>
      </c>
      <c r="L14" s="356" t="e">
        <f t="shared" si="59"/>
        <v>#DIV/0!</v>
      </c>
      <c r="M14" s="356">
        <f t="shared" si="59"/>
        <v>0.45268840738308891</v>
      </c>
      <c r="N14" s="356">
        <f t="shared" si="59"/>
        <v>0.52167559668777397</v>
      </c>
      <c r="O14" s="356">
        <f t="shared" si="59"/>
        <v>0.53696315418915752</v>
      </c>
      <c r="P14" s="356">
        <f t="shared" si="59"/>
        <v>0.53174245835209366</v>
      </c>
      <c r="Q14" s="356">
        <f t="shared" si="59"/>
        <v>0.53644377553214362</v>
      </c>
      <c r="R14" s="356">
        <f t="shared" si="59"/>
        <v>0.53190148911798396</v>
      </c>
      <c r="S14" s="356">
        <f t="shared" si="59"/>
        <v>0.52721999107541273</v>
      </c>
      <c r="T14" s="356">
        <f t="shared" si="59"/>
        <v>0.52602679551943776</v>
      </c>
      <c r="U14" s="356">
        <f t="shared" si="59"/>
        <v>0.47489539748953974</v>
      </c>
      <c r="V14" s="356">
        <f t="shared" si="59"/>
        <v>0.46764765168312838</v>
      </c>
      <c r="W14" s="356">
        <f t="shared" si="59"/>
        <v>0.51188259774394917</v>
      </c>
      <c r="X14" s="356">
        <f t="shared" si="59"/>
        <v>0.48865726548129984</v>
      </c>
      <c r="Y14" s="356">
        <f t="shared" si="59"/>
        <v>0.48689998087588449</v>
      </c>
      <c r="Z14" s="356">
        <f t="shared" si="59"/>
        <v>0.44940796555435952</v>
      </c>
      <c r="AA14" s="356">
        <f t="shared" si="59"/>
        <v>0.43675327138251469</v>
      </c>
      <c r="AB14" s="356">
        <f t="shared" si="59"/>
        <v>0.46473365444227194</v>
      </c>
      <c r="AC14" s="356">
        <f t="shared" si="59"/>
        <v>0.35168461271274748</v>
      </c>
      <c r="AD14" s="356">
        <f t="shared" si="59"/>
        <v>0.3532617671345995</v>
      </c>
      <c r="AE14" s="356">
        <f t="shared" si="59"/>
        <v>0.35300563556668751</v>
      </c>
      <c r="AF14" s="356">
        <f t="shared" si="59"/>
        <v>0.35093216355945478</v>
      </c>
      <c r="AG14" s="356">
        <f t="shared" si="59"/>
        <v>0.40717577353522055</v>
      </c>
      <c r="AH14" s="356">
        <f t="shared" si="59"/>
        <v>0.39967314327219899</v>
      </c>
      <c r="AI14" s="356">
        <f t="shared" si="59"/>
        <v>0.34116868068200629</v>
      </c>
      <c r="AJ14" s="356">
        <f t="shared" si="59"/>
        <v>0.34315684315684314</v>
      </c>
      <c r="AK14" s="356">
        <f t="shared" si="59"/>
        <v>0.38943447341686421</v>
      </c>
      <c r="AL14" s="356">
        <f t="shared" si="59"/>
        <v>0.3675618073316283</v>
      </c>
      <c r="AM14" s="356">
        <f t="shared" si="59"/>
        <v>0.34245575624885971</v>
      </c>
      <c r="AN14" s="356">
        <f t="shared" si="59"/>
        <v>0.35644270183567989</v>
      </c>
      <c r="AO14" s="356">
        <f t="shared" si="59"/>
        <v>0.37667238421955401</v>
      </c>
      <c r="AP14" s="356">
        <f t="shared" si="59"/>
        <v>0.3884145320609409</v>
      </c>
      <c r="AQ14" s="356">
        <f t="shared" si="59"/>
        <v>0.36658659095872459</v>
      </c>
      <c r="AR14" s="356">
        <f t="shared" si="59"/>
        <v>0.3903133903133903</v>
      </c>
      <c r="AS14" s="356">
        <f t="shared" si="59"/>
        <v>0.39404352806414661</v>
      </c>
      <c r="AT14" s="356">
        <f t="shared" si="59"/>
        <v>0.37858508604206503</v>
      </c>
      <c r="AU14" s="356">
        <f t="shared" si="59"/>
        <v>0.34639528248050216</v>
      </c>
      <c r="AV14" s="356">
        <f t="shared" si="59"/>
        <v>0.37753619792886933</v>
      </c>
      <c r="AW14" s="356">
        <f t="shared" si="59"/>
        <v>0.3509304975313331</v>
      </c>
      <c r="AX14" s="356">
        <f t="shared" si="59"/>
        <v>0.36580201164637377</v>
      </c>
      <c r="AY14" s="356">
        <f t="shared" si="59"/>
        <v>0.38207705192629815</v>
      </c>
      <c r="AZ14" s="356">
        <f t="shared" si="59"/>
        <v>0.35328442814271421</v>
      </c>
      <c r="BA14" s="356">
        <f t="shared" si="59"/>
        <v>0.36334657875201959</v>
      </c>
      <c r="BB14" s="356">
        <f t="shared" si="59"/>
        <v>0.36100131512815459</v>
      </c>
      <c r="BC14" s="356">
        <f t="shared" si="59"/>
        <v>0.36070631346063986</v>
      </c>
      <c r="BD14" s="356">
        <f t="shared" si="59"/>
        <v>0.372209497842177</v>
      </c>
      <c r="BE14" s="356">
        <f t="shared" si="59"/>
        <v>0.38881354810968144</v>
      </c>
      <c r="BF14" s="356">
        <f t="shared" si="59"/>
        <v>0.37111773704758561</v>
      </c>
      <c r="BG14" s="356">
        <f t="shared" si="59"/>
        <v>0.3819196329817684</v>
      </c>
      <c r="BH14" s="356">
        <f t="shared" si="59"/>
        <v>0.3928704584787121</v>
      </c>
      <c r="BI14" s="356">
        <f t="shared" si="59"/>
        <v>0.40348450955204701</v>
      </c>
      <c r="BJ14" s="356">
        <f t="shared" si="59"/>
        <v>0.40671643536748731</v>
      </c>
      <c r="BK14" s="356">
        <f t="shared" si="59"/>
        <v>0.39653279301529332</v>
      </c>
      <c r="BL14" s="356">
        <f t="shared" si="59"/>
        <v>0.49006095133082178</v>
      </c>
      <c r="BM14" s="356">
        <f t="shared" si="59"/>
        <v>0.50204942772287786</v>
      </c>
      <c r="BN14" s="356">
        <f t="shared" si="59"/>
        <v>0.51795020711163131</v>
      </c>
      <c r="BO14" s="356">
        <f t="shared" si="59"/>
        <v>0.49819422302478966</v>
      </c>
      <c r="BP14" s="356">
        <f t="shared" ref="BP14:CT14" si="60">BP12/BP$5</f>
        <v>0.50213204265661682</v>
      </c>
      <c r="BQ14" s="356">
        <f t="shared" si="60"/>
        <v>0.49925064383164541</v>
      </c>
      <c r="BR14" s="356">
        <f t="shared" si="60"/>
        <v>0.50082981062716558</v>
      </c>
      <c r="BS14" s="356">
        <f t="shared" si="60"/>
        <v>0.50073293354784665</v>
      </c>
      <c r="BT14" s="356">
        <f t="shared" si="60"/>
        <v>0.48620499386167992</v>
      </c>
      <c r="BU14" s="356">
        <f t="shared" si="60"/>
        <v>0.49663508889308344</v>
      </c>
      <c r="BV14" s="356">
        <f t="shared" si="60"/>
        <v>0.47077606410741879</v>
      </c>
      <c r="BW14" s="356">
        <f t="shared" si="60"/>
        <v>0.48549376010962347</v>
      </c>
      <c r="BX14" s="356">
        <f t="shared" si="60"/>
        <v>0.48440284019892005</v>
      </c>
      <c r="BY14" s="356">
        <f t="shared" si="60"/>
        <v>0.5112240038353727</v>
      </c>
      <c r="BZ14" s="356">
        <f t="shared" si="60"/>
        <v>0.48847034969535713</v>
      </c>
      <c r="CA14" s="356">
        <f t="shared" si="60"/>
        <v>0.47473780110672342</v>
      </c>
      <c r="CB14" s="356">
        <f t="shared" ref="CB14:CC14" si="61">CB12/CB$5</f>
        <v>0.49518065940442257</v>
      </c>
      <c r="CC14" s="356">
        <f t="shared" si="61"/>
        <v>0.50633836162826473</v>
      </c>
      <c r="CD14" s="356">
        <f t="shared" ref="CD14:CE14" si="62">CD12/CD$5</f>
        <v>0.48847720130240074</v>
      </c>
      <c r="CE14" s="356">
        <f t="shared" si="62"/>
        <v>0.49145102609312574</v>
      </c>
      <c r="CF14" s="356">
        <f t="shared" ref="CF14:CG14" si="63">CF12/CF$5</f>
        <v>0.52783237352139678</v>
      </c>
      <c r="CG14" s="356">
        <f t="shared" si="63"/>
        <v>0.52279541249637762</v>
      </c>
      <c r="CH14" s="356">
        <f t="shared" ref="CH14:CK14" si="64">CH12/CH$5</f>
        <v>0.52215368478765001</v>
      </c>
      <c r="CI14" s="356">
        <f t="shared" si="64"/>
        <v>0.5075200001417467</v>
      </c>
      <c r="CJ14" s="356">
        <f t="shared" si="64"/>
        <v>0.51986536129741223</v>
      </c>
      <c r="CK14" s="356">
        <f t="shared" si="64"/>
        <v>0.50237310544824276</v>
      </c>
      <c r="CL14" s="356">
        <f t="shared" ref="CL14:CN14" si="65">CL12/CL$5</f>
        <v>0.42758919456280359</v>
      </c>
      <c r="CM14" s="356">
        <f t="shared" ref="CM14" si="66">CM12/CM$5</f>
        <v>0.42418430310264887</v>
      </c>
      <c r="CN14" s="356">
        <f t="shared" si="65"/>
        <v>0.40931702420095512</v>
      </c>
      <c r="CO14" s="356">
        <f t="shared" si="60"/>
        <v>0.43668436543586781</v>
      </c>
      <c r="CP14" s="356">
        <f t="shared" si="60"/>
        <v>0.46585009015867812</v>
      </c>
      <c r="CQ14" s="356">
        <f t="shared" si="60"/>
        <v>0.49180022040220817</v>
      </c>
      <c r="CR14" s="356">
        <f t="shared" si="60"/>
        <v>0.51700000000000002</v>
      </c>
      <c r="CS14" s="356">
        <f t="shared" si="60"/>
        <v>0.51999999999999991</v>
      </c>
      <c r="CT14" s="356">
        <f t="shared" si="60"/>
        <v>0.52299999999999991</v>
      </c>
      <c r="CU14" s="347"/>
      <c r="CV14" s="1363"/>
      <c r="CW14" s="347"/>
      <c r="CX14" s="347"/>
      <c r="CY14" s="367">
        <f>CY12/CY5</f>
        <v>0.49830731206176931</v>
      </c>
      <c r="CZ14" s="367">
        <f t="shared" ref="CZ14:DC14" si="67">CZ12/CZ5</f>
        <v>0.48886003815035889</v>
      </c>
      <c r="DA14" s="367">
        <f t="shared" si="67"/>
        <v>0.49969413550108011</v>
      </c>
      <c r="DB14" s="367">
        <f t="shared" si="67"/>
        <v>0.5185707944357657</v>
      </c>
      <c r="DC14" s="367">
        <f t="shared" si="67"/>
        <v>0.52328426835339792</v>
      </c>
      <c r="DL14" s="347"/>
      <c r="DM14" s="367"/>
      <c r="DN14" s="367"/>
      <c r="DO14" s="367"/>
      <c r="DP14" s="367"/>
      <c r="DQ14" s="356"/>
    </row>
    <row r="15" spans="1:121">
      <c r="B15" s="357" t="s">
        <v>571</v>
      </c>
      <c r="C15" s="357"/>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8"/>
      <c r="AH15" s="358"/>
      <c r="AI15" s="358"/>
      <c r="AJ15" s="358"/>
      <c r="AK15" s="358"/>
      <c r="AL15" s="358"/>
      <c r="AM15" s="358"/>
      <c r="AN15" s="358"/>
      <c r="AO15" s="358"/>
      <c r="AP15" s="358"/>
      <c r="AQ15" s="358"/>
      <c r="AR15" s="358"/>
      <c r="AS15" s="358"/>
      <c r="AT15" s="358"/>
      <c r="AU15" s="358"/>
      <c r="AV15" s="359"/>
      <c r="AW15" s="359"/>
      <c r="AX15" s="359"/>
      <c r="AY15" s="359"/>
      <c r="AZ15" s="359"/>
      <c r="BA15" s="359"/>
      <c r="BB15" s="359"/>
      <c r="BC15" s="359"/>
      <c r="BD15" s="359"/>
      <c r="BE15" s="359"/>
      <c r="BF15" s="359"/>
      <c r="BG15" s="359"/>
      <c r="BH15" s="359"/>
      <c r="BI15" s="359"/>
      <c r="BJ15" s="359"/>
      <c r="BK15" s="359"/>
      <c r="BL15" s="359"/>
      <c r="BM15" s="359"/>
      <c r="BN15" s="359"/>
      <c r="BO15" s="359"/>
      <c r="BP15" s="359" t="s">
        <v>573</v>
      </c>
      <c r="BQ15" s="359"/>
      <c r="BR15" s="359"/>
      <c r="BS15" s="359"/>
      <c r="BT15" s="359"/>
      <c r="BU15" s="359"/>
      <c r="BV15" s="359"/>
      <c r="BW15" s="359"/>
      <c r="BX15" s="359"/>
      <c r="BY15" s="359"/>
      <c r="BZ15" s="369"/>
      <c r="CA15" s="359"/>
      <c r="CB15" s="359"/>
      <c r="CC15" s="359"/>
      <c r="CD15" s="359"/>
      <c r="CE15" s="369"/>
      <c r="CF15" s="359"/>
      <c r="CG15" s="359"/>
      <c r="CH15" s="359"/>
      <c r="CI15" s="359"/>
      <c r="CJ15" s="359" t="s">
        <v>848</v>
      </c>
      <c r="CK15" s="359"/>
      <c r="CL15" s="359"/>
      <c r="CM15" s="359"/>
      <c r="CN15" s="359"/>
      <c r="CO15" s="359" t="s">
        <v>1467</v>
      </c>
      <c r="CP15" s="359"/>
      <c r="CQ15" s="359"/>
      <c r="CR15" s="359"/>
      <c r="CS15" s="359"/>
      <c r="CT15" s="359"/>
      <c r="CU15" s="347"/>
      <c r="CV15" s="1363"/>
      <c r="CW15" s="347"/>
      <c r="CX15" s="347"/>
      <c r="CY15" s="347"/>
      <c r="CZ15" s="367"/>
      <c r="DA15" s="367"/>
      <c r="DB15" s="367"/>
      <c r="DC15" s="367"/>
      <c r="DL15" s="347"/>
      <c r="DM15" s="367"/>
      <c r="DN15" s="367"/>
      <c r="DO15" s="367"/>
      <c r="DP15" s="367"/>
      <c r="DQ15" s="356"/>
    </row>
    <row r="16" spans="1:121">
      <c r="B16" s="357" t="s">
        <v>1</v>
      </c>
      <c r="C16" s="357"/>
      <c r="D16" s="357"/>
      <c r="E16" s="357"/>
      <c r="F16" s="357"/>
      <c r="G16" s="357"/>
      <c r="H16" s="357"/>
      <c r="I16" s="357"/>
      <c r="J16" s="357"/>
      <c r="K16" s="357"/>
      <c r="L16" s="357"/>
      <c r="M16" s="357"/>
      <c r="N16" s="357"/>
      <c r="O16" s="357"/>
      <c r="P16" s="357"/>
      <c r="Q16" s="357"/>
      <c r="R16" s="357"/>
      <c r="S16" s="357"/>
      <c r="T16" s="357"/>
      <c r="U16" s="357"/>
      <c r="V16" s="357"/>
      <c r="W16" s="357"/>
      <c r="X16" s="357"/>
      <c r="Y16" s="357"/>
      <c r="Z16" s="357"/>
      <c r="AA16" s="357"/>
      <c r="AB16" s="357"/>
      <c r="AC16" s="357"/>
      <c r="AD16" s="357"/>
      <c r="AE16" s="357"/>
      <c r="AF16" s="357"/>
      <c r="AG16" s="358"/>
      <c r="AH16" s="358"/>
      <c r="AI16" s="358"/>
      <c r="AJ16" s="358"/>
      <c r="AK16" s="358"/>
      <c r="AL16" s="358"/>
      <c r="AM16" s="358"/>
      <c r="AN16" s="358"/>
      <c r="AO16" s="358"/>
      <c r="AP16" s="358"/>
      <c r="AQ16" s="358"/>
      <c r="AR16" s="358"/>
      <c r="AS16" s="358"/>
      <c r="AT16" s="358"/>
      <c r="AU16" s="358"/>
      <c r="AV16" s="359"/>
      <c r="AW16" s="359"/>
      <c r="AX16" s="359"/>
      <c r="AY16" s="359"/>
      <c r="AZ16" s="359"/>
      <c r="BA16" s="667">
        <f>BA12</f>
        <v>8321</v>
      </c>
      <c r="BB16" s="667">
        <f t="shared" ref="BB16:CE16" si="68">BB12</f>
        <v>1986</v>
      </c>
      <c r="BC16" s="667">
        <f t="shared" si="68"/>
        <v>2000</v>
      </c>
      <c r="BD16" s="667">
        <f t="shared" si="68"/>
        <v>2176</v>
      </c>
      <c r="BE16" s="667">
        <f t="shared" si="68"/>
        <v>2351</v>
      </c>
      <c r="BF16" s="667">
        <f t="shared" si="68"/>
        <v>8513</v>
      </c>
      <c r="BG16" s="667">
        <f t="shared" si="68"/>
        <v>2279</v>
      </c>
      <c r="BH16" s="667">
        <f t="shared" si="68"/>
        <v>2471</v>
      </c>
      <c r="BI16" s="667">
        <f t="shared" si="68"/>
        <v>2608</v>
      </c>
      <c r="BJ16" s="667">
        <f t="shared" si="68"/>
        <v>2608</v>
      </c>
      <c r="BK16" s="667">
        <f t="shared" si="68"/>
        <v>9966</v>
      </c>
      <c r="BL16" s="667">
        <f t="shared" si="68"/>
        <v>3184</v>
      </c>
      <c r="BM16" s="667">
        <f t="shared" si="68"/>
        <v>3306</v>
      </c>
      <c r="BN16" s="667">
        <f t="shared" si="68"/>
        <v>3405</v>
      </c>
      <c r="BO16" s="667">
        <f t="shared" si="68"/>
        <v>3165</v>
      </c>
      <c r="BP16" s="667">
        <f t="shared" si="68"/>
        <v>13060</v>
      </c>
      <c r="BQ16" s="667">
        <f t="shared" si="68"/>
        <v>3119</v>
      </c>
      <c r="BR16" s="667">
        <f t="shared" si="68"/>
        <v>3369</v>
      </c>
      <c r="BS16" s="667">
        <f t="shared" si="68"/>
        <v>3418</v>
      </c>
      <c r="BT16" s="667">
        <f t="shared" si="68"/>
        <v>3381</v>
      </c>
      <c r="BU16" s="667">
        <f t="shared" si="68"/>
        <v>13287</v>
      </c>
      <c r="BV16" s="667">
        <f t="shared" si="68"/>
        <v>3174</v>
      </c>
      <c r="BW16" s="667">
        <f t="shared" si="68"/>
        <v>3560</v>
      </c>
      <c r="BX16" s="667">
        <f t="shared" si="68"/>
        <v>3643</v>
      </c>
      <c r="BY16" s="667">
        <f t="shared" si="68"/>
        <v>3858</v>
      </c>
      <c r="BZ16" s="667">
        <f t="shared" si="68"/>
        <v>14235</v>
      </c>
      <c r="CA16" s="667">
        <f t="shared" si="68"/>
        <v>3583</v>
      </c>
      <c r="CB16" s="667">
        <f t="shared" si="68"/>
        <v>4069</v>
      </c>
      <c r="CC16" s="667">
        <f t="shared" si="68"/>
        <v>4103</v>
      </c>
      <c r="CD16" s="667">
        <f t="shared" si="68"/>
        <v>4130</v>
      </c>
      <c r="CE16" s="667">
        <f t="shared" si="68"/>
        <v>15885</v>
      </c>
      <c r="CF16" s="667">
        <f t="shared" ref="CF16:CG16" si="69">CF12</f>
        <v>4454</v>
      </c>
      <c r="CG16" s="667">
        <f t="shared" si="69"/>
        <v>4503</v>
      </c>
      <c r="CH16" s="667">
        <f t="shared" ref="CH16:CI16" si="70">CH12</f>
        <v>4339</v>
      </c>
      <c r="CI16" s="667">
        <f t="shared" si="70"/>
        <v>4583</v>
      </c>
      <c r="CJ16" s="576" cm="1">
        <f t="array" ref="CJ16">_xll.VAData("EXCL_IJ", "FY-"&amp;CJ$2, "EBITDA", "Consensus", "CD", "IMPL","","")</f>
        <v>17776.281092500001</v>
      </c>
      <c r="CK16" s="667">
        <f t="shared" ref="CK16:CL16" si="71">CK12</f>
        <v>4321</v>
      </c>
      <c r="CL16" s="667">
        <f t="shared" si="71"/>
        <v>4487</v>
      </c>
      <c r="CM16" s="667">
        <f t="shared" ref="CM16" si="72">CM12</f>
        <v>4858</v>
      </c>
      <c r="CN16" s="667"/>
      <c r="CO16" s="576" cm="1">
        <f t="array" ref="CO16">_xll.VAData("EXCL_IJ", "FY-"&amp;CO$2, "EBITDA", "Consensus", "CD", "IMPL","","")</f>
        <v>18272.344623233614</v>
      </c>
      <c r="CP16" s="576" cm="1">
        <f t="array" ref="CP16">_xll.VAData("EXCL_IJ", "FY-"&amp;CP$2, "EBITDA", "Consensus", "CD", "IMPL","","")</f>
        <v>20902.05543074253</v>
      </c>
      <c r="CQ16" s="576" cm="1">
        <f t="array" ref="CQ16">_xll.VAData("EXCL_IJ", "FY-"&amp;CQ$2, "EBITDA", "Consensus", "CD", "IMPL","","")</f>
        <v>22498.04688464342</v>
      </c>
      <c r="CR16" s="576" cm="1">
        <f t="array" ref="CR16">_xll.VAData("EXCL_IJ", "FY-"&amp;CR$2, "EBITDA", "Consensus", "CD", "IMPL","","")</f>
        <v>24310.396420931276</v>
      </c>
      <c r="CS16" s="576" cm="1">
        <f t="array" ref="CS16">_xll.VAData("EXCL_IJ", "FY-"&amp;CS$2, "EBITDA", "Consensus", "CD", "IMPL","","")</f>
        <v>25545.183349370101</v>
      </c>
      <c r="CT16" s="576" cm="1">
        <f t="array" ref="CT16">_xll.VAData("EXCL_IJ", "FY-"&amp;CT$2, "EBITDA", "Consensus", "CD", "IMPL","","")</f>
        <v>23594.3501872341</v>
      </c>
      <c r="CU16" s="347"/>
      <c r="CV16" s="1365">
        <f>(CO16/BZ16)^(1/(CO$2-BZ$2))-1</f>
        <v>8.6789920912909047E-2</v>
      </c>
      <c r="CW16" s="347"/>
      <c r="CX16" s="347"/>
      <c r="CY16" s="347"/>
      <c r="CZ16" s="367"/>
      <c r="DA16" s="367"/>
      <c r="DB16" s="367"/>
      <c r="DC16" s="367"/>
      <c r="DL16" s="347"/>
      <c r="DM16" s="367"/>
      <c r="DN16" s="367"/>
      <c r="DO16" s="367"/>
      <c r="DP16" s="367"/>
      <c r="DQ16" s="356"/>
    </row>
    <row r="17" spans="1:121" s="356" customFormat="1">
      <c r="A17" s="794"/>
      <c r="B17" s="1339" t="s">
        <v>560</v>
      </c>
      <c r="C17" s="1339"/>
      <c r="D17" s="1339"/>
      <c r="E17" s="1339"/>
      <c r="F17" s="1339"/>
      <c r="G17" s="1339"/>
      <c r="H17" s="1339"/>
      <c r="I17" s="1339"/>
      <c r="J17" s="1339"/>
      <c r="K17" s="1339"/>
      <c r="L17" s="1339"/>
      <c r="M17" s="1339"/>
      <c r="N17" s="1339"/>
      <c r="O17" s="1339"/>
      <c r="P17" s="1339"/>
      <c r="Q17" s="1339"/>
      <c r="R17" s="1339"/>
      <c r="S17" s="1339"/>
      <c r="T17" s="1339"/>
      <c r="U17" s="1339"/>
      <c r="V17" s="1339"/>
      <c r="W17" s="1339"/>
      <c r="X17" s="1339"/>
      <c r="Y17" s="1339"/>
      <c r="Z17" s="1339"/>
      <c r="AA17" s="1339"/>
      <c r="AB17" s="1339"/>
      <c r="AC17" s="1339"/>
      <c r="AD17" s="1339"/>
      <c r="AE17" s="1339"/>
      <c r="AF17" s="1339"/>
      <c r="AG17" s="1340"/>
      <c r="AH17" s="1340"/>
      <c r="AI17" s="1340"/>
      <c r="AJ17" s="1340"/>
      <c r="AK17" s="1340"/>
      <c r="AL17" s="1340"/>
      <c r="AM17" s="1340"/>
      <c r="AN17" s="1340"/>
      <c r="AO17" s="1340"/>
      <c r="AP17" s="1340"/>
      <c r="AQ17" s="1340"/>
      <c r="AR17" s="1340"/>
      <c r="AS17" s="1340"/>
      <c r="AT17" s="1340"/>
      <c r="AU17" s="1340"/>
      <c r="AV17" s="1360"/>
      <c r="AW17" s="1360"/>
      <c r="AX17" s="1360"/>
      <c r="AY17" s="1360"/>
      <c r="AZ17" s="1360"/>
      <c r="BA17" s="1360"/>
      <c r="BB17" s="1360"/>
      <c r="BC17" s="1360"/>
      <c r="BD17" s="1360"/>
      <c r="BE17" s="1360"/>
      <c r="BF17" s="1360"/>
      <c r="BG17" s="1360"/>
      <c r="BH17" s="1360"/>
      <c r="BI17" s="1360"/>
      <c r="BJ17" s="1360"/>
      <c r="BK17" s="1360">
        <f>BK12/BK16-1</f>
        <v>0</v>
      </c>
      <c r="BL17" s="1360"/>
      <c r="BM17" s="1360"/>
      <c r="BN17" s="1360"/>
      <c r="BO17" s="1360"/>
      <c r="BP17" s="1360">
        <f>BP12/BP16-1</f>
        <v>0</v>
      </c>
      <c r="BQ17" s="1360"/>
      <c r="BR17" s="1360"/>
      <c r="BS17" s="1360"/>
      <c r="BT17" s="1360"/>
      <c r="BU17" s="1360">
        <f>BU12/BU16-1</f>
        <v>0</v>
      </c>
      <c r="BV17" s="1360"/>
      <c r="BW17" s="1360"/>
      <c r="BX17" s="1360"/>
      <c r="BY17" s="1360"/>
      <c r="BZ17" s="1360">
        <f>BZ12/BZ16-1</f>
        <v>0</v>
      </c>
      <c r="CA17" s="1360"/>
      <c r="CB17" s="1360"/>
      <c r="CC17" s="1360"/>
      <c r="CD17" s="1360"/>
      <c r="CE17" s="1360">
        <f>CE12/CE16-1</f>
        <v>0</v>
      </c>
      <c r="CF17" s="1360"/>
      <c r="CG17" s="1360"/>
      <c r="CH17" s="1360"/>
      <c r="CI17" s="1360"/>
      <c r="CJ17" s="1360">
        <f t="shared" ref="CJ17" si="73">CJ12/CJ16-1</f>
        <v>5.7784250240808799E-3</v>
      </c>
      <c r="CK17" s="1360"/>
      <c r="CL17" s="1360"/>
      <c r="CM17" s="1360"/>
      <c r="CN17" s="1360"/>
      <c r="CO17" s="1360">
        <f t="shared" ref="CO17:CT17" si="74">CO12/CO16-1</f>
        <v>1.5073781451357515E-2</v>
      </c>
      <c r="CP17" s="1360">
        <f t="shared" si="74"/>
        <v>5.3776886071538632E-2</v>
      </c>
      <c r="CQ17" s="1360">
        <f t="shared" si="74"/>
        <v>7.8618523653529282E-2</v>
      </c>
      <c r="CR17" s="1360">
        <f t="shared" si="74"/>
        <v>9.5040134742665927E-2</v>
      </c>
      <c r="CS17" s="1360">
        <f t="shared" si="74"/>
        <v>9.3728430756880865E-2</v>
      </c>
      <c r="CT17" s="1360">
        <f t="shared" si="74"/>
        <v>0.24270935188995724</v>
      </c>
      <c r="CV17" s="1366"/>
      <c r="CZ17" s="367"/>
      <c r="DA17" s="367"/>
      <c r="DB17" s="367"/>
      <c r="DC17" s="367"/>
      <c r="DM17" s="367"/>
      <c r="DN17" s="367"/>
      <c r="DO17" s="367"/>
      <c r="DP17" s="367"/>
    </row>
    <row r="18" spans="1:121">
      <c r="B18" s="357" t="s">
        <v>260</v>
      </c>
      <c r="C18" s="357"/>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8"/>
      <c r="AH18" s="358"/>
      <c r="AI18" s="358"/>
      <c r="AJ18" s="358"/>
      <c r="AK18" s="358"/>
      <c r="AL18" s="358"/>
      <c r="AM18" s="358"/>
      <c r="AN18" s="358"/>
      <c r="AO18" s="358"/>
      <c r="AP18" s="358"/>
      <c r="AQ18" s="358"/>
      <c r="AR18" s="358"/>
      <c r="AS18" s="358"/>
      <c r="AT18" s="358"/>
      <c r="AU18" s="358"/>
      <c r="AV18" s="361"/>
      <c r="AW18" s="361"/>
      <c r="AX18" s="361"/>
      <c r="AY18" s="361"/>
      <c r="AZ18" s="361"/>
      <c r="BA18" s="361">
        <f>BA16/BA8</f>
        <v>0.36334657875201959</v>
      </c>
      <c r="BB18" s="361"/>
      <c r="BC18" s="361"/>
      <c r="BD18" s="361"/>
      <c r="BE18" s="361"/>
      <c r="BF18" s="361">
        <f>BF16/BF8</f>
        <v>0.37111773704758561</v>
      </c>
      <c r="BG18" s="361"/>
      <c r="BH18" s="361"/>
      <c r="BI18" s="361"/>
      <c r="BJ18" s="361"/>
      <c r="BK18" s="361">
        <f>BK16/BK8</f>
        <v>0.39653279301529332</v>
      </c>
      <c r="BL18" s="361"/>
      <c r="BM18" s="361"/>
      <c r="BN18" s="361"/>
      <c r="BO18" s="361"/>
      <c r="BP18" s="361">
        <f>BP16/BP8</f>
        <v>0.50213204265661682</v>
      </c>
      <c r="BQ18" s="361"/>
      <c r="BR18" s="361"/>
      <c r="BS18" s="361"/>
      <c r="BT18" s="361"/>
      <c r="BU18" s="361">
        <f>BU16/BU8</f>
        <v>0.49663508889308344</v>
      </c>
      <c r="BV18" s="361"/>
      <c r="BW18" s="361"/>
      <c r="BX18" s="361"/>
      <c r="BY18" s="361"/>
      <c r="BZ18" s="361">
        <f>BZ16/BZ8</f>
        <v>0.48847034969535713</v>
      </c>
      <c r="CA18" s="361"/>
      <c r="CB18" s="361"/>
      <c r="CC18" s="361"/>
      <c r="CD18" s="361"/>
      <c r="CE18" s="361">
        <f>CE16/CE8</f>
        <v>0.49145102609312574</v>
      </c>
      <c r="CF18" s="361"/>
      <c r="CG18" s="361"/>
      <c r="CH18" s="361"/>
      <c r="CI18" s="361"/>
      <c r="CJ18" s="361">
        <f>IFERROR(CJ16/CJ8,"")</f>
        <v>0.51776088217816629</v>
      </c>
      <c r="CK18" s="361"/>
      <c r="CL18" s="361"/>
      <c r="CM18" s="361"/>
      <c r="CN18" s="361"/>
      <c r="CO18" s="361">
        <f t="shared" ref="CO18:CT18" si="75">IFERROR(CO16/CO8,"")</f>
        <v>0.44238844341640904</v>
      </c>
      <c r="CP18" s="361">
        <f t="shared" si="75"/>
        <v>0.46792134394014628</v>
      </c>
      <c r="CQ18" s="361">
        <f t="shared" si="75"/>
        <v>0.48557625294599255</v>
      </c>
      <c r="CR18" s="361">
        <f t="shared" si="75"/>
        <v>0.48893835576258055</v>
      </c>
      <c r="CS18" s="361">
        <f t="shared" si="75"/>
        <v>0.49290300174713936</v>
      </c>
      <c r="CT18" s="361">
        <f t="shared" si="75"/>
        <v>0.49020846937818369</v>
      </c>
      <c r="CU18" s="347"/>
      <c r="CV18" s="1363"/>
      <c r="CW18" s="347"/>
      <c r="CX18" s="347"/>
      <c r="CY18" s="347"/>
      <c r="CZ18" s="367"/>
      <c r="DA18" s="367"/>
      <c r="DB18" s="367"/>
      <c r="DC18" s="367"/>
      <c r="DL18" s="347"/>
      <c r="DM18" s="367"/>
      <c r="DN18" s="367"/>
      <c r="DO18" s="367"/>
      <c r="DP18" s="367"/>
      <c r="DQ18" s="356"/>
    </row>
    <row r="19" spans="1:121">
      <c r="B19" s="347"/>
      <c r="C19" s="347"/>
      <c r="D19" s="347"/>
      <c r="E19" s="347"/>
      <c r="F19" s="347"/>
      <c r="G19" s="347"/>
      <c r="H19" s="347"/>
      <c r="I19" s="347"/>
      <c r="J19" s="347"/>
      <c r="K19" s="347"/>
      <c r="L19" s="347"/>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7"/>
      <c r="AK19" s="347"/>
      <c r="AL19" s="347"/>
      <c r="AM19" s="347"/>
      <c r="AN19" s="347"/>
      <c r="AO19" s="347"/>
      <c r="AP19" s="347"/>
      <c r="AQ19" s="347"/>
      <c r="AR19" s="347"/>
      <c r="AS19" s="347"/>
      <c r="AT19" s="347"/>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CI19" s="371"/>
      <c r="CJ19" s="371"/>
      <c r="CK19" s="371"/>
      <c r="CL19" s="371"/>
      <c r="CM19" s="371"/>
      <c r="CN19" s="371"/>
      <c r="CO19" s="371"/>
      <c r="CP19" s="371"/>
      <c r="CQ19" s="371"/>
      <c r="CR19" s="371"/>
      <c r="CS19" s="371"/>
      <c r="CT19" s="371"/>
      <c r="CU19" s="347"/>
      <c r="CV19" s="1363"/>
      <c r="CW19" s="347"/>
      <c r="CX19" s="347"/>
      <c r="CY19" s="347"/>
      <c r="CZ19" s="367"/>
      <c r="DA19" s="367"/>
      <c r="DB19" s="367"/>
      <c r="DC19" s="367"/>
      <c r="DL19" s="347"/>
      <c r="DM19" s="367"/>
      <c r="DN19" s="367"/>
      <c r="DO19" s="367"/>
      <c r="DP19" s="367"/>
      <c r="DQ19" s="356"/>
    </row>
    <row r="20" spans="1:121" s="399" customFormat="1">
      <c r="A20" s="769"/>
      <c r="B20" s="364" t="s">
        <v>1498</v>
      </c>
      <c r="C20" s="544">
        <f t="shared" ref="C20:AH20" si="76">C271</f>
        <v>252</v>
      </c>
      <c r="D20" s="544">
        <f t="shared" si="76"/>
        <v>321</v>
      </c>
      <c r="E20" s="544">
        <f t="shared" si="76"/>
        <v>329</v>
      </c>
      <c r="F20" s="544">
        <f t="shared" si="76"/>
        <v>78</v>
      </c>
      <c r="G20" s="544">
        <f t="shared" si="76"/>
        <v>-742</v>
      </c>
      <c r="H20" s="544">
        <f t="shared" si="76"/>
        <v>-14</v>
      </c>
      <c r="I20" s="544">
        <f t="shared" si="76"/>
        <v>-305</v>
      </c>
      <c r="J20" s="544">
        <f t="shared" si="76"/>
        <v>1011</v>
      </c>
      <c r="K20" s="544">
        <f t="shared" si="76"/>
        <v>496</v>
      </c>
      <c r="L20" s="544">
        <f t="shared" si="76"/>
        <v>507.50000000000011</v>
      </c>
      <c r="M20" s="544">
        <f t="shared" si="76"/>
        <v>1709.5000000000002</v>
      </c>
      <c r="N20" s="544">
        <f t="shared" si="76"/>
        <v>599</v>
      </c>
      <c r="O20" s="544">
        <f t="shared" si="76"/>
        <v>722</v>
      </c>
      <c r="P20" s="544">
        <f t="shared" si="76"/>
        <v>761</v>
      </c>
      <c r="Q20" s="544">
        <f t="shared" si="76"/>
        <v>810</v>
      </c>
      <c r="R20" s="544">
        <f t="shared" si="76"/>
        <v>2892</v>
      </c>
      <c r="S20" s="544">
        <f t="shared" si="76"/>
        <v>756</v>
      </c>
      <c r="T20" s="544">
        <f t="shared" si="76"/>
        <v>767</v>
      </c>
      <c r="U20" s="544">
        <f t="shared" si="76"/>
        <v>661</v>
      </c>
      <c r="V20" s="544">
        <f t="shared" si="76"/>
        <v>761</v>
      </c>
      <c r="W20" s="544">
        <f t="shared" si="76"/>
        <v>2830</v>
      </c>
      <c r="X20" s="544">
        <f t="shared" si="76"/>
        <v>667</v>
      </c>
      <c r="Y20" s="544">
        <f t="shared" si="76"/>
        <v>794</v>
      </c>
      <c r="Z20" s="544">
        <f t="shared" si="76"/>
        <v>736</v>
      </c>
      <c r="AA20" s="544">
        <f t="shared" si="76"/>
        <v>520</v>
      </c>
      <c r="AB20" s="544">
        <f t="shared" si="76"/>
        <v>2717</v>
      </c>
      <c r="AC20" s="544">
        <f t="shared" si="76"/>
        <v>316</v>
      </c>
      <c r="AD20" s="544">
        <f t="shared" si="76"/>
        <v>354</v>
      </c>
      <c r="AE20" s="544">
        <f t="shared" si="76"/>
        <v>246</v>
      </c>
      <c r="AF20" s="544">
        <f t="shared" si="76"/>
        <v>116</v>
      </c>
      <c r="AG20" s="544">
        <f t="shared" si="76"/>
        <v>1032</v>
      </c>
      <c r="AH20" s="544">
        <f t="shared" si="76"/>
        <v>380</v>
      </c>
      <c r="AI20" s="544">
        <f t="shared" ref="AI20:BN20" si="77">AI271</f>
        <v>-863</v>
      </c>
      <c r="AJ20" s="544">
        <f t="shared" si="77"/>
        <v>-419</v>
      </c>
      <c r="AK20" s="544">
        <f t="shared" si="77"/>
        <v>11</v>
      </c>
      <c r="AL20" s="544">
        <f t="shared" si="77"/>
        <v>-891</v>
      </c>
      <c r="AM20" s="544">
        <f t="shared" si="77"/>
        <v>-718</v>
      </c>
      <c r="AN20" s="544">
        <f t="shared" si="77"/>
        <v>-132</v>
      </c>
      <c r="AO20" s="544">
        <f t="shared" si="77"/>
        <v>343</v>
      </c>
      <c r="AP20" s="544">
        <f t="shared" si="77"/>
        <v>482</v>
      </c>
      <c r="AQ20" s="544">
        <f t="shared" si="77"/>
        <v>-25</v>
      </c>
      <c r="AR20" s="544">
        <f t="shared" si="77"/>
        <v>171</v>
      </c>
      <c r="AS20" s="544">
        <f t="shared" si="77"/>
        <v>53</v>
      </c>
      <c r="AT20" s="544">
        <f t="shared" si="77"/>
        <v>-65</v>
      </c>
      <c r="AU20" s="544">
        <f t="shared" si="77"/>
        <v>215</v>
      </c>
      <c r="AV20" s="544">
        <f t="shared" si="77"/>
        <v>374</v>
      </c>
      <c r="AW20" s="544">
        <f t="shared" si="77"/>
        <v>46</v>
      </c>
      <c r="AX20" s="544">
        <f t="shared" si="77"/>
        <v>97</v>
      </c>
      <c r="AY20" s="544">
        <f t="shared" si="77"/>
        <v>95</v>
      </c>
      <c r="AZ20" s="544">
        <f t="shared" si="77"/>
        <v>123</v>
      </c>
      <c r="BA20" s="544">
        <f t="shared" si="77"/>
        <v>361</v>
      </c>
      <c r="BB20" s="544">
        <f t="shared" si="77"/>
        <v>16</v>
      </c>
      <c r="BC20" s="544">
        <f t="shared" si="77"/>
        <v>-96</v>
      </c>
      <c r="BD20" s="544">
        <f t="shared" si="77"/>
        <v>-62</v>
      </c>
      <c r="BE20" s="544">
        <f t="shared" si="77"/>
        <v>-3152</v>
      </c>
      <c r="BF20" s="544">
        <f t="shared" si="77"/>
        <v>-3294</v>
      </c>
      <c r="BG20" s="544">
        <f t="shared" si="77"/>
        <v>78.575000000000003</v>
      </c>
      <c r="BH20" s="544">
        <f t="shared" si="77"/>
        <v>203.42500000000001</v>
      </c>
      <c r="BI20" s="544">
        <f t="shared" si="77"/>
        <v>215.99999999999989</v>
      </c>
      <c r="BJ20" s="544">
        <f t="shared" si="77"/>
        <v>213</v>
      </c>
      <c r="BK20" s="544">
        <f t="shared" si="77"/>
        <v>711</v>
      </c>
      <c r="BL20" s="544">
        <f t="shared" si="77"/>
        <v>1520.0000000000002</v>
      </c>
      <c r="BM20" s="544">
        <f t="shared" si="77"/>
        <v>224.00000000000006</v>
      </c>
      <c r="BN20" s="544">
        <f t="shared" si="77"/>
        <v>331</v>
      </c>
      <c r="BO20" s="544">
        <f t="shared" ref="BO20:CL20" si="78">BO271</f>
        <v>-1703</v>
      </c>
      <c r="BP20" s="544">
        <f t="shared" si="78"/>
        <v>-1654.7730000000001</v>
      </c>
      <c r="BQ20" s="544">
        <f t="shared" si="78"/>
        <v>321</v>
      </c>
      <c r="BR20" s="544">
        <f t="shared" si="78"/>
        <v>395.00000000000011</v>
      </c>
      <c r="BS20" s="544">
        <f t="shared" si="78"/>
        <v>299.99999999999994</v>
      </c>
      <c r="BT20" s="544">
        <f t="shared" si="78"/>
        <v>271.80700000000013</v>
      </c>
      <c r="BU20" s="544">
        <f t="shared" si="78"/>
        <v>1287.8070000000002</v>
      </c>
      <c r="BV20" s="544">
        <f t="shared" si="78"/>
        <v>139.09200000000007</v>
      </c>
      <c r="BW20" s="544">
        <f t="shared" si="78"/>
        <v>477.91999999999996</v>
      </c>
      <c r="BX20" s="544">
        <f t="shared" si="78"/>
        <v>371.76000000000016</v>
      </c>
      <c r="BY20" s="544">
        <f t="shared" si="78"/>
        <v>132.41599999999994</v>
      </c>
      <c r="BZ20" s="544">
        <f t="shared" si="78"/>
        <v>1121.1880000000001</v>
      </c>
      <c r="CA20" s="544">
        <f t="shared" si="78"/>
        <v>204.17500000000007</v>
      </c>
      <c r="CB20" s="544">
        <f t="shared" si="78"/>
        <v>453.34899999999999</v>
      </c>
      <c r="CC20" s="544">
        <f t="shared" si="78"/>
        <v>361.05899999999986</v>
      </c>
      <c r="CD20" s="544">
        <f t="shared" si="78"/>
        <v>265.86500000000007</v>
      </c>
      <c r="CE20" s="544">
        <f t="shared" si="78"/>
        <v>1284.4479999999999</v>
      </c>
      <c r="CF20" s="544">
        <f t="shared" si="78"/>
        <v>547.42999999999995</v>
      </c>
      <c r="CG20" s="544">
        <f t="shared" si="78"/>
        <v>489.73500000000001</v>
      </c>
      <c r="CH20" s="544">
        <f t="shared" si="78"/>
        <v>297.76700000000005</v>
      </c>
      <c r="CI20" s="544">
        <f t="shared" si="78"/>
        <v>512.69899999999996</v>
      </c>
      <c r="CJ20" s="544">
        <f t="shared" si="78"/>
        <v>1847.6309999999999</v>
      </c>
      <c r="CK20" s="544">
        <f t="shared" si="78"/>
        <v>388.23200000000003</v>
      </c>
      <c r="CL20" s="544">
        <f t="shared" si="78"/>
        <v>-1607</v>
      </c>
      <c r="CM20" s="544">
        <f t="shared" ref="CM20" si="79">CM271</f>
        <v>-1376.8369999999995</v>
      </c>
      <c r="CN20" s="544"/>
      <c r="CO20" s="544">
        <f t="shared" ref="CO20:CT20" si="80">CO271</f>
        <v>-2284.2333262787533</v>
      </c>
      <c r="CP20" s="544">
        <f t="shared" si="80"/>
        <v>736.32068869677698</v>
      </c>
      <c r="CQ20" s="544">
        <f t="shared" si="80"/>
        <v>2202.5305303360401</v>
      </c>
      <c r="CR20" s="544">
        <f t="shared" si="80"/>
        <v>4360.0040675784803</v>
      </c>
      <c r="CS20" s="544">
        <f t="shared" si="80"/>
        <v>5570.065627360118</v>
      </c>
      <c r="CT20" s="544">
        <f t="shared" si="80"/>
        <v>6701.2555973886965</v>
      </c>
      <c r="CU20" s="364"/>
      <c r="CV20" s="1362"/>
      <c r="CW20" s="1364">
        <f>(CT20/553)^(1/(CT$2-CJ$2))-1</f>
        <v>0.51555548948233554</v>
      </c>
      <c r="CX20" s="364"/>
      <c r="CY20" s="364"/>
      <c r="CZ20" s="364"/>
      <c r="DA20" s="364"/>
      <c r="DB20" s="364"/>
      <c r="DC20" s="364"/>
      <c r="DL20" s="364"/>
      <c r="DM20" s="443"/>
      <c r="DN20" s="443"/>
      <c r="DO20" s="443"/>
      <c r="DP20" s="443"/>
      <c r="DQ20" s="368"/>
    </row>
    <row r="21" spans="1:121">
      <c r="B21" s="347" t="s">
        <v>0</v>
      </c>
      <c r="C21" s="347"/>
      <c r="D21" s="347"/>
      <c r="E21" s="347"/>
      <c r="F21" s="347"/>
      <c r="G21" s="347"/>
      <c r="H21" s="347"/>
      <c r="I21" s="347"/>
      <c r="J21" s="347"/>
      <c r="K21" s="347"/>
      <c r="L21" s="347"/>
      <c r="M21" s="356">
        <f>M20/H20-1</f>
        <v>-123.10714285714288</v>
      </c>
      <c r="N21" s="356"/>
      <c r="O21" s="356"/>
      <c r="P21" s="356"/>
      <c r="Q21" s="356"/>
      <c r="R21" s="356">
        <f>R20/M20-1</f>
        <v>0.69172272594325812</v>
      </c>
      <c r="S21" s="356"/>
      <c r="T21" s="356"/>
      <c r="U21" s="356"/>
      <c r="V21" s="356"/>
      <c r="W21" s="356">
        <f>W20/R20-1</f>
        <v>-2.1438450899031847E-2</v>
      </c>
      <c r="X21" s="356"/>
      <c r="Y21" s="356"/>
      <c r="Z21" s="356"/>
      <c r="AA21" s="356"/>
      <c r="AB21" s="356">
        <f>AB20/W20-1</f>
        <v>-3.9929328621908122E-2</v>
      </c>
      <c r="AC21" s="356"/>
      <c r="AD21" s="356"/>
      <c r="AE21" s="356"/>
      <c r="AF21" s="356"/>
      <c r="AG21" s="356">
        <f>AG20/AB20-1</f>
        <v>-0.62016930437983064</v>
      </c>
      <c r="AH21" s="356"/>
      <c r="AI21" s="356"/>
      <c r="AJ21" s="356"/>
      <c r="AK21" s="356"/>
      <c r="AL21" s="356">
        <f>AL20/AG20-1</f>
        <v>-1.8633720930232558</v>
      </c>
      <c r="AM21" s="356"/>
      <c r="AN21" s="356"/>
      <c r="AO21" s="356"/>
      <c r="AP21" s="356"/>
      <c r="AQ21" s="356">
        <f>AQ20/AL20-1</f>
        <v>-0.97194163860830529</v>
      </c>
      <c r="AR21" s="356"/>
      <c r="AS21" s="356"/>
      <c r="AT21" s="356"/>
      <c r="AU21" s="356"/>
      <c r="AV21" s="356">
        <f>AV20/AQ20-1</f>
        <v>-15.96</v>
      </c>
      <c r="AW21" s="356"/>
      <c r="AX21" s="356"/>
      <c r="AY21" s="356"/>
      <c r="AZ21" s="356"/>
      <c r="BA21" s="356">
        <f>BA20/AV20-1</f>
        <v>-3.4759358288770081E-2</v>
      </c>
      <c r="BB21" s="356">
        <f>BB20/AW20-1</f>
        <v>-0.65217391304347827</v>
      </c>
      <c r="BC21" s="356">
        <f t="shared" ref="BC21" si="81">BC20/AX20-1</f>
        <v>-1.9896907216494846</v>
      </c>
      <c r="BD21" s="356">
        <f t="shared" ref="BD21" si="82">BD20/AY20-1</f>
        <v>-1.6526315789473685</v>
      </c>
      <c r="BE21" s="356">
        <f t="shared" ref="BE21" si="83">BE20/AZ20-1</f>
        <v>-26.626016260162601</v>
      </c>
      <c r="BF21" s="356">
        <f t="shared" ref="BF21" si="84">BF20/BA20-1</f>
        <v>-10.124653739612189</v>
      </c>
      <c r="BG21" s="356">
        <f t="shared" ref="BG21" si="85">BG20/BB20-1</f>
        <v>3.9109375000000002</v>
      </c>
      <c r="BH21" s="356">
        <f t="shared" ref="BH21" si="86">BH20/BC20-1</f>
        <v>-3.1190104166666668</v>
      </c>
      <c r="BI21" s="356">
        <f t="shared" ref="BI21" si="87">BI20/BD20-1</f>
        <v>-4.4838709677419342</v>
      </c>
      <c r="BJ21" s="356">
        <f t="shared" ref="BJ21" si="88">BJ20/BE20-1</f>
        <v>-1.0675761421319796</v>
      </c>
      <c r="BK21" s="356">
        <f t="shared" ref="BK21" si="89">BK20/BF20-1</f>
        <v>-1.215846994535519</v>
      </c>
      <c r="BL21" s="356">
        <f t="shared" ref="BL21" si="90">BL20/BG20-1</f>
        <v>18.344575246579701</v>
      </c>
      <c r="BM21" s="356">
        <f t="shared" ref="BM21" si="91">BM20/BH20-1</f>
        <v>0.10114292736880937</v>
      </c>
      <c r="BN21" s="356">
        <f t="shared" ref="BN21" si="92">BN20/BI20-1</f>
        <v>0.53240740740740811</v>
      </c>
      <c r="BO21" s="356">
        <f t="shared" ref="BO21" si="93">BO20/BJ20-1</f>
        <v>-8.9953051643192481</v>
      </c>
      <c r="BP21" s="356">
        <f t="shared" ref="BP21" si="94">BP20/BK20-1</f>
        <v>-3.3273881856540086</v>
      </c>
      <c r="BQ21" s="356">
        <f t="shared" ref="BQ21" si="95">BQ20/BL20-1</f>
        <v>-0.78881578947368425</v>
      </c>
      <c r="BR21" s="356">
        <f t="shared" ref="BR21" si="96">BR20/BM20-1</f>
        <v>0.76339285714285721</v>
      </c>
      <c r="BS21" s="356">
        <f t="shared" ref="BS21" si="97">BS20/BN20-1</f>
        <v>-9.3655589123867289E-2</v>
      </c>
      <c r="BT21" s="356">
        <f t="shared" ref="BT21" si="98">BT20/BO20-1</f>
        <v>-1.159604815032296</v>
      </c>
      <c r="BU21" s="356">
        <f>BU20/BP20-1</f>
        <v>-1.7782378610238383</v>
      </c>
      <c r="BV21" s="356">
        <f t="shared" ref="BV21" si="99">BV20/BQ20-1</f>
        <v>-0.56669158878504655</v>
      </c>
      <c r="BW21" s="356">
        <f t="shared" ref="BW21" si="100">BW20/BR20-1</f>
        <v>0.20992405063291097</v>
      </c>
      <c r="BX21" s="356">
        <f t="shared" ref="BX21" si="101">BX20/BS20-1</f>
        <v>0.23920000000000075</v>
      </c>
      <c r="BY21" s="356">
        <f t="shared" ref="BY21" si="102">BY20/BT20-1</f>
        <v>-0.51283079538054621</v>
      </c>
      <c r="BZ21" s="356">
        <f>BZ20/BU20-1</f>
        <v>-0.12938196484411102</v>
      </c>
      <c r="CA21" s="356">
        <f t="shared" ref="CA21:CM21" si="103">CA20/BV20-1</f>
        <v>0.46791332355563209</v>
      </c>
      <c r="CB21" s="356">
        <f t="shared" si="103"/>
        <v>-5.1412370271175067E-2</v>
      </c>
      <c r="CC21" s="356">
        <f t="shared" si="103"/>
        <v>-2.8784699806327474E-2</v>
      </c>
      <c r="CD21" s="356">
        <f t="shared" si="103"/>
        <v>1.0078011720638003</v>
      </c>
      <c r="CE21" s="356">
        <f>CE20/BZ20-1</f>
        <v>0.14561340292618175</v>
      </c>
      <c r="CF21" s="356">
        <f t="shared" si="103"/>
        <v>1.6811803599853055</v>
      </c>
      <c r="CG21" s="356">
        <f t="shared" si="103"/>
        <v>8.0260461586989296E-2</v>
      </c>
      <c r="CH21" s="356">
        <f t="shared" si="103"/>
        <v>-0.17529545032806226</v>
      </c>
      <c r="CI21" s="356">
        <f t="shared" si="103"/>
        <v>0.92841855829086128</v>
      </c>
      <c r="CJ21" s="356">
        <f t="shared" ref="CJ21" si="104">CJ20/CE20-1</f>
        <v>0.43846305961782805</v>
      </c>
      <c r="CK21" s="356">
        <f t="shared" si="103"/>
        <v>-0.29080978389931122</v>
      </c>
      <c r="CL21" s="356">
        <f t="shared" si="103"/>
        <v>-4.2813664532859601</v>
      </c>
      <c r="CM21" s="356">
        <f t="shared" si="103"/>
        <v>-5.6238736999063006</v>
      </c>
      <c r="CN21" s="356"/>
      <c r="CO21" s="356">
        <f t="shared" ref="CO21" si="105">CO20/CJ20-1</f>
        <v>-2.2363038541130527</v>
      </c>
      <c r="CP21" s="356">
        <f t="shared" ref="CP21" si="106">CP20/CO20-1</f>
        <v>-1.3223491576914859</v>
      </c>
      <c r="CQ21" s="356">
        <f t="shared" ref="CQ21" si="107">CQ20/CP20-1</f>
        <v>1.9912653062001096</v>
      </c>
      <c r="CR21" s="356">
        <f t="shared" ref="CR21" si="108">CR20/CQ20-1</f>
        <v>0.9795430789843691</v>
      </c>
      <c r="CS21" s="356">
        <f t="shared" ref="CS21" si="109">CS20/CR20-1</f>
        <v>0.27753679607315096</v>
      </c>
      <c r="CT21" s="356">
        <f t="shared" ref="CT21" si="110">CT20/CS20-1</f>
        <v>0.203083777769544</v>
      </c>
      <c r="CU21" s="347"/>
      <c r="CV21" s="1363"/>
      <c r="CW21" s="347"/>
      <c r="CX21" s="347"/>
      <c r="CY21" s="347"/>
      <c r="CZ21" s="367"/>
      <c r="DA21" s="367"/>
      <c r="DB21" s="367"/>
      <c r="DC21" s="367"/>
      <c r="DL21" s="347"/>
      <c r="DM21" s="367"/>
      <c r="DN21" s="367"/>
      <c r="DO21" s="367"/>
      <c r="DP21" s="367"/>
      <c r="DQ21" s="356"/>
    </row>
    <row r="22" spans="1:121">
      <c r="B22" s="347" t="s">
        <v>768</v>
      </c>
      <c r="C22" s="356">
        <f>C20/C$5</f>
        <v>3.1539424280350441E-2</v>
      </c>
      <c r="D22" s="356" t="e">
        <f t="shared" ref="D22:BO22" si="111">D20/D$5</f>
        <v>#DIV/0!</v>
      </c>
      <c r="E22" s="356" t="e">
        <f t="shared" si="111"/>
        <v>#DIV/0!</v>
      </c>
      <c r="F22" s="356" t="e">
        <f t="shared" si="111"/>
        <v>#DIV/0!</v>
      </c>
      <c r="G22" s="356" t="e">
        <f t="shared" si="111"/>
        <v>#DIV/0!</v>
      </c>
      <c r="H22" s="356">
        <f t="shared" si="111"/>
        <v>-1.1607343468755104E-3</v>
      </c>
      <c r="I22" s="356" t="e">
        <f t="shared" si="111"/>
        <v>#DIV/0!</v>
      </c>
      <c r="J22" s="356" t="e">
        <f t="shared" si="111"/>
        <v>#DIV/0!</v>
      </c>
      <c r="K22" s="356" t="e">
        <f t="shared" si="111"/>
        <v>#DIV/0!</v>
      </c>
      <c r="L22" s="356" t="e">
        <f t="shared" si="111"/>
        <v>#DIV/0!</v>
      </c>
      <c r="M22" s="356">
        <f t="shared" si="111"/>
        <v>0.12471729773108632</v>
      </c>
      <c r="N22" s="356">
        <f t="shared" si="111"/>
        <v>0.14588407208962495</v>
      </c>
      <c r="O22" s="356">
        <f t="shared" si="111"/>
        <v>0.16944379253696315</v>
      </c>
      <c r="P22" s="356">
        <f t="shared" si="111"/>
        <v>0.17131922557406573</v>
      </c>
      <c r="Q22" s="356">
        <f t="shared" si="111"/>
        <v>0.17415609546334121</v>
      </c>
      <c r="R22" s="356">
        <f t="shared" si="111"/>
        <v>0.16563573883161511</v>
      </c>
      <c r="S22" s="356">
        <f t="shared" si="111"/>
        <v>0.16867469879518071</v>
      </c>
      <c r="T22" s="356">
        <f t="shared" si="111"/>
        <v>0.16846035580935648</v>
      </c>
      <c r="U22" s="356">
        <f t="shared" si="111"/>
        <v>0.13828451882845189</v>
      </c>
      <c r="V22" s="356">
        <f t="shared" si="111"/>
        <v>0.15339649264261238</v>
      </c>
      <c r="W22" s="356">
        <f t="shared" si="111"/>
        <v>0.15496659730588105</v>
      </c>
      <c r="X22" s="356">
        <f t="shared" si="111"/>
        <v>0.13631718781933375</v>
      </c>
      <c r="Y22" s="356">
        <f t="shared" si="111"/>
        <v>0.15184547714668198</v>
      </c>
      <c r="Z22" s="356">
        <f t="shared" si="111"/>
        <v>0.1320416218155723</v>
      </c>
      <c r="AA22" s="356">
        <f t="shared" si="111"/>
        <v>9.8615588848852645E-2</v>
      </c>
      <c r="AB22" s="356">
        <f t="shared" si="111"/>
        <v>0.12957222566646001</v>
      </c>
      <c r="AC22" s="356">
        <f t="shared" si="111"/>
        <v>5.4880166724557138E-2</v>
      </c>
      <c r="AD22" s="356">
        <f t="shared" si="111"/>
        <v>5.8464079273327828E-2</v>
      </c>
      <c r="AE22" s="356">
        <f t="shared" si="111"/>
        <v>3.8509705698184092E-2</v>
      </c>
      <c r="AF22" s="356">
        <f t="shared" si="111"/>
        <v>1.8173272755757482E-2</v>
      </c>
      <c r="AG22" s="356">
        <f t="shared" si="111"/>
        <v>4.8528167027179533E-2</v>
      </c>
      <c r="AH22" s="356">
        <f t="shared" si="111"/>
        <v>6.9003086980207004E-2</v>
      </c>
      <c r="AI22" s="356">
        <f t="shared" si="111"/>
        <v>-0.14285714285714285</v>
      </c>
      <c r="AJ22" s="356">
        <f t="shared" si="111"/>
        <v>-6.976356976356976E-2</v>
      </c>
      <c r="AK22" s="356">
        <f t="shared" si="111"/>
        <v>1.8625126989502202E-3</v>
      </c>
      <c r="AL22" s="356">
        <f t="shared" si="111"/>
        <v>-3.7979539641943734E-2</v>
      </c>
      <c r="AM22" s="356">
        <f t="shared" si="111"/>
        <v>-0.13099799306695858</v>
      </c>
      <c r="AN22" s="356">
        <f t="shared" si="111"/>
        <v>-2.3525218321154874E-2</v>
      </c>
      <c r="AO22" s="356">
        <f t="shared" si="111"/>
        <v>5.8833619210977704E-2</v>
      </c>
      <c r="AP22" s="356">
        <f t="shared" si="111"/>
        <v>8.0696467436798924E-2</v>
      </c>
      <c r="AQ22" s="356">
        <f t="shared" si="111"/>
        <v>-1.0919414719371041E-3</v>
      </c>
      <c r="AR22" s="356">
        <f t="shared" si="111"/>
        <v>3.0448717948717948E-2</v>
      </c>
      <c r="AS22" s="356">
        <f t="shared" si="111"/>
        <v>1.0118365788468881E-2</v>
      </c>
      <c r="AT22" s="356">
        <f t="shared" si="111"/>
        <v>-1.24282982791587E-2</v>
      </c>
      <c r="AU22" s="356">
        <f t="shared" si="111"/>
        <v>4.0897850485067527E-2</v>
      </c>
      <c r="AV22" s="356">
        <f t="shared" si="111"/>
        <v>1.7524951970385644E-2</v>
      </c>
      <c r="AW22" s="356">
        <f t="shared" si="111"/>
        <v>8.7352829472085083E-3</v>
      </c>
      <c r="AX22" s="356">
        <f t="shared" si="111"/>
        <v>1.7116640197635435E-2</v>
      </c>
      <c r="AY22" s="356">
        <f t="shared" si="111"/>
        <v>1.5912897822445562E-2</v>
      </c>
      <c r="AZ22" s="356">
        <f t="shared" si="111"/>
        <v>2.0506835611870625E-2</v>
      </c>
      <c r="BA22" s="356">
        <f t="shared" si="111"/>
        <v>1.5763503777127635E-2</v>
      </c>
      <c r="BB22" s="356">
        <f t="shared" si="111"/>
        <v>2.9083691047585465E-3</v>
      </c>
      <c r="BC22" s="356">
        <f t="shared" si="111"/>
        <v>-1.7313903046110711E-2</v>
      </c>
      <c r="BD22" s="356">
        <f t="shared" si="111"/>
        <v>-1.0605233853959088E-2</v>
      </c>
      <c r="BE22" s="356">
        <f t="shared" si="111"/>
        <v>-0.52128468891608504</v>
      </c>
      <c r="BF22" s="356">
        <f t="shared" si="111"/>
        <v>-0.14359941569772663</v>
      </c>
      <c r="BG22" s="356">
        <f t="shared" si="111"/>
        <v>1.3167764441220909E-2</v>
      </c>
      <c r="BH22" s="356">
        <f t="shared" si="111"/>
        <v>3.2343048569822751E-2</v>
      </c>
      <c r="BI22" s="356">
        <f t="shared" si="111"/>
        <v>3.3417428705230873E-2</v>
      </c>
      <c r="BJ22" s="356">
        <f t="shared" si="111"/>
        <v>3.3217254882390641E-2</v>
      </c>
      <c r="BK22" s="356">
        <f t="shared" si="111"/>
        <v>2.8289666449315024E-2</v>
      </c>
      <c r="BL22" s="356">
        <f t="shared" si="111"/>
        <v>0.23394869535893506</v>
      </c>
      <c r="BM22" s="356">
        <f t="shared" si="111"/>
        <v>3.4016658139723127E-2</v>
      </c>
      <c r="BN22" s="356">
        <f t="shared" si="111"/>
        <v>5.0349932027591762E-2</v>
      </c>
      <c r="BO22" s="356">
        <f t="shared" si="111"/>
        <v>-0.26806469567495</v>
      </c>
      <c r="BP22" s="356">
        <f t="shared" ref="BP22:CT22" si="112">BP20/BP$5</f>
        <v>-6.3622859618914077E-2</v>
      </c>
      <c r="BQ22" s="356">
        <f t="shared" si="112"/>
        <v>5.1381678957985955E-2</v>
      </c>
      <c r="BR22" s="356">
        <f t="shared" si="112"/>
        <v>5.8720028256969564E-2</v>
      </c>
      <c r="BS22" s="356">
        <f t="shared" si="112"/>
        <v>4.3949643084948503E-2</v>
      </c>
      <c r="BT22" s="356">
        <f t="shared" si="112"/>
        <v>3.9087228857308989E-2</v>
      </c>
      <c r="BU22" s="356">
        <f t="shared" si="112"/>
        <v>4.8135030023491773E-2</v>
      </c>
      <c r="BV22" s="356">
        <f t="shared" si="112"/>
        <v>2.063049285092285E-2</v>
      </c>
      <c r="BW22" s="356">
        <f t="shared" si="112"/>
        <v>6.5176173548199781E-2</v>
      </c>
      <c r="BX22" s="356">
        <f t="shared" si="112"/>
        <v>4.9432226152168704E-2</v>
      </c>
      <c r="BY22" s="356">
        <f t="shared" si="112"/>
        <v>1.7546458707067052E-2</v>
      </c>
      <c r="BZ22" s="356">
        <f t="shared" si="112"/>
        <v>3.8473276742833726E-2</v>
      </c>
      <c r="CA22" s="356">
        <f t="shared" si="112"/>
        <v>2.7052634814670747E-2</v>
      </c>
      <c r="CB22" s="356">
        <f t="shared" si="112"/>
        <v>5.5170719282461429E-2</v>
      </c>
      <c r="CC22" s="356">
        <f t="shared" si="112"/>
        <v>4.4557158788968945E-2</v>
      </c>
      <c r="CD22" s="356">
        <f t="shared" si="112"/>
        <v>3.1445276301274291E-2</v>
      </c>
      <c r="CE22" s="356">
        <f t="shared" si="112"/>
        <v>3.9738324681351155E-2</v>
      </c>
      <c r="CF22" s="356">
        <f t="shared" ref="CF22:CG22" si="113">CF20/CF$5</f>
        <v>6.4874556856043611E-2</v>
      </c>
      <c r="CG22" s="356">
        <f t="shared" si="113"/>
        <v>5.6857919462339215E-2</v>
      </c>
      <c r="CH22" s="356">
        <f t="shared" ref="CH22:CI22" si="114">CH20/CH$5</f>
        <v>3.5833172679918E-2</v>
      </c>
      <c r="CI22" s="356">
        <f t="shared" si="114"/>
        <v>5.6776128420832073E-2</v>
      </c>
      <c r="CJ22" s="356">
        <f t="shared" si="112"/>
        <v>5.3723326660288555E-2</v>
      </c>
      <c r="CK22" s="356">
        <f t="shared" si="112"/>
        <v>4.513707833241893E-2</v>
      </c>
      <c r="CL22" s="356">
        <f t="shared" ref="CL22" si="115">CL20/CL$5</f>
        <v>-0.1531392546606698</v>
      </c>
      <c r="CM22" s="356">
        <f t="shared" ref="CM22" si="116">CM20/CM$5</f>
        <v>-0.12022079936824651</v>
      </c>
      <c r="CN22" s="356"/>
      <c r="CO22" s="356">
        <f t="shared" si="112"/>
        <v>-5.3779432940048388E-2</v>
      </c>
      <c r="CP22" s="356">
        <f t="shared" si="112"/>
        <v>1.5573116180236843E-2</v>
      </c>
      <c r="CQ22" s="356">
        <f t="shared" si="112"/>
        <v>4.4637304824687266E-2</v>
      </c>
      <c r="CR22" s="356">
        <f t="shared" si="112"/>
        <v>8.46750301157837E-2</v>
      </c>
      <c r="CS22" s="356">
        <f t="shared" si="112"/>
        <v>0.10366809789008886</v>
      </c>
      <c r="CT22" s="356">
        <f t="shared" si="112"/>
        <v>0.11953092610079709</v>
      </c>
      <c r="CU22" s="347"/>
      <c r="CV22" s="1363"/>
      <c r="CW22" s="347"/>
      <c r="CX22" s="347"/>
      <c r="CY22" s="347"/>
      <c r="CZ22" s="367"/>
      <c r="DA22" s="367"/>
      <c r="DB22" s="367"/>
      <c r="DC22" s="367"/>
      <c r="DL22" s="347"/>
      <c r="DM22" s="367"/>
      <c r="DN22" s="367"/>
      <c r="DO22" s="367"/>
      <c r="DP22" s="367"/>
      <c r="DQ22" s="356"/>
    </row>
    <row r="23" spans="1:121">
      <c r="B23" s="357" t="s">
        <v>571</v>
      </c>
      <c r="C23" s="357"/>
      <c r="D23" s="357"/>
      <c r="E23" s="357"/>
      <c r="F23" s="357"/>
      <c r="G23" s="357"/>
      <c r="H23" s="357"/>
      <c r="I23" s="357"/>
      <c r="J23" s="357"/>
      <c r="K23" s="357"/>
      <c r="L23" s="357"/>
      <c r="M23" s="357"/>
      <c r="N23" s="357"/>
      <c r="O23" s="357"/>
      <c r="P23" s="357"/>
      <c r="Q23" s="357"/>
      <c r="R23" s="357"/>
      <c r="S23" s="357"/>
      <c r="T23" s="357"/>
      <c r="U23" s="357"/>
      <c r="V23" s="357"/>
      <c r="W23" s="357"/>
      <c r="X23" s="357"/>
      <c r="Y23" s="357"/>
      <c r="Z23" s="357"/>
      <c r="AA23" s="357"/>
      <c r="AB23" s="357"/>
      <c r="AC23" s="357"/>
      <c r="AD23" s="357"/>
      <c r="AE23" s="357"/>
      <c r="AF23" s="357"/>
      <c r="AG23" s="358"/>
      <c r="AH23" s="358"/>
      <c r="AI23" s="358"/>
      <c r="AJ23" s="358"/>
      <c r="AK23" s="358"/>
      <c r="AL23" s="358"/>
      <c r="AM23" s="358"/>
      <c r="AN23" s="358"/>
      <c r="AO23" s="358"/>
      <c r="AP23" s="358"/>
      <c r="AQ23" s="358"/>
      <c r="AR23" s="358"/>
      <c r="AS23" s="358"/>
      <c r="AT23" s="358"/>
      <c r="AU23" s="358"/>
      <c r="AV23" s="359"/>
      <c r="AW23" s="359"/>
      <c r="AX23" s="359"/>
      <c r="AY23" s="359"/>
      <c r="AZ23" s="359"/>
      <c r="BA23" s="359"/>
      <c r="BB23" s="359"/>
      <c r="BC23" s="359"/>
      <c r="BD23" s="359"/>
      <c r="BE23" s="359"/>
      <c r="BF23" s="359"/>
      <c r="BG23" s="359"/>
      <c r="BH23" s="359"/>
      <c r="BI23" s="359"/>
      <c r="BJ23" s="359"/>
      <c r="BK23" s="359"/>
      <c r="BL23" s="359"/>
      <c r="BM23" s="359"/>
      <c r="BN23" s="359"/>
      <c r="BO23" s="359"/>
      <c r="BP23" s="359"/>
      <c r="BQ23" s="359"/>
      <c r="BR23" s="359"/>
      <c r="BS23" s="359"/>
      <c r="BT23" s="359"/>
      <c r="BU23" s="359"/>
      <c r="BV23" s="359"/>
      <c r="BW23" s="359"/>
      <c r="BX23" s="359"/>
      <c r="BY23" s="359"/>
      <c r="BZ23" s="369"/>
      <c r="CA23" s="359"/>
      <c r="CB23" s="359"/>
      <c r="CC23" s="359"/>
      <c r="CD23" s="359"/>
      <c r="CE23" s="369"/>
      <c r="CF23" s="359"/>
      <c r="CG23" s="359"/>
      <c r="CH23" s="359"/>
      <c r="CI23" s="359"/>
      <c r="CJ23" s="359"/>
      <c r="CK23" s="359"/>
      <c r="CL23" s="359"/>
      <c r="CM23" s="359"/>
      <c r="CN23" s="359"/>
      <c r="CO23" s="359"/>
      <c r="CP23" s="359"/>
      <c r="CQ23" s="359"/>
      <c r="CR23" s="359"/>
      <c r="CS23" s="359"/>
      <c r="CT23" s="359"/>
      <c r="CU23" s="347"/>
      <c r="CV23" s="1363"/>
      <c r="CW23" s="347"/>
      <c r="CX23" s="347"/>
      <c r="CY23" s="347"/>
      <c r="CZ23" s="367"/>
      <c r="DA23" s="367"/>
      <c r="DB23" s="367"/>
      <c r="DC23" s="367"/>
      <c r="DL23" s="347"/>
      <c r="DM23" s="367"/>
      <c r="DN23" s="367"/>
      <c r="DO23" s="367"/>
      <c r="DP23" s="367"/>
      <c r="DQ23" s="356"/>
    </row>
    <row r="24" spans="1:121">
      <c r="B24" s="357" t="s">
        <v>1</v>
      </c>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8"/>
      <c r="AH24" s="358"/>
      <c r="AI24" s="358"/>
      <c r="AJ24" s="358"/>
      <c r="AK24" s="358"/>
      <c r="AL24" s="358"/>
      <c r="AM24" s="358"/>
      <c r="AN24" s="358"/>
      <c r="AO24" s="358"/>
      <c r="AP24" s="358"/>
      <c r="AQ24" s="358"/>
      <c r="AR24" s="358"/>
      <c r="AS24" s="358"/>
      <c r="AT24" s="358"/>
      <c r="AU24" s="358"/>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c r="BR24" s="359"/>
      <c r="BS24" s="359"/>
      <c r="BT24" s="359"/>
      <c r="BU24" s="359"/>
      <c r="BV24" s="359"/>
      <c r="BW24" s="359"/>
      <c r="BX24" s="359"/>
      <c r="BY24" s="359"/>
      <c r="BZ24" s="359"/>
      <c r="CA24" s="359"/>
      <c r="CB24" s="359"/>
      <c r="CC24" s="359"/>
      <c r="CD24" s="359"/>
      <c r="CE24" s="359"/>
      <c r="CF24" s="359"/>
      <c r="CG24" s="359"/>
      <c r="CH24" s="359"/>
      <c r="CI24" s="359"/>
      <c r="CJ24" s="576">
        <f>CJ20</f>
        <v>1847.6309999999999</v>
      </c>
      <c r="CK24" s="359"/>
      <c r="CL24" s="359"/>
      <c r="CM24" s="359"/>
      <c r="CN24" s="359"/>
      <c r="CO24" s="576" cm="1">
        <f t="array" ref="CO24">_xll.VAData("EXCL_IJ", "FY-"&amp;CO$2, "Net income/(loss)", "Consensus", "CD", "IMPL","","")</f>
        <v>-2906.3662479510763</v>
      </c>
      <c r="CP24" s="576" cm="1">
        <f t="array" ref="CP24">_xll.VAData("EXCL_IJ", "FY-"&amp;CP$2, "Net income/(loss)", "Consensus", "CD", "IMPL","","")</f>
        <v>239.69075928778983</v>
      </c>
      <c r="CQ24" s="576" cm="1">
        <f t="array" ref="CQ24">_xll.VAData("EXCL_IJ", "FY-"&amp;CQ$2, "Net income/(loss)", "Consensus", "CD", "IMPL","","")</f>
        <v>2537.5444693658301</v>
      </c>
      <c r="CR24" s="576" cm="1">
        <f t="array" ref="CR24">_xll.VAData("EXCL_IJ", "FY-"&amp;CR$2, "Net income/(loss)", "Consensus", "CD", "IMPL","","")</f>
        <v>3653.8682903194149</v>
      </c>
      <c r="CS24" s="576" cm="1">
        <f t="array" ref="CS24">_xll.VAData("EXCL_IJ", "FY-"&amp;CS$2, "Net income/(loss)", "Consensus", "CD", "IMPL","","")</f>
        <v>4128.5863392181727</v>
      </c>
      <c r="CT24" s="576" cm="1">
        <f t="array" ref="CT24">_xll.VAData("EXCL_IJ", "FY-"&amp;CT$2, "Net income/(loss)", "Consensus", "CD", "IMPL","","")</f>
        <v>3054.7227340242498</v>
      </c>
      <c r="CU24" s="347"/>
      <c r="CV24" s="1365"/>
      <c r="CW24" s="347"/>
      <c r="CX24" s="347"/>
      <c r="CY24" s="347"/>
      <c r="CZ24" s="367"/>
      <c r="DA24" s="367"/>
      <c r="DB24" s="367"/>
      <c r="DC24" s="367"/>
      <c r="DL24" s="347"/>
      <c r="DM24" s="367"/>
      <c r="DN24" s="367"/>
      <c r="DO24" s="367"/>
      <c r="DP24" s="367"/>
      <c r="DQ24" s="356"/>
    </row>
    <row r="25" spans="1:121">
      <c r="B25" s="357" t="s">
        <v>1468</v>
      </c>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8"/>
      <c r="AH25" s="358"/>
      <c r="AI25" s="358"/>
      <c r="AJ25" s="358"/>
      <c r="AK25" s="358"/>
      <c r="AL25" s="358"/>
      <c r="AM25" s="358"/>
      <c r="AN25" s="358"/>
      <c r="AO25" s="358"/>
      <c r="AP25" s="358"/>
      <c r="AQ25" s="358"/>
      <c r="AR25" s="358"/>
      <c r="AS25" s="358"/>
      <c r="AT25" s="358"/>
      <c r="AU25" s="358"/>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c r="BR25" s="359"/>
      <c r="BS25" s="359"/>
      <c r="BT25" s="359"/>
      <c r="BU25" s="359"/>
      <c r="BV25" s="359"/>
      <c r="BW25" s="359"/>
      <c r="BX25" s="359"/>
      <c r="BY25" s="359"/>
      <c r="BZ25" s="359"/>
      <c r="CA25" s="359"/>
      <c r="CB25" s="359"/>
      <c r="CC25" s="359"/>
      <c r="CD25" s="359"/>
      <c r="CE25" s="359"/>
      <c r="CF25" s="359"/>
      <c r="CG25" s="359"/>
      <c r="CH25" s="359"/>
      <c r="CI25" s="359"/>
      <c r="CJ25" s="576"/>
      <c r="CK25" s="359"/>
      <c r="CL25" s="359"/>
      <c r="CM25" s="359"/>
      <c r="CN25" s="359"/>
      <c r="CO25" s="576"/>
      <c r="CP25" s="361">
        <f>CP24/CO24-1</f>
        <v>-1.0824709409754418</v>
      </c>
      <c r="CQ25" s="361">
        <f t="shared" ref="CQ25:CT25" si="117">CQ24/CP24-1</f>
        <v>9.5867430054701153</v>
      </c>
      <c r="CR25" s="361">
        <f t="shared" si="117"/>
        <v>0.43992286024156679</v>
      </c>
      <c r="CS25" s="361">
        <f t="shared" si="117"/>
        <v>0.12992204731530133</v>
      </c>
      <c r="CT25" s="361">
        <f t="shared" si="117"/>
        <v>-0.26010443211350631</v>
      </c>
      <c r="CU25" s="347"/>
      <c r="CV25" s="1365"/>
      <c r="CW25" s="347"/>
      <c r="CX25" s="347"/>
      <c r="CY25" s="347"/>
      <c r="CZ25" s="367"/>
      <c r="DA25" s="367"/>
      <c r="DB25" s="367"/>
      <c r="DC25" s="367"/>
      <c r="DL25" s="347"/>
      <c r="DM25" s="367"/>
      <c r="DN25" s="367"/>
      <c r="DO25" s="367"/>
      <c r="DP25" s="367"/>
      <c r="DQ25" s="356"/>
    </row>
    <row r="26" spans="1:121">
      <c r="B26" s="347"/>
      <c r="C26" s="347"/>
      <c r="D26" s="347"/>
      <c r="E26" s="347"/>
      <c r="F26" s="347"/>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347"/>
      <c r="AG26" s="347"/>
      <c r="AH26" s="347"/>
      <c r="AI26" s="347"/>
      <c r="AJ26" s="347"/>
      <c r="AK26" s="347"/>
      <c r="AL26" s="347"/>
      <c r="AM26" s="347"/>
      <c r="AN26" s="347"/>
      <c r="AO26" s="347"/>
      <c r="AP26" s="347"/>
      <c r="AQ26" s="347"/>
      <c r="AR26" s="347"/>
      <c r="AS26" s="347"/>
      <c r="AT26" s="347"/>
      <c r="AU26" s="371"/>
      <c r="AV26" s="371"/>
      <c r="AW26" s="371"/>
      <c r="AX26" s="371"/>
      <c r="AY26" s="371"/>
      <c r="AZ26" s="371"/>
      <c r="BA26" s="371"/>
      <c r="BB26" s="371"/>
      <c r="BC26" s="371"/>
      <c r="BD26" s="371"/>
      <c r="BE26" s="371"/>
      <c r="BF26" s="371"/>
      <c r="BG26" s="371"/>
      <c r="BH26" s="371"/>
      <c r="BI26" s="371"/>
      <c r="BJ26" s="371"/>
      <c r="BK26" s="371"/>
      <c r="BL26" s="371"/>
      <c r="BM26" s="371"/>
      <c r="BN26" s="371"/>
      <c r="BO26" s="371"/>
      <c r="BP26" s="371"/>
      <c r="BQ26" s="371"/>
      <c r="BR26" s="371"/>
      <c r="BS26" s="371"/>
      <c r="BT26" s="371"/>
      <c r="BU26" s="371"/>
      <c r="BV26" s="371"/>
      <c r="BW26" s="371"/>
      <c r="BX26" s="371"/>
      <c r="BY26" s="371"/>
      <c r="BZ26" s="371"/>
      <c r="CA26" s="371"/>
      <c r="CB26" s="371"/>
      <c r="CC26" s="371"/>
      <c r="CD26" s="371"/>
      <c r="CE26" s="371"/>
      <c r="CF26" s="371"/>
      <c r="CG26" s="371"/>
      <c r="CH26" s="371"/>
      <c r="CI26" s="371"/>
      <c r="CJ26" s="371"/>
      <c r="CK26" s="371"/>
      <c r="CL26" s="371"/>
      <c r="CM26" s="371"/>
      <c r="CN26" s="371"/>
      <c r="CO26" s="371"/>
      <c r="CP26" s="371"/>
      <c r="CQ26" s="371"/>
      <c r="CR26" s="371"/>
      <c r="CS26" s="371"/>
      <c r="CT26" s="371"/>
      <c r="CU26" s="347"/>
      <c r="CV26" s="1363"/>
      <c r="CW26" s="347"/>
      <c r="CX26" s="347"/>
      <c r="CY26" s="347"/>
      <c r="CZ26" s="367"/>
      <c r="DA26" s="367"/>
      <c r="DB26" s="367"/>
      <c r="DC26" s="367"/>
      <c r="DL26" s="347"/>
      <c r="DM26" s="367"/>
      <c r="DN26" s="367"/>
      <c r="DO26" s="367"/>
      <c r="DP26" s="367"/>
      <c r="DQ26" s="356"/>
    </row>
    <row r="27" spans="1:121" s="399" customFormat="1">
      <c r="A27" s="769"/>
      <c r="B27" s="364" t="s">
        <v>248</v>
      </c>
      <c r="C27" s="550">
        <v>6868</v>
      </c>
      <c r="D27" s="550">
        <v>1827</v>
      </c>
      <c r="E27" s="550">
        <v>3457</v>
      </c>
      <c r="F27" s="550">
        <v>3393</v>
      </c>
      <c r="G27" s="550">
        <v>2705</v>
      </c>
      <c r="H27" s="550">
        <v>11382</v>
      </c>
      <c r="I27" s="550">
        <v>1767</v>
      </c>
      <c r="J27" s="550">
        <v>1104</v>
      </c>
      <c r="K27" s="550">
        <v>594</v>
      </c>
      <c r="L27" s="550">
        <v>1817.6999999999998</v>
      </c>
      <c r="M27" s="550">
        <v>5282.7</v>
      </c>
      <c r="N27" s="550">
        <v>734</v>
      </c>
      <c r="O27" s="550">
        <v>1055</v>
      </c>
      <c r="P27" s="550">
        <v>1676</v>
      </c>
      <c r="Q27" s="550">
        <v>1383</v>
      </c>
      <c r="R27" s="550">
        <v>4848</v>
      </c>
      <c r="S27" s="550">
        <v>1302</v>
      </c>
      <c r="T27" s="550">
        <v>1284</v>
      </c>
      <c r="U27" s="550">
        <v>1551</v>
      </c>
      <c r="V27" s="550">
        <v>2385</v>
      </c>
      <c r="W27" s="550">
        <v>6522</v>
      </c>
      <c r="X27" s="550">
        <v>2528</v>
      </c>
      <c r="Y27" s="550">
        <v>2744</v>
      </c>
      <c r="Z27" s="550">
        <v>1909</v>
      </c>
      <c r="AA27" s="550">
        <v>2995</v>
      </c>
      <c r="AB27" s="550">
        <v>10176</v>
      </c>
      <c r="AC27" s="550">
        <v>1791</v>
      </c>
      <c r="AD27" s="550">
        <v>2257</v>
      </c>
      <c r="AE27" s="550">
        <v>1793</v>
      </c>
      <c r="AF27" s="550">
        <v>1553</v>
      </c>
      <c r="AG27" s="550">
        <v>7394</v>
      </c>
      <c r="AH27" s="550">
        <v>1747</v>
      </c>
      <c r="AI27" s="550">
        <v>1855</v>
      </c>
      <c r="AJ27" s="550">
        <v>1692</v>
      </c>
      <c r="AK27" s="550">
        <v>1801</v>
      </c>
      <c r="AL27" s="550">
        <v>7095</v>
      </c>
      <c r="AM27" s="550">
        <v>1211</v>
      </c>
      <c r="AN27" s="550">
        <v>1071</v>
      </c>
      <c r="AO27" s="550">
        <v>682</v>
      </c>
      <c r="AP27" s="550">
        <v>1182</v>
      </c>
      <c r="AQ27" s="550">
        <v>4146</v>
      </c>
      <c r="AR27" s="550">
        <v>1048</v>
      </c>
      <c r="AS27" s="550">
        <v>822</v>
      </c>
      <c r="AT27" s="550">
        <v>2521</v>
      </c>
      <c r="AU27" s="550">
        <f>AV27-AT27-AS27-AR27</f>
        <v>1193</v>
      </c>
      <c r="AV27" s="550">
        <f>'Balance Sheet and Cflow'!L430</f>
        <v>5584</v>
      </c>
      <c r="AW27" s="546">
        <f>'[16]Reported Group Balance Sheet'!T$55</f>
        <v>1306</v>
      </c>
      <c r="AX27" s="546">
        <f>'[16]Reported Group Balance Sheet'!U$55</f>
        <v>2397</v>
      </c>
      <c r="AY27" s="546">
        <f>'[16]Reported Group Balance Sheet'!V$55</f>
        <v>1556</v>
      </c>
      <c r="AZ27" s="546">
        <f>'[16]Reported Group Balance Sheet'!W$55</f>
        <v>1438</v>
      </c>
      <c r="BA27" s="550">
        <f>SUM(AW27:AZ27)</f>
        <v>6697</v>
      </c>
      <c r="BB27" s="546">
        <f>'[16]Reported Group Balance Sheet'!X54</f>
        <v>1559</v>
      </c>
      <c r="BC27" s="546">
        <f>'[16]Reported Group Balance Sheet'!Y54</f>
        <v>1712</v>
      </c>
      <c r="BD27" s="546">
        <f>'[16]Reported Group Balance Sheet'!Z54</f>
        <v>1669</v>
      </c>
      <c r="BE27" s="546">
        <f>'[16]Reported Group Balance Sheet'!AA54</f>
        <v>1852</v>
      </c>
      <c r="BF27" s="551">
        <f>SUM(BB27:BE27)</f>
        <v>6792</v>
      </c>
      <c r="BG27" s="546">
        <f>'[16]Reported Group Balance Sheet'!AB54</f>
        <v>1511</v>
      </c>
      <c r="BH27" s="546">
        <f>'[16]Reported Group Balance Sheet'!AC54</f>
        <v>2095</v>
      </c>
      <c r="BI27" s="546">
        <f>'[16]Reported Group Balance Sheet'!AD54</f>
        <v>1909</v>
      </c>
      <c r="BJ27" s="546">
        <f>'[16]Reported Group Balance Sheet'!AE54</f>
        <v>2481</v>
      </c>
      <c r="BK27" s="551">
        <f>SUM(BG27:BJ27)</f>
        <v>7996</v>
      </c>
      <c r="BL27" s="546">
        <f>'[16]Reported Group Balance Sheet'!AF54</f>
        <v>1784</v>
      </c>
      <c r="BM27" s="546">
        <f>'[16]Reported Group Balance Sheet'!AG54</f>
        <v>1951</v>
      </c>
      <c r="BN27" s="546">
        <f>'[16]Reported Group Balance Sheet'!AH54</f>
        <v>1334</v>
      </c>
      <c r="BO27" s="546">
        <f>'[16]Reported Group Balance Sheet'!AI54</f>
        <v>1086</v>
      </c>
      <c r="BP27" s="551">
        <f>SUM(BL27:BO27)</f>
        <v>6155</v>
      </c>
      <c r="BQ27" s="546">
        <f>'[16]Reported Group Balance Sheet'!AJ54</f>
        <v>1716</v>
      </c>
      <c r="BR27" s="546">
        <f>'[16]Reported Group Balance Sheet'!AK54</f>
        <v>2857</v>
      </c>
      <c r="BS27" s="546">
        <f>'[16]Reported Group Balance Sheet'!AL54</f>
        <v>1783</v>
      </c>
      <c r="BT27" s="546">
        <f>'[16]Reported Group Balance Sheet'!AM54</f>
        <v>3565</v>
      </c>
      <c r="BU27" s="551">
        <f>SUM(BQ27:BT27)</f>
        <v>9921</v>
      </c>
      <c r="BV27" s="546">
        <f>'[16]Reported Group Balance Sheet'!AN54</f>
        <v>1234</v>
      </c>
      <c r="BW27" s="546">
        <f>'[16]Reported Group Balance Sheet'!AO54</f>
        <v>1983.5380000000005</v>
      </c>
      <c r="BX27" s="546">
        <f>'[16]Reported Group Balance Sheet'!AP54</f>
        <v>3102.4619999999995</v>
      </c>
      <c r="BY27" s="546">
        <f>'[16]Reported Group Balance Sheet'!AQ54</f>
        <v>2743</v>
      </c>
      <c r="BZ27" s="551">
        <f>SUM(BV27:BY27)</f>
        <v>9063</v>
      </c>
      <c r="CA27" s="546">
        <f>'[16]Reported Group Balance Sheet'!AR54</f>
        <v>1413</v>
      </c>
      <c r="CB27" s="546">
        <f>'[16]Reported Group Balance Sheet'!AS54</f>
        <v>1743</v>
      </c>
      <c r="CC27" s="546">
        <f>'[16]Reported Group Balance Sheet'!AT54</f>
        <v>2389</v>
      </c>
      <c r="CD27" s="546">
        <f>'[16]Reported Group Balance Sheet'!AU54</f>
        <v>1613</v>
      </c>
      <c r="CE27" s="551">
        <f>SUM(CA27:CD27)</f>
        <v>7158</v>
      </c>
      <c r="CF27" s="546">
        <f>'[16]Reported Group Balance Sheet'!AV54</f>
        <v>2057</v>
      </c>
      <c r="CG27" s="546">
        <f>'[16]Reported Group Balance Sheet'!AW54</f>
        <v>2088</v>
      </c>
      <c r="CH27" s="546">
        <f>'[16]Reported Group Balance Sheet'!AX54</f>
        <v>1504</v>
      </c>
      <c r="CI27" s="546">
        <f>'[16]Reported Group Balance Sheet'!AY54</f>
        <v>1733</v>
      </c>
      <c r="CJ27" s="551">
        <f>SUM(CF27:CI27)</f>
        <v>7382</v>
      </c>
      <c r="CK27" s="546">
        <f>'[16]Reported Group Balance Sheet'!AZ54</f>
        <v>1241</v>
      </c>
      <c r="CL27" s="546">
        <f>'[16]Reported Group Balance Sheet'!BA54</f>
        <v>1090</v>
      </c>
      <c r="CM27" s="546">
        <f>'[16]Reported Group Balance Sheet'!BB54</f>
        <v>1929</v>
      </c>
      <c r="CN27" s="546"/>
      <c r="CO27" s="551">
        <f>'Balance Sheet and Cflow'!V430</f>
        <v>20387.570799343855</v>
      </c>
      <c r="CP27" s="551">
        <f>'Balance Sheet and Cflow'!W430</f>
        <v>10401.935594551464</v>
      </c>
      <c r="CQ27" s="551">
        <f>'Balance Sheet and Cflow'!X430</f>
        <v>10361.99235565762</v>
      </c>
      <c r="CR27" s="551">
        <f>'Balance Sheet and Cflow'!Y430</f>
        <v>10813.115188025306</v>
      </c>
      <c r="CS27" s="551">
        <f>'Balance Sheet and Cflow'!Z430</f>
        <v>11283.256908849437</v>
      </c>
      <c r="CT27" s="551">
        <f>'Balance Sheet and Cflow'!AA430</f>
        <v>12053.5329260614</v>
      </c>
      <c r="CU27" s="364"/>
      <c r="CV27" s="1364">
        <f>(CO27/BZ27)^(1/(CO$2-BZ$2))-1</f>
        <v>0.31028117272596978</v>
      </c>
      <c r="CW27" s="1364"/>
      <c r="CX27" s="364"/>
      <c r="CY27" s="364">
        <f>Old!X19</f>
        <v>9119.1215112211376</v>
      </c>
      <c r="CZ27" s="364">
        <f>Old!Y19</f>
        <v>10292.561657662129</v>
      </c>
      <c r="DA27" s="364">
        <f>Old!Z19</f>
        <v>9516.3265233291695</v>
      </c>
      <c r="DB27" s="364">
        <f>Old!AA19</f>
        <v>8325.6603948013108</v>
      </c>
      <c r="DC27" s="364">
        <f>Old!AB19</f>
        <v>8374.7122289211238</v>
      </c>
      <c r="DL27" s="364"/>
      <c r="DM27" s="443"/>
      <c r="DN27" s="443"/>
      <c r="DO27" s="443"/>
      <c r="DP27" s="443"/>
      <c r="DQ27" s="368"/>
    </row>
    <row r="28" spans="1:121" s="356" customFormat="1">
      <c r="A28" s="794"/>
      <c r="B28" s="356" t="s">
        <v>563</v>
      </c>
      <c r="C28" s="356">
        <f t="shared" ref="C28:AH28" si="118">C27/C5</f>
        <v>0.8595744680851064</v>
      </c>
      <c r="D28" s="356" t="e">
        <f t="shared" si="118"/>
        <v>#DIV/0!</v>
      </c>
      <c r="E28" s="356" t="e">
        <f t="shared" si="118"/>
        <v>#DIV/0!</v>
      </c>
      <c r="F28" s="356" t="e">
        <f t="shared" si="118"/>
        <v>#DIV/0!</v>
      </c>
      <c r="G28" s="356" t="e">
        <f t="shared" si="118"/>
        <v>#DIV/0!</v>
      </c>
      <c r="H28" s="356">
        <f t="shared" si="118"/>
        <v>0.94367702400978992</v>
      </c>
      <c r="I28" s="356" t="e">
        <f t="shared" si="118"/>
        <v>#DIV/0!</v>
      </c>
      <c r="J28" s="356" t="e">
        <f t="shared" si="118"/>
        <v>#DIV/0!</v>
      </c>
      <c r="K28" s="356" t="e">
        <f t="shared" si="118"/>
        <v>#DIV/0!</v>
      </c>
      <c r="L28" s="356" t="e">
        <f t="shared" si="118"/>
        <v>#DIV/0!</v>
      </c>
      <c r="M28" s="356">
        <f t="shared" si="118"/>
        <v>0.38540161961041802</v>
      </c>
      <c r="N28" s="356">
        <f t="shared" si="118"/>
        <v>0.17876278616658547</v>
      </c>
      <c r="O28" s="356">
        <f t="shared" si="118"/>
        <v>0.24759446139403896</v>
      </c>
      <c r="P28" s="356">
        <f t="shared" si="118"/>
        <v>0.37730751913552452</v>
      </c>
      <c r="Q28" s="356">
        <f t="shared" si="118"/>
        <v>0.29735540743926037</v>
      </c>
      <c r="R28" s="356">
        <f t="shared" si="118"/>
        <v>0.27766323024054984</v>
      </c>
      <c r="S28" s="356">
        <f t="shared" si="118"/>
        <v>0.29049531459170014</v>
      </c>
      <c r="T28" s="356">
        <f t="shared" si="118"/>
        <v>0.2820118603118823</v>
      </c>
      <c r="U28" s="356">
        <f t="shared" si="118"/>
        <v>0.32447698744769876</v>
      </c>
      <c r="V28" s="356">
        <f t="shared" si="118"/>
        <v>0.48074984882080224</v>
      </c>
      <c r="W28" s="356">
        <f t="shared" si="118"/>
        <v>0.35713503449786443</v>
      </c>
      <c r="X28" s="356">
        <f t="shared" si="118"/>
        <v>0.51665644798692012</v>
      </c>
      <c r="Y28" s="356">
        <f t="shared" si="118"/>
        <v>0.52476572958500667</v>
      </c>
      <c r="Z28" s="356">
        <f t="shared" si="118"/>
        <v>0.34248295658414063</v>
      </c>
      <c r="AA28" s="356">
        <f t="shared" si="118"/>
        <v>0.56798786269675705</v>
      </c>
      <c r="AB28" s="356">
        <f t="shared" si="118"/>
        <v>0.48528780580857456</v>
      </c>
      <c r="AC28" s="356">
        <f t="shared" si="118"/>
        <v>0.31104550191038555</v>
      </c>
      <c r="AD28" s="356">
        <f t="shared" si="118"/>
        <v>0.37274979355904209</v>
      </c>
      <c r="AE28" s="356">
        <f t="shared" si="118"/>
        <v>0.28068252974326863</v>
      </c>
      <c r="AF28" s="356">
        <f t="shared" si="118"/>
        <v>0.24330252232492558</v>
      </c>
      <c r="AG28" s="356">
        <f t="shared" si="118"/>
        <v>0.34769115019279601</v>
      </c>
      <c r="AH28" s="356">
        <f t="shared" si="118"/>
        <v>0.31723261303795169</v>
      </c>
      <c r="AI28" s="356">
        <f t="shared" ref="AI28:BN28" si="119">AI27/AI5</f>
        <v>0.30706836616454231</v>
      </c>
      <c r="AJ28" s="356">
        <f t="shared" si="119"/>
        <v>0.28171828171828173</v>
      </c>
      <c r="AK28" s="356">
        <f t="shared" si="119"/>
        <v>0.30494412461903148</v>
      </c>
      <c r="AL28" s="356">
        <f t="shared" si="119"/>
        <v>0.3024296675191816</v>
      </c>
      <c r="AM28" s="356">
        <f t="shared" si="119"/>
        <v>0.22094508301404853</v>
      </c>
      <c r="AN28" s="356">
        <f t="shared" si="119"/>
        <v>0.19087506683300659</v>
      </c>
      <c r="AO28" s="356">
        <f t="shared" si="119"/>
        <v>0.1169811320754717</v>
      </c>
      <c r="AP28" s="356">
        <f t="shared" si="119"/>
        <v>0.19789050728277247</v>
      </c>
      <c r="AQ28" s="356">
        <f t="shared" si="119"/>
        <v>0.18108757370604936</v>
      </c>
      <c r="AR28" s="356">
        <f t="shared" si="119"/>
        <v>0.1866096866096866</v>
      </c>
      <c r="AS28" s="356">
        <f t="shared" si="119"/>
        <v>0.15693012600229095</v>
      </c>
      <c r="AT28" s="356">
        <f t="shared" si="119"/>
        <v>0.48202676864244742</v>
      </c>
      <c r="AU28" s="356">
        <f t="shared" si="119"/>
        <v>0.22693551455202587</v>
      </c>
      <c r="AV28" s="356">
        <f t="shared" si="119"/>
        <v>0.26165596738672042</v>
      </c>
      <c r="AW28" s="356">
        <f t="shared" si="119"/>
        <v>0.24800607671857197</v>
      </c>
      <c r="AX28" s="356">
        <f t="shared" si="119"/>
        <v>0.42297511911064056</v>
      </c>
      <c r="AY28" s="356">
        <f t="shared" si="119"/>
        <v>0.26063651591289783</v>
      </c>
      <c r="AZ28" s="356">
        <f t="shared" si="119"/>
        <v>0.23974658219406469</v>
      </c>
      <c r="BA28" s="356">
        <f t="shared" si="119"/>
        <v>0.29243264486266973</v>
      </c>
      <c r="BB28" s="356">
        <f t="shared" si="119"/>
        <v>0.28338421464491087</v>
      </c>
      <c r="BC28" s="356">
        <f t="shared" si="119"/>
        <v>0.30876460432230768</v>
      </c>
      <c r="BD28" s="356">
        <f t="shared" si="119"/>
        <v>0.28548605326222126</v>
      </c>
      <c r="BE28" s="356">
        <f t="shared" si="119"/>
        <v>0.30628783117785202</v>
      </c>
      <c r="BF28" s="356">
        <f t="shared" si="119"/>
        <v>0.29609205568274422</v>
      </c>
      <c r="BG28" s="356">
        <f t="shared" si="119"/>
        <v>0.25321657105548578</v>
      </c>
      <c r="BH28" s="356">
        <f t="shared" si="119"/>
        <v>0.33308927985143744</v>
      </c>
      <c r="BI28" s="356">
        <f t="shared" si="119"/>
        <v>0.29534199721428595</v>
      </c>
      <c r="BJ28" s="356">
        <f t="shared" si="119"/>
        <v>0.38691084208080373</v>
      </c>
      <c r="BK28" s="356">
        <f t="shared" si="119"/>
        <v>0.31814932901367504</v>
      </c>
      <c r="BL28" s="356">
        <f t="shared" si="119"/>
        <v>0.27458188981601322</v>
      </c>
      <c r="BM28" s="356">
        <f t="shared" si="119"/>
        <v>0.29627901799374912</v>
      </c>
      <c r="BN28" s="356">
        <f t="shared" si="119"/>
        <v>0.20292087409307374</v>
      </c>
      <c r="BO28" s="356">
        <f t="shared" ref="BO28:CT28" si="120">BO27/BO5</f>
        <v>0.17094436846916952</v>
      </c>
      <c r="BP28" s="356">
        <f t="shared" si="120"/>
        <v>0.23664798794421721</v>
      </c>
      <c r="BQ28" s="356">
        <f t="shared" si="120"/>
        <v>0.27467589125203706</v>
      </c>
      <c r="BR28" s="356">
        <f t="shared" si="120"/>
        <v>0.42471676134218228</v>
      </c>
      <c r="BS28" s="356">
        <f t="shared" si="120"/>
        <v>0.26120737873487732</v>
      </c>
      <c r="BT28" s="356">
        <f t="shared" si="120"/>
        <v>0.51266512958204347</v>
      </c>
      <c r="BU28" s="356">
        <f t="shared" si="120"/>
        <v>0.37082236147424402</v>
      </c>
      <c r="BV28" s="356">
        <f t="shared" si="120"/>
        <v>0.18303013960571984</v>
      </c>
      <c r="BW28" s="356">
        <f t="shared" si="120"/>
        <v>0.27050430391582092</v>
      </c>
      <c r="BX28" s="356">
        <f t="shared" si="120"/>
        <v>0.41252852166050552</v>
      </c>
      <c r="BY28" s="356">
        <f t="shared" si="120"/>
        <v>0.36347523134277537</v>
      </c>
      <c r="BZ28" s="356">
        <f t="shared" si="120"/>
        <v>0.31099450504313464</v>
      </c>
      <c r="CA28" s="356">
        <f t="shared" si="120"/>
        <v>0.18721867512246726</v>
      </c>
      <c r="CB28" s="356">
        <f t="shared" ref="CB28:CC28" si="121">CB27/CB5</f>
        <v>0.21211597182155531</v>
      </c>
      <c r="CC28" s="356">
        <f t="shared" si="121"/>
        <v>0.29481899730195577</v>
      </c>
      <c r="CD28" s="356">
        <f t="shared" ref="CD28:CE28" si="122">CD27/CD5</f>
        <v>0.19077814181616767</v>
      </c>
      <c r="CE28" s="356">
        <f t="shared" si="122"/>
        <v>0.22145460779191653</v>
      </c>
      <c r="CF28" s="356">
        <f t="shared" ref="CF28:CG28" si="123">CF27/CF5</f>
        <v>0.24376991296217182</v>
      </c>
      <c r="CG28" s="356">
        <f t="shared" si="123"/>
        <v>0.24241546109092527</v>
      </c>
      <c r="CH28" s="356">
        <f t="shared" ref="CH28:CK28" si="124">CH27/CH5</f>
        <v>0.18099081399415201</v>
      </c>
      <c r="CI28" s="356">
        <f t="shared" si="124"/>
        <v>0.19191188309963933</v>
      </c>
      <c r="CJ28" s="356">
        <f t="shared" si="124"/>
        <v>0.21464545540005017</v>
      </c>
      <c r="CK28" s="356">
        <f t="shared" si="124"/>
        <v>0.14428257900052516</v>
      </c>
      <c r="CL28" s="356">
        <f t="shared" ref="CL28" si="125">CL27/CL5</f>
        <v>0.10387167864351592</v>
      </c>
      <c r="CM28" s="356">
        <f t="shared" ref="CM28" si="126">CM27/CM5</f>
        <v>0.16843382476019136</v>
      </c>
      <c r="CO28" s="356">
        <f t="shared" si="120"/>
        <v>0.48000000000000004</v>
      </c>
      <c r="CP28" s="356">
        <f t="shared" si="120"/>
        <v>0.22</v>
      </c>
      <c r="CQ28" s="356">
        <f t="shared" si="120"/>
        <v>0.21</v>
      </c>
      <c r="CR28" s="356">
        <f t="shared" si="120"/>
        <v>0.21</v>
      </c>
      <c r="CS28" s="356">
        <f t="shared" si="120"/>
        <v>0.21000000000000002</v>
      </c>
      <c r="CT28" s="356">
        <f t="shared" si="120"/>
        <v>0.21499999999999997</v>
      </c>
      <c r="CV28" s="1366"/>
      <c r="CY28" s="356">
        <f>CO27/CY27-1</f>
        <v>1.2356946087687084</v>
      </c>
      <c r="CZ28" s="356">
        <f t="shared" ref="CZ28:DC28" si="127">CP27/CZ27-1</f>
        <v>1.0626502956911033E-2</v>
      </c>
      <c r="DA28" s="356">
        <f t="shared" si="127"/>
        <v>8.8864734754036556E-2</v>
      </c>
      <c r="DB28" s="356">
        <f t="shared" si="127"/>
        <v>0.29876966814274653</v>
      </c>
      <c r="DC28" s="356">
        <f t="shared" si="127"/>
        <v>0.34730085051567294</v>
      </c>
    </row>
    <row r="29" spans="1:121">
      <c r="B29" s="347" t="s">
        <v>0</v>
      </c>
      <c r="C29" s="356"/>
      <c r="D29" s="356"/>
      <c r="E29" s="356"/>
      <c r="F29" s="356"/>
      <c r="G29" s="356"/>
      <c r="H29" s="356">
        <f>H27/C27-1</f>
        <v>0.65725101921956908</v>
      </c>
      <c r="I29" s="356"/>
      <c r="J29" s="356"/>
      <c r="K29" s="356"/>
      <c r="L29" s="356"/>
      <c r="M29" s="356">
        <f>M27/H27-1</f>
        <v>-0.535872430152873</v>
      </c>
      <c r="N29" s="356"/>
      <c r="O29" s="356"/>
      <c r="P29" s="356"/>
      <c r="Q29" s="356"/>
      <c r="R29" s="356">
        <f>R27/M27-1</f>
        <v>-8.2287466636379092E-2</v>
      </c>
      <c r="S29" s="356"/>
      <c r="T29" s="356"/>
      <c r="U29" s="356"/>
      <c r="V29" s="356"/>
      <c r="W29" s="356">
        <f>W27/R27-1</f>
        <v>0.34529702970297027</v>
      </c>
      <c r="X29" s="356"/>
      <c r="Y29" s="356"/>
      <c r="Z29" s="356"/>
      <c r="AA29" s="356"/>
      <c r="AB29" s="356">
        <f>AB27/W27-1</f>
        <v>0.56025758969641215</v>
      </c>
      <c r="AC29" s="356"/>
      <c r="AD29" s="356"/>
      <c r="AE29" s="356"/>
      <c r="AF29" s="356"/>
      <c r="AG29" s="356">
        <f>AG27/AB27-1</f>
        <v>-0.27338836477987416</v>
      </c>
      <c r="AH29" s="356"/>
      <c r="AI29" s="356"/>
      <c r="AJ29" s="356"/>
      <c r="AK29" s="356"/>
      <c r="AL29" s="356">
        <f>AL27/AG27-1</f>
        <v>-4.0438193129564537E-2</v>
      </c>
      <c r="AM29" s="356"/>
      <c r="AN29" s="356"/>
      <c r="AO29" s="356"/>
      <c r="AP29" s="356"/>
      <c r="AQ29" s="356">
        <f>AQ27/AL27-1</f>
        <v>-0.41564482029598304</v>
      </c>
      <c r="AR29" s="356"/>
      <c r="AS29" s="356"/>
      <c r="AT29" s="356"/>
      <c r="AU29" s="356"/>
      <c r="AV29" s="356">
        <f>AV27/AQ27-1</f>
        <v>0.34684032802701403</v>
      </c>
      <c r="AW29" s="356"/>
      <c r="AX29" s="356"/>
      <c r="AY29" s="356"/>
      <c r="AZ29" s="356"/>
      <c r="BA29" s="356">
        <f>BA27/AV27-1</f>
        <v>0.19931948424068757</v>
      </c>
      <c r="BB29" s="356"/>
      <c r="BC29" s="356"/>
      <c r="BD29" s="356"/>
      <c r="BE29" s="356"/>
      <c r="BF29" s="356">
        <f>BF27/BA27-1</f>
        <v>1.4185456174406363E-2</v>
      </c>
      <c r="BG29" s="356"/>
      <c r="BH29" s="356"/>
      <c r="BI29" s="356"/>
      <c r="BJ29" s="356"/>
      <c r="BK29" s="356">
        <f>BK27/BF27-1</f>
        <v>0.17726737338044751</v>
      </c>
      <c r="BL29" s="356"/>
      <c r="BM29" s="356"/>
      <c r="BN29" s="356"/>
      <c r="BO29" s="356"/>
      <c r="BP29" s="356">
        <f>BP27/BK27-1</f>
        <v>-0.23024012006003003</v>
      </c>
      <c r="BQ29" s="356"/>
      <c r="BR29" s="356"/>
      <c r="BS29" s="356"/>
      <c r="BT29" s="356"/>
      <c r="BU29" s="356">
        <f>BU27/BP27-1</f>
        <v>0.61186027619821282</v>
      </c>
      <c r="BV29" s="356"/>
      <c r="BW29" s="356"/>
      <c r="BX29" s="356"/>
      <c r="BY29" s="356"/>
      <c r="BZ29" s="356">
        <f>BZ27/BU27-1</f>
        <v>-8.6483217417599012E-2</v>
      </c>
      <c r="CA29" s="356"/>
      <c r="CB29" s="356"/>
      <c r="CC29" s="356"/>
      <c r="CD29" s="356"/>
      <c r="CE29" s="356">
        <f>CE27/BZ27-1</f>
        <v>-0.21019529956967886</v>
      </c>
      <c r="CF29" s="356"/>
      <c r="CG29" s="356"/>
      <c r="CH29" s="356"/>
      <c r="CI29" s="356"/>
      <c r="CJ29" s="356">
        <f>CJ27/CE27-1</f>
        <v>3.1293657446213929E-2</v>
      </c>
      <c r="CK29" s="356"/>
      <c r="CL29" s="356"/>
      <c r="CM29" s="356"/>
      <c r="CN29" s="356"/>
      <c r="CO29" s="356">
        <f>CO27/CJ27-1</f>
        <v>1.7617950148122263</v>
      </c>
      <c r="CP29" s="356">
        <f t="shared" ref="CP29:CT29" si="128">CP27/CO27-1</f>
        <v>-0.48979033858775201</v>
      </c>
      <c r="CQ29" s="356">
        <f t="shared" si="128"/>
        <v>-3.8399813698871688E-3</v>
      </c>
      <c r="CR29" s="356">
        <f t="shared" si="128"/>
        <v>4.3536302371558255E-2</v>
      </c>
      <c r="CS29" s="356">
        <f t="shared" si="128"/>
        <v>4.3478841448464145E-2</v>
      </c>
      <c r="CT29" s="356">
        <f t="shared" si="128"/>
        <v>6.8267169970032127E-2</v>
      </c>
      <c r="CU29" s="347"/>
      <c r="CV29" s="1363"/>
      <c r="CW29" s="347"/>
      <c r="CX29" s="347"/>
      <c r="CY29" s="347"/>
      <c r="CZ29" s="367"/>
      <c r="DA29" s="367"/>
      <c r="DB29" s="367"/>
      <c r="DC29" s="367"/>
    </row>
    <row r="30" spans="1:121">
      <c r="B30" s="357" t="s">
        <v>571</v>
      </c>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8"/>
      <c r="AH30" s="358"/>
      <c r="AI30" s="358"/>
      <c r="AJ30" s="358"/>
      <c r="AK30" s="358"/>
      <c r="AL30" s="358"/>
      <c r="AM30" s="358"/>
      <c r="AN30" s="358"/>
      <c r="AO30" s="358"/>
      <c r="AP30" s="358"/>
      <c r="AQ30" s="358"/>
      <c r="AR30" s="358"/>
      <c r="AS30" s="358"/>
      <c r="AT30" s="358"/>
      <c r="AU30" s="358"/>
      <c r="AV30" s="359"/>
      <c r="AW30" s="359"/>
      <c r="AX30" s="359"/>
      <c r="AY30" s="359"/>
      <c r="AZ30" s="359"/>
      <c r="BA30" s="359"/>
      <c r="BB30" s="359"/>
      <c r="BC30" s="359"/>
      <c r="BD30" s="359"/>
      <c r="BE30" s="359"/>
      <c r="BF30" s="359"/>
      <c r="BG30" s="359"/>
      <c r="BH30" s="359"/>
      <c r="BI30" s="359"/>
      <c r="BJ30" s="359"/>
      <c r="BK30" s="359"/>
      <c r="BL30" s="359"/>
      <c r="BM30" s="359"/>
      <c r="BN30" s="359"/>
      <c r="BO30" s="359"/>
      <c r="BP30" s="360">
        <v>7500</v>
      </c>
      <c r="BQ30" s="360"/>
      <c r="BR30" s="360"/>
      <c r="BS30" s="360"/>
      <c r="BT30" s="360"/>
      <c r="BU30" s="359">
        <v>8500</v>
      </c>
      <c r="BV30" s="360"/>
      <c r="BW30" s="360"/>
      <c r="BX30" s="360"/>
      <c r="BY30" s="360"/>
      <c r="BZ30" s="359">
        <v>8500</v>
      </c>
      <c r="CA30" s="360"/>
      <c r="CB30" s="360"/>
      <c r="CC30" s="360"/>
      <c r="CD30" s="360"/>
      <c r="CE30" s="359">
        <v>8000</v>
      </c>
      <c r="CF30" s="360"/>
      <c r="CG30" s="360"/>
      <c r="CH30" s="360"/>
      <c r="CI30" s="360"/>
      <c r="CJ30" s="359">
        <v>8000</v>
      </c>
      <c r="CK30" s="360"/>
      <c r="CL30" s="360"/>
      <c r="CM30" s="360"/>
      <c r="CN30" s="360"/>
      <c r="CO30" s="359" t="s">
        <v>1515</v>
      </c>
      <c r="CP30" s="359"/>
      <c r="CQ30" s="359"/>
      <c r="CR30" s="359"/>
      <c r="CS30" s="359"/>
      <c r="CT30" s="359"/>
      <c r="CU30" s="347"/>
      <c r="CV30" s="1363"/>
      <c r="CW30" s="347"/>
      <c r="CX30" s="347"/>
      <c r="CY30" s="347"/>
      <c r="CZ30" s="367"/>
      <c r="DA30" s="367"/>
      <c r="DB30" s="367"/>
      <c r="DC30" s="367"/>
    </row>
    <row r="31" spans="1:121">
      <c r="B31" s="357" t="s">
        <v>1</v>
      </c>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8"/>
      <c r="AH31" s="358"/>
      <c r="AI31" s="358"/>
      <c r="AJ31" s="358"/>
      <c r="AK31" s="358"/>
      <c r="AL31" s="358"/>
      <c r="AM31" s="358"/>
      <c r="AN31" s="358"/>
      <c r="AO31" s="358"/>
      <c r="AP31" s="358"/>
      <c r="AQ31" s="358"/>
      <c r="AR31" s="358"/>
      <c r="AS31" s="358"/>
      <c r="AT31" s="358"/>
      <c r="AU31" s="358"/>
      <c r="AV31" s="359"/>
      <c r="AW31" s="359"/>
      <c r="AX31" s="359"/>
      <c r="AY31" s="359"/>
      <c r="AZ31" s="359"/>
      <c r="BA31" s="667">
        <f>BA27</f>
        <v>6697</v>
      </c>
      <c r="BB31" s="667">
        <f t="shared" ref="BB31:CE31" si="129">BB27</f>
        <v>1559</v>
      </c>
      <c r="BC31" s="667">
        <f t="shared" si="129"/>
        <v>1712</v>
      </c>
      <c r="BD31" s="667">
        <f t="shared" si="129"/>
        <v>1669</v>
      </c>
      <c r="BE31" s="667">
        <f t="shared" si="129"/>
        <v>1852</v>
      </c>
      <c r="BF31" s="667">
        <f t="shared" si="129"/>
        <v>6792</v>
      </c>
      <c r="BG31" s="667">
        <f t="shared" si="129"/>
        <v>1511</v>
      </c>
      <c r="BH31" s="667">
        <f t="shared" si="129"/>
        <v>2095</v>
      </c>
      <c r="BI31" s="667">
        <f t="shared" si="129"/>
        <v>1909</v>
      </c>
      <c r="BJ31" s="667">
        <f t="shared" si="129"/>
        <v>2481</v>
      </c>
      <c r="BK31" s="667">
        <f t="shared" si="129"/>
        <v>7996</v>
      </c>
      <c r="BL31" s="667">
        <f t="shared" si="129"/>
        <v>1784</v>
      </c>
      <c r="BM31" s="667">
        <f t="shared" si="129"/>
        <v>1951</v>
      </c>
      <c r="BN31" s="667">
        <f t="shared" si="129"/>
        <v>1334</v>
      </c>
      <c r="BO31" s="667">
        <f t="shared" si="129"/>
        <v>1086</v>
      </c>
      <c r="BP31" s="667">
        <f t="shared" si="129"/>
        <v>6155</v>
      </c>
      <c r="BQ31" s="667">
        <f t="shared" si="129"/>
        <v>1716</v>
      </c>
      <c r="BR31" s="667">
        <f t="shared" si="129"/>
        <v>2857</v>
      </c>
      <c r="BS31" s="667">
        <f t="shared" si="129"/>
        <v>1783</v>
      </c>
      <c r="BT31" s="667">
        <f t="shared" si="129"/>
        <v>3565</v>
      </c>
      <c r="BU31" s="667">
        <f t="shared" si="129"/>
        <v>9921</v>
      </c>
      <c r="BV31" s="667">
        <f t="shared" si="129"/>
        <v>1234</v>
      </c>
      <c r="BW31" s="667">
        <f t="shared" si="129"/>
        <v>1983.5380000000005</v>
      </c>
      <c r="BX31" s="667">
        <f t="shared" si="129"/>
        <v>3102.4619999999995</v>
      </c>
      <c r="BY31" s="667">
        <f t="shared" si="129"/>
        <v>2743</v>
      </c>
      <c r="BZ31" s="667">
        <f t="shared" si="129"/>
        <v>9063</v>
      </c>
      <c r="CA31" s="667">
        <f t="shared" si="129"/>
        <v>1413</v>
      </c>
      <c r="CB31" s="667">
        <f t="shared" si="129"/>
        <v>1743</v>
      </c>
      <c r="CC31" s="667">
        <f t="shared" si="129"/>
        <v>2389</v>
      </c>
      <c r="CD31" s="667">
        <f t="shared" si="129"/>
        <v>1613</v>
      </c>
      <c r="CE31" s="667">
        <f t="shared" si="129"/>
        <v>7158</v>
      </c>
      <c r="CF31" s="667">
        <f t="shared" ref="CF31:CG31" si="130">CF27</f>
        <v>2057</v>
      </c>
      <c r="CG31" s="667">
        <f t="shared" si="130"/>
        <v>2088</v>
      </c>
      <c r="CH31" s="667">
        <f t="shared" ref="CH31:CI31" si="131">CH27</f>
        <v>1504</v>
      </c>
      <c r="CI31" s="667">
        <f t="shared" si="131"/>
        <v>1733</v>
      </c>
      <c r="CJ31" s="576" cm="1">
        <f t="array" ref="CJ31">_xll.VAData("EXCL_IJ", "FY-"&amp;CJ$2, "Capex", "Consensus", "CD", "IMPL","","")</f>
        <v>8888.7718317750005</v>
      </c>
      <c r="CK31" s="667">
        <f t="shared" ref="CK31:CL31" si="132">CK27</f>
        <v>1241</v>
      </c>
      <c r="CL31" s="667">
        <f t="shared" si="132"/>
        <v>1090</v>
      </c>
      <c r="CM31" s="667">
        <f t="shared" ref="CM31" si="133">CM27</f>
        <v>1929</v>
      </c>
      <c r="CN31" s="667"/>
      <c r="CO31" s="576" cm="1">
        <f t="array" ref="CO31">_xll.VAData("EXCL_IJ", "FY-"&amp;CO$2, "Capex", "Consensus", "CD", "IMPL","","")</f>
        <v>14552.810879250645</v>
      </c>
      <c r="CP31" s="576" cm="1">
        <f t="array" ref="CP31">_xll.VAData("EXCL_IJ", "FY-"&amp;CP$2, "Capex", "Consensus", "CD", "IMPL","","")</f>
        <v>13313.988226215928</v>
      </c>
      <c r="CQ31" s="576" cm="1">
        <f t="array" ref="CQ31">_xll.VAData("EXCL_IJ", "FY-"&amp;CQ$2, "Capex", "Consensus", "CD", "IMPL","","")</f>
        <v>12789.982079934472</v>
      </c>
      <c r="CR31" s="576" cm="1">
        <f t="array" ref="CR31">_xll.VAData("EXCL_IJ", "FY-"&amp;CR$2, "Capex", "Consensus", "CD", "IMPL","","")</f>
        <v>9861.3785339640799</v>
      </c>
      <c r="CS31" s="576" cm="1">
        <f t="array" ref="CS31">_xll.VAData("EXCL_IJ", "FY-"&amp;CS$2, "Capex", "Consensus", "CD", "IMPL","","")</f>
        <v>10239.350416098612</v>
      </c>
      <c r="CT31" s="576" cm="1">
        <f t="array" ref="CT31">_xll.VAData("EXCL_IJ", "FY-"&amp;CT$2, "Capex", "Consensus", "CD", "IMPL","","")</f>
        <v>8663.1543457628359</v>
      </c>
      <c r="CU31" s="347"/>
      <c r="CV31" s="1365">
        <f>(CO31/BZ31)^(1/(CO$2-BZ$2))-1</f>
        <v>0.17100379311604263</v>
      </c>
      <c r="CW31" s="347"/>
      <c r="CX31" s="347"/>
      <c r="CY31" s="347"/>
      <c r="CZ31" s="367"/>
      <c r="DA31" s="367"/>
      <c r="DB31" s="367"/>
      <c r="DC31" s="367"/>
    </row>
    <row r="32" spans="1:121">
      <c r="B32" s="357" t="s">
        <v>560</v>
      </c>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8"/>
      <c r="AH32" s="358"/>
      <c r="AI32" s="358"/>
      <c r="AJ32" s="358"/>
      <c r="AK32" s="358"/>
      <c r="AL32" s="358"/>
      <c r="AM32" s="358"/>
      <c r="AN32" s="358"/>
      <c r="AO32" s="358"/>
      <c r="AP32" s="358"/>
      <c r="AQ32" s="358"/>
      <c r="AR32" s="358"/>
      <c r="AS32" s="358"/>
      <c r="AT32" s="358"/>
      <c r="AU32" s="358"/>
      <c r="AV32" s="359"/>
      <c r="AW32" s="359"/>
      <c r="AX32" s="359"/>
      <c r="AY32" s="359"/>
      <c r="AZ32" s="359"/>
      <c r="BA32" s="359"/>
      <c r="BB32" s="359"/>
      <c r="BC32" s="359"/>
      <c r="BD32" s="359"/>
      <c r="BE32" s="359"/>
      <c r="BF32" s="359"/>
      <c r="BG32" s="359"/>
      <c r="BH32" s="359"/>
      <c r="BI32" s="359"/>
      <c r="BJ32" s="359"/>
      <c r="BK32" s="370">
        <f>BK27/BK31-1</f>
        <v>0</v>
      </c>
      <c r="BL32" s="359"/>
      <c r="BM32" s="359"/>
      <c r="BN32" s="359"/>
      <c r="BO32" s="370"/>
      <c r="BP32" s="370">
        <f>BP27/BP31-1</f>
        <v>0</v>
      </c>
      <c r="BQ32" s="370"/>
      <c r="BR32" s="370"/>
      <c r="BS32" s="370"/>
      <c r="BT32" s="370"/>
      <c r="BU32" s="370">
        <f>BU27/BU31-1</f>
        <v>0</v>
      </c>
      <c r="BV32" s="370"/>
      <c r="BW32" s="370"/>
      <c r="BX32" s="370"/>
      <c r="BY32" s="370"/>
      <c r="BZ32" s="370">
        <f>BZ27/BZ31-1</f>
        <v>0</v>
      </c>
      <c r="CA32" s="370"/>
      <c r="CB32" s="370"/>
      <c r="CC32" s="370"/>
      <c r="CD32" s="370"/>
      <c r="CE32" s="370">
        <f>CE27/CE31-1</f>
        <v>0</v>
      </c>
      <c r="CF32" s="370"/>
      <c r="CG32" s="370"/>
      <c r="CH32" s="370"/>
      <c r="CI32" s="370"/>
      <c r="CJ32" s="370">
        <f t="shared" ref="CJ32" si="134">CJ27/CJ31-1</f>
        <v>-0.16951406339272779</v>
      </c>
      <c r="CK32" s="370"/>
      <c r="CL32" s="370"/>
      <c r="CM32" s="370"/>
      <c r="CN32" s="370"/>
      <c r="CO32" s="362">
        <f t="shared" ref="CO32" si="135">IFERROR(CO28/CO31-1,"")</f>
        <v>-0.99996701668124577</v>
      </c>
      <c r="CP32" s="362">
        <f t="shared" ref="CP32" si="136">IFERROR(CP28/CP31-1,"")</f>
        <v>-0.99998347602564597</v>
      </c>
      <c r="CQ32" s="362">
        <f t="shared" ref="CQ32" si="137">IFERROR(CQ28/CQ31-1,"")</f>
        <v>-0.99998358089959094</v>
      </c>
      <c r="CR32" s="362">
        <f t="shared" ref="CR32" si="138">IFERROR(CR28/CR31-1,"")</f>
        <v>-0.99997870480285522</v>
      </c>
      <c r="CS32" s="362">
        <f t="shared" ref="CS32" si="139">IFERROR(CS28/CS31-1,"")</f>
        <v>-0.9999794908864853</v>
      </c>
      <c r="CT32" s="362">
        <f t="shared" ref="CT32" si="140">IFERROR(CT28/CT31-1,"")</f>
        <v>-0.99997518224985738</v>
      </c>
      <c r="CU32" s="347"/>
      <c r="CV32" s="1363"/>
      <c r="CW32" s="347"/>
      <c r="CX32" s="347"/>
      <c r="CY32" s="347"/>
      <c r="CZ32" s="367"/>
      <c r="DA32" s="367"/>
      <c r="DB32" s="367"/>
      <c r="DC32" s="367"/>
    </row>
    <row r="33" spans="1:118">
      <c r="B33" s="357" t="s">
        <v>195</v>
      </c>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8"/>
      <c r="AH33" s="358"/>
      <c r="AI33" s="358"/>
      <c r="AJ33" s="358"/>
      <c r="AK33" s="358"/>
      <c r="AL33" s="358"/>
      <c r="AM33" s="358"/>
      <c r="AN33" s="358"/>
      <c r="AO33" s="358"/>
      <c r="AP33" s="358"/>
      <c r="AQ33" s="358"/>
      <c r="AR33" s="358"/>
      <c r="AS33" s="358"/>
      <c r="AT33" s="358"/>
      <c r="AU33" s="358"/>
      <c r="AV33" s="359"/>
      <c r="AW33" s="359"/>
      <c r="AX33" s="359"/>
      <c r="AY33" s="359"/>
      <c r="AZ33" s="359"/>
      <c r="BA33" s="359"/>
      <c r="BB33" s="359"/>
      <c r="BC33" s="359"/>
      <c r="BD33" s="359"/>
      <c r="BE33" s="359"/>
      <c r="BF33" s="359"/>
      <c r="BG33" s="359"/>
      <c r="BH33" s="359"/>
      <c r="BI33" s="359"/>
      <c r="BJ33" s="359"/>
      <c r="BK33" s="370"/>
      <c r="BL33" s="359"/>
      <c r="BM33" s="359"/>
      <c r="BN33" s="359"/>
      <c r="BO33" s="370"/>
      <c r="BP33" s="370">
        <f>BP31/BP8</f>
        <v>0.23664798794421721</v>
      </c>
      <c r="BQ33" s="370"/>
      <c r="BR33" s="370"/>
      <c r="BS33" s="370"/>
      <c r="BT33" s="370"/>
      <c r="BU33" s="370">
        <f>BU31/BU8</f>
        <v>0.37082236147424402</v>
      </c>
      <c r="BV33" s="370"/>
      <c r="BW33" s="370"/>
      <c r="BX33" s="370"/>
      <c r="BY33" s="370"/>
      <c r="BZ33" s="370">
        <f>BZ31/BZ8</f>
        <v>0.31099450504313464</v>
      </c>
      <c r="CA33" s="370"/>
      <c r="CB33" s="370"/>
      <c r="CC33" s="370"/>
      <c r="CD33" s="370"/>
      <c r="CE33" s="370">
        <f>CE31/CE8</f>
        <v>0.22145460779191653</v>
      </c>
      <c r="CF33" s="370"/>
      <c r="CG33" s="370"/>
      <c r="CH33" s="370"/>
      <c r="CI33" s="370"/>
      <c r="CJ33" s="370">
        <f>IFERROR(CJ31/CJ8,"")</f>
        <v>0.25889882822802573</v>
      </c>
      <c r="CK33" s="370"/>
      <c r="CL33" s="370"/>
      <c r="CM33" s="370"/>
      <c r="CN33" s="370"/>
      <c r="CO33" s="370">
        <f t="shared" ref="CO33:CT33" si="141">IFERROR(CO31/CO8,"")</f>
        <v>0.35233548211536297</v>
      </c>
      <c r="CP33" s="370">
        <f t="shared" si="141"/>
        <v>0.29805199228643176</v>
      </c>
      <c r="CQ33" s="370">
        <f t="shared" si="141"/>
        <v>0.27604669887411903</v>
      </c>
      <c r="CR33" s="370">
        <f t="shared" si="141"/>
        <v>0.19833515350648073</v>
      </c>
      <c r="CS33" s="370">
        <f t="shared" si="141"/>
        <v>0.19757174912429337</v>
      </c>
      <c r="CT33" s="370">
        <f t="shared" si="141"/>
        <v>0.17999019248773787</v>
      </c>
      <c r="CU33" s="347"/>
      <c r="CV33" s="1363"/>
      <c r="CW33" s="347"/>
      <c r="CX33" s="347"/>
      <c r="CY33" s="347"/>
      <c r="CZ33" s="367"/>
      <c r="DA33" s="367"/>
      <c r="DB33" s="367"/>
      <c r="DC33" s="367"/>
    </row>
    <row r="34" spans="1:118">
      <c r="B34" s="373"/>
      <c r="C34" s="368"/>
      <c r="D34" s="368"/>
      <c r="E34" s="368"/>
      <c r="F34" s="368"/>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74"/>
      <c r="AW34" s="374"/>
      <c r="AX34" s="374"/>
      <c r="AY34" s="374"/>
      <c r="AZ34" s="374"/>
      <c r="BA34" s="374"/>
      <c r="BB34" s="374"/>
      <c r="BC34" s="374"/>
      <c r="BD34" s="374"/>
      <c r="BE34" s="374"/>
      <c r="BF34" s="374"/>
      <c r="BG34" s="374"/>
      <c r="BH34" s="374"/>
      <c r="BI34" s="374"/>
      <c r="BJ34" s="374"/>
      <c r="BK34" s="374"/>
      <c r="BL34" s="374"/>
      <c r="BM34" s="374"/>
      <c r="BN34" s="374"/>
      <c r="BO34" s="374"/>
      <c r="BP34" s="374"/>
      <c r="BQ34" s="374"/>
      <c r="BR34" s="374"/>
      <c r="BS34" s="374"/>
      <c r="BT34" s="374"/>
      <c r="BU34" s="374"/>
      <c r="BV34" s="374"/>
      <c r="BW34" s="374"/>
      <c r="BX34" s="374"/>
      <c r="BY34" s="374"/>
      <c r="BZ34" s="374"/>
      <c r="CA34" s="374"/>
      <c r="CB34" s="374"/>
      <c r="CC34" s="374"/>
      <c r="CD34" s="374"/>
      <c r="CE34" s="374"/>
      <c r="CF34" s="374"/>
      <c r="CG34" s="374"/>
      <c r="CH34" s="374"/>
      <c r="CI34" s="374"/>
      <c r="CJ34" s="374"/>
      <c r="CK34" s="374"/>
      <c r="CL34" s="374"/>
      <c r="CM34" s="374"/>
      <c r="CN34" s="374"/>
      <c r="CO34" s="374"/>
      <c r="CP34" s="374"/>
      <c r="CQ34" s="374"/>
      <c r="CR34" s="374"/>
      <c r="CS34" s="374"/>
      <c r="CT34" s="374"/>
      <c r="CU34" s="347"/>
      <c r="CV34" s="1363"/>
      <c r="CW34" s="347"/>
      <c r="CX34" s="347"/>
      <c r="CY34" s="347"/>
      <c r="CZ34" s="367"/>
      <c r="DA34" s="367"/>
      <c r="DB34" s="367"/>
      <c r="DC34" s="367"/>
    </row>
    <row r="35" spans="1:118">
      <c r="B35" s="347" t="s">
        <v>497</v>
      </c>
      <c r="C35" s="356">
        <f t="shared" ref="C35:AH35" si="142">C27/C437</f>
        <v>3.9268153230417382</v>
      </c>
      <c r="D35" s="356">
        <f t="shared" si="142"/>
        <v>2.8681318681318682</v>
      </c>
      <c r="E35" s="356">
        <f t="shared" si="142"/>
        <v>5.0320232896652106</v>
      </c>
      <c r="F35" s="356">
        <f t="shared" si="142"/>
        <v>4.6163265306122447</v>
      </c>
      <c r="G35" s="356">
        <f t="shared" si="142"/>
        <v>2.0492424242424243</v>
      </c>
      <c r="H35" s="356">
        <f t="shared" si="142"/>
        <v>3.368452204794318</v>
      </c>
      <c r="I35" s="356">
        <f t="shared" si="142"/>
        <v>1.9898648648648649</v>
      </c>
      <c r="J35" s="356">
        <f t="shared" si="142"/>
        <v>1.1858216970998925</v>
      </c>
      <c r="K35" s="356">
        <f t="shared" si="142"/>
        <v>0.64077669902912626</v>
      </c>
      <c r="L35" s="356">
        <f t="shared" si="142"/>
        <v>1.8268341708542712</v>
      </c>
      <c r="M35" s="356">
        <f t="shared" si="142"/>
        <v>1.4121090617481957</v>
      </c>
      <c r="N35" s="356">
        <f t="shared" si="142"/>
        <v>0.75436793422404935</v>
      </c>
      <c r="O35" s="356">
        <f t="shared" si="142"/>
        <v>1.0798362333674514</v>
      </c>
      <c r="P35" s="356">
        <f t="shared" si="142"/>
        <v>1.6709870388833499</v>
      </c>
      <c r="Q35" s="356">
        <f t="shared" si="142"/>
        <v>1.1830624465355004</v>
      </c>
      <c r="R35" s="356">
        <f t="shared" si="142"/>
        <v>1.1761280931586608</v>
      </c>
      <c r="S35" s="356">
        <f t="shared" si="142"/>
        <v>1.096882898062342</v>
      </c>
      <c r="T35" s="356">
        <f t="shared" si="142"/>
        <v>1.1021459227467811</v>
      </c>
      <c r="U35" s="356">
        <f t="shared" si="142"/>
        <v>1.3256410256410256</v>
      </c>
      <c r="V35" s="356">
        <f t="shared" si="142"/>
        <v>2.054263565891473</v>
      </c>
      <c r="W35" s="356">
        <f t="shared" si="142"/>
        <v>1.3926969891095451</v>
      </c>
      <c r="X35" s="356">
        <f t="shared" si="142"/>
        <v>2.0840890354492991</v>
      </c>
      <c r="Y35" s="356">
        <f t="shared" si="142"/>
        <v>2.182975338106603</v>
      </c>
      <c r="Z35" s="356">
        <f t="shared" si="142"/>
        <v>1.4821428571428572</v>
      </c>
      <c r="AA35" s="356">
        <f t="shared" si="142"/>
        <v>2.2897553516819573</v>
      </c>
      <c r="AB35" s="356">
        <f t="shared" si="142"/>
        <v>2.0086853533359652</v>
      </c>
      <c r="AC35" s="356">
        <f t="shared" si="142"/>
        <v>1.3506787330316743</v>
      </c>
      <c r="AD35" s="356">
        <f t="shared" si="142"/>
        <v>1.6284271284271283</v>
      </c>
      <c r="AE35" s="356">
        <f t="shared" si="142"/>
        <v>1.1398601398601398</v>
      </c>
      <c r="AF35" s="356">
        <f t="shared" si="142"/>
        <v>1.0535956580732699</v>
      </c>
      <c r="AG35" s="356">
        <f t="shared" si="142"/>
        <v>1.2839034554610176</v>
      </c>
      <c r="AH35" s="356">
        <f t="shared" si="142"/>
        <v>1.122029543994862</v>
      </c>
      <c r="AI35" s="356">
        <f t="shared" ref="AI35:BN35" si="143">AI27/AI437</f>
        <v>1.0847953216374269</v>
      </c>
      <c r="AJ35" s="356">
        <f t="shared" si="143"/>
        <v>0.88725747246984787</v>
      </c>
      <c r="AK35" s="356">
        <f t="shared" si="143"/>
        <v>1.0095291479820627</v>
      </c>
      <c r="AL35" s="356">
        <f t="shared" si="143"/>
        <v>1.019689565967232</v>
      </c>
      <c r="AM35" s="356">
        <f t="shared" si="143"/>
        <v>0.67615857063093243</v>
      </c>
      <c r="AN35" s="356">
        <f t="shared" si="143"/>
        <v>0.60101010101010099</v>
      </c>
      <c r="AO35" s="356">
        <f t="shared" si="143"/>
        <v>0.40571088637715647</v>
      </c>
      <c r="AP35" s="356">
        <f t="shared" si="143"/>
        <v>0.62838915470494416</v>
      </c>
      <c r="AQ35" s="356">
        <f t="shared" si="143"/>
        <v>0.58107918710581641</v>
      </c>
      <c r="AR35" s="356">
        <f t="shared" si="143"/>
        <v>0.56012827365045426</v>
      </c>
      <c r="AS35" s="356">
        <f t="shared" si="143"/>
        <v>0.39330143540669854</v>
      </c>
      <c r="AT35" s="356">
        <f t="shared" si="143"/>
        <v>1.4005555555555556</v>
      </c>
      <c r="AU35" s="356">
        <f t="shared" si="143"/>
        <v>0.52210065645514225</v>
      </c>
      <c r="AV35" s="356">
        <f t="shared" si="143"/>
        <v>0.69400944568729805</v>
      </c>
      <c r="AW35" s="356">
        <f t="shared" si="143"/>
        <v>0.77784395473496126</v>
      </c>
      <c r="AX35" s="356">
        <f t="shared" si="143"/>
        <v>1.4083431257344301</v>
      </c>
      <c r="AY35" s="356">
        <f t="shared" si="143"/>
        <v>0.91260997067448679</v>
      </c>
      <c r="AZ35" s="356">
        <f t="shared" si="143"/>
        <v>0.77104557640750671</v>
      </c>
      <c r="BA35" s="356">
        <f t="shared" si="143"/>
        <v>0.9634584951805496</v>
      </c>
      <c r="BB35" s="356">
        <f t="shared" si="143"/>
        <v>0.8436147186147186</v>
      </c>
      <c r="BC35" s="356">
        <f t="shared" si="143"/>
        <v>0.92340884573894277</v>
      </c>
      <c r="BD35" s="356">
        <f t="shared" si="143"/>
        <v>0.86746361746361744</v>
      </c>
      <c r="BE35" s="356">
        <f t="shared" si="143"/>
        <v>0.30892410341951626</v>
      </c>
      <c r="BF35" s="356">
        <f t="shared" si="143"/>
        <v>0.58445916874623527</v>
      </c>
      <c r="BG35" s="356">
        <f t="shared" si="143"/>
        <v>0.90155131264916466</v>
      </c>
      <c r="BH35" s="356">
        <f t="shared" si="143"/>
        <v>1.2575030012004802</v>
      </c>
      <c r="BI35" s="356">
        <f t="shared" si="143"/>
        <v>1.0712682379349046</v>
      </c>
      <c r="BJ35" s="356">
        <f t="shared" si="143"/>
        <v>1.3345884884346422</v>
      </c>
      <c r="BK35" s="356">
        <f t="shared" si="143"/>
        <v>1.145066590290706</v>
      </c>
      <c r="BL35" s="356">
        <f t="shared" si="143"/>
        <v>0.71131213564690543</v>
      </c>
      <c r="BM35" s="356">
        <f t="shared" si="143"/>
        <v>0.81235715567569511</v>
      </c>
      <c r="BN35" s="356">
        <f t="shared" si="143"/>
        <v>0.59378484424275735</v>
      </c>
      <c r="BO35" s="356">
        <f t="shared" ref="BO35:CL35" si="144">BO27/BO437</f>
        <v>0.22080400716576093</v>
      </c>
      <c r="BP35" s="356">
        <f t="shared" si="144"/>
        <v>0.50974401988689066</v>
      </c>
      <c r="BQ35" s="356">
        <f t="shared" si="144"/>
        <v>0.70910936937614499</v>
      </c>
      <c r="BR35" s="356">
        <f t="shared" si="144"/>
        <v>1.1429888217533535</v>
      </c>
      <c r="BS35" s="356">
        <f t="shared" si="144"/>
        <v>0.71317803411654945</v>
      </c>
      <c r="BT35" s="356">
        <f t="shared" si="144"/>
        <v>1.4054101787177133</v>
      </c>
      <c r="BU35" s="356">
        <f t="shared" si="144"/>
        <v>0.99646181229094111</v>
      </c>
      <c r="BV35" s="356">
        <f t="shared" si="144"/>
        <v>0.48186805484236389</v>
      </c>
      <c r="BW35" s="356">
        <f t="shared" si="144"/>
        <v>0.78224104314685616</v>
      </c>
      <c r="BX35" s="356">
        <f t="shared" si="144"/>
        <v>1.2022893574871472</v>
      </c>
      <c r="BY35" s="356">
        <f t="shared" si="144"/>
        <v>0.95003731918379219</v>
      </c>
      <c r="BZ35" s="356">
        <f t="shared" si="144"/>
        <v>0.85788963126364504</v>
      </c>
      <c r="CA35" s="356">
        <f t="shared" si="144"/>
        <v>0.51607106660165558</v>
      </c>
      <c r="CB35" s="356">
        <f t="shared" si="144"/>
        <v>0.61587081058562843</v>
      </c>
      <c r="CC35" s="356">
        <f t="shared" si="144"/>
        <v>0.80798255650551065</v>
      </c>
      <c r="CD35" s="356">
        <f t="shared" si="144"/>
        <v>0.57140286310739041</v>
      </c>
      <c r="CE35" s="356">
        <f t="shared" si="144"/>
        <v>0.63078539390776578</v>
      </c>
      <c r="CF35" s="356">
        <f t="shared" si="144"/>
        <v>0.68402068489192169</v>
      </c>
      <c r="CG35" s="356">
        <f t="shared" si="144"/>
        <v>0.65937834643195159</v>
      </c>
      <c r="CH35" s="356">
        <f t="shared" si="144"/>
        <v>0.51861568233134292</v>
      </c>
      <c r="CI35" s="356">
        <f t="shared" si="144"/>
        <v>0.57757637222714198</v>
      </c>
      <c r="CJ35" s="356">
        <f t="shared" si="144"/>
        <v>0.61137942586486138</v>
      </c>
      <c r="CK35" s="356">
        <f t="shared" si="144"/>
        <v>0.43220479472187745</v>
      </c>
      <c r="CL35" s="356">
        <f t="shared" si="144"/>
        <v>0.23484617360173876</v>
      </c>
      <c r="CM35" s="356">
        <f t="shared" ref="CM35" si="145">CM27/CM437</f>
        <v>0.37299745901523657</v>
      </c>
      <c r="CN35" s="356"/>
      <c r="CO35" s="356">
        <f t="shared" ref="CO35:CT35" si="146">CO27/CO437</f>
        <v>1.8145962215189588</v>
      </c>
      <c r="CP35" s="356">
        <f t="shared" si="146"/>
        <v>0.80173704929042211</v>
      </c>
      <c r="CQ35" s="356">
        <f t="shared" si="146"/>
        <v>0.82992150435670586</v>
      </c>
      <c r="CR35" s="356">
        <f t="shared" si="146"/>
        <v>0.8949742334555062</v>
      </c>
      <c r="CS35" s="356">
        <f t="shared" si="146"/>
        <v>0.95290173084995589</v>
      </c>
      <c r="CT35" s="356">
        <f t="shared" si="146"/>
        <v>1.0271452200604392</v>
      </c>
      <c r="CU35" s="347"/>
      <c r="CV35" s="1363"/>
      <c r="CW35" s="347"/>
      <c r="CX35" s="347"/>
      <c r="CY35" s="347"/>
      <c r="CZ35" s="367"/>
      <c r="DA35" s="367"/>
      <c r="DB35" s="367"/>
      <c r="DC35" s="367"/>
    </row>
    <row r="37" spans="1:118">
      <c r="A37" s="759" t="s">
        <v>615</v>
      </c>
      <c r="B37" s="350" t="s">
        <v>577</v>
      </c>
      <c r="C37" s="553"/>
      <c r="D37" s="553"/>
      <c r="E37" s="553"/>
      <c r="F37" s="553"/>
      <c r="G37" s="553"/>
      <c r="H37" s="553"/>
      <c r="I37" s="553"/>
      <c r="J37" s="553"/>
      <c r="K37" s="553"/>
      <c r="L37" s="553"/>
      <c r="M37" s="553"/>
      <c r="N37" s="553"/>
      <c r="O37" s="553"/>
      <c r="P37" s="553"/>
      <c r="Q37" s="553"/>
      <c r="R37" s="553"/>
      <c r="S37" s="553"/>
      <c r="T37" s="553"/>
      <c r="U37" s="553"/>
      <c r="V37" s="553"/>
      <c r="W37" s="553"/>
      <c r="X37" s="553"/>
      <c r="Y37" s="553"/>
      <c r="Z37" s="553"/>
      <c r="AA37" s="553"/>
      <c r="AB37" s="553"/>
      <c r="AC37" s="553"/>
      <c r="AD37" s="553"/>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53"/>
      <c r="BB37" s="553"/>
      <c r="BC37" s="553"/>
      <c r="BD37" s="553"/>
      <c r="BE37" s="553"/>
      <c r="BF37" s="553"/>
      <c r="BG37" s="553"/>
      <c r="BH37" s="553"/>
      <c r="BI37" s="553"/>
      <c r="BJ37" s="553"/>
      <c r="BK37" s="553"/>
      <c r="BL37" s="553"/>
      <c r="BM37" s="553"/>
      <c r="BN37" s="553"/>
      <c r="BO37" s="553"/>
      <c r="BP37" s="553"/>
      <c r="BQ37" s="553"/>
      <c r="BR37" s="553"/>
      <c r="BS37" s="553"/>
      <c r="BT37" s="553"/>
      <c r="BU37" s="553"/>
      <c r="BV37" s="553"/>
      <c r="BW37" s="553"/>
      <c r="BX37" s="553"/>
      <c r="BY37" s="553"/>
      <c r="BZ37" s="553"/>
      <c r="CA37" s="553"/>
      <c r="CB37" s="553"/>
      <c r="CC37" s="553"/>
      <c r="CD37" s="553"/>
      <c r="CE37" s="553"/>
      <c r="CF37" s="553"/>
      <c r="CG37" s="553"/>
      <c r="CH37" s="553"/>
      <c r="CI37" s="553"/>
      <c r="CJ37" s="553"/>
      <c r="CK37" s="553"/>
      <c r="CL37" s="553"/>
      <c r="CM37" s="553"/>
      <c r="CN37" s="553"/>
      <c r="CO37" s="553"/>
      <c r="CP37" s="553"/>
      <c r="CQ37" s="553"/>
      <c r="CR37" s="553"/>
      <c r="CS37" s="553"/>
      <c r="CT37" s="553"/>
      <c r="CU37" s="347"/>
      <c r="CV37" s="1363"/>
      <c r="CW37" s="347"/>
      <c r="CX37" s="347"/>
      <c r="CY37" s="347"/>
      <c r="CZ37" s="347"/>
      <c r="DA37" s="347"/>
      <c r="DL37" s="347"/>
      <c r="DM37" s="347"/>
      <c r="DN37" s="347"/>
    </row>
    <row r="38" spans="1:118">
      <c r="B38" s="347"/>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80"/>
      <c r="AH38" s="380"/>
      <c r="AI38" s="380"/>
      <c r="AJ38" s="380"/>
      <c r="AK38" s="380"/>
      <c r="AL38" s="380"/>
      <c r="AM38" s="380"/>
      <c r="AN38" s="380"/>
      <c r="AO38" s="380"/>
      <c r="AP38" s="380"/>
      <c r="AQ38" s="347"/>
      <c r="AR38" s="347"/>
      <c r="AS38" s="347"/>
      <c r="AT38" s="347"/>
      <c r="AU38" s="347"/>
      <c r="AV38" s="347"/>
      <c r="AW38" s="347"/>
      <c r="AX38" s="347"/>
      <c r="AY38" s="347"/>
      <c r="AZ38" s="347"/>
      <c r="BA38" s="347"/>
      <c r="BB38" s="347"/>
      <c r="BC38" s="347"/>
      <c r="BD38" s="347"/>
      <c r="BE38" s="347"/>
      <c r="BF38" s="347"/>
      <c r="BG38" s="347"/>
      <c r="BH38" s="347"/>
      <c r="BI38" s="347"/>
      <c r="BJ38" s="347"/>
      <c r="BK38" s="347"/>
      <c r="BL38" s="347"/>
      <c r="BM38" s="347"/>
      <c r="BN38" s="347"/>
      <c r="BO38" s="347"/>
      <c r="BP38" s="347"/>
      <c r="BQ38" s="347"/>
      <c r="BR38" s="347"/>
      <c r="BS38" s="347"/>
      <c r="BT38" s="347"/>
      <c r="BU38" s="347"/>
      <c r="BV38" s="347"/>
      <c r="BW38" s="347"/>
      <c r="BX38" s="347"/>
      <c r="BY38" s="347"/>
      <c r="BZ38" s="347"/>
      <c r="CA38" s="347"/>
      <c r="CB38" s="347"/>
      <c r="CC38" s="347"/>
      <c r="CD38" s="347"/>
      <c r="CE38" s="347"/>
      <c r="CF38" s="347"/>
      <c r="CG38" s="347"/>
      <c r="CH38" s="347"/>
      <c r="CI38" s="347"/>
      <c r="CJ38" s="347"/>
      <c r="CK38" s="347"/>
      <c r="CL38" s="347"/>
      <c r="CM38" s="347"/>
      <c r="CN38" s="347"/>
      <c r="CO38" s="347"/>
      <c r="CP38" s="347"/>
      <c r="CQ38" s="347"/>
      <c r="CR38" s="347"/>
      <c r="CS38" s="347"/>
      <c r="CT38" s="347"/>
      <c r="CU38" s="347"/>
      <c r="CV38" s="1363"/>
      <c r="CW38" s="347"/>
      <c r="CX38" s="347"/>
      <c r="CY38" s="347"/>
      <c r="CZ38" s="347"/>
      <c r="DA38" s="347"/>
      <c r="DL38" s="381"/>
      <c r="DM38" s="382"/>
    </row>
    <row r="39" spans="1:118">
      <c r="B39" s="383" t="s">
        <v>7</v>
      </c>
      <c r="C39" s="556">
        <f>C$4</f>
        <v>2007</v>
      </c>
      <c r="D39" s="556" t="str">
        <f t="shared" ref="D39:BO39" si="147">D$4</f>
        <v>Q1</v>
      </c>
      <c r="E39" s="556" t="str">
        <f t="shared" si="147"/>
        <v>Q2</v>
      </c>
      <c r="F39" s="556" t="str">
        <f t="shared" si="147"/>
        <v>Q3</v>
      </c>
      <c r="G39" s="556" t="str">
        <f t="shared" si="147"/>
        <v>Q4</v>
      </c>
      <c r="H39" s="556">
        <f t="shared" si="147"/>
        <v>2008</v>
      </c>
      <c r="I39" s="556" t="str">
        <f t="shared" si="147"/>
        <v>Q1</v>
      </c>
      <c r="J39" s="556" t="str">
        <f t="shared" si="147"/>
        <v>Q2</v>
      </c>
      <c r="K39" s="556" t="str">
        <f t="shared" si="147"/>
        <v>Q3</v>
      </c>
      <c r="L39" s="556" t="str">
        <f t="shared" si="147"/>
        <v>Q4</v>
      </c>
      <c r="M39" s="556">
        <f t="shared" si="147"/>
        <v>2009</v>
      </c>
      <c r="N39" s="556" t="str">
        <f t="shared" si="147"/>
        <v>Q1</v>
      </c>
      <c r="O39" s="556" t="str">
        <f t="shared" si="147"/>
        <v>Q2</v>
      </c>
      <c r="P39" s="556" t="str">
        <f t="shared" si="147"/>
        <v>Q3</v>
      </c>
      <c r="Q39" s="556" t="str">
        <f t="shared" si="147"/>
        <v>Q4</v>
      </c>
      <c r="R39" s="556">
        <f t="shared" si="147"/>
        <v>2010</v>
      </c>
      <c r="S39" s="556" t="str">
        <f t="shared" si="147"/>
        <v>Q1</v>
      </c>
      <c r="T39" s="556" t="str">
        <f t="shared" si="147"/>
        <v>Q2</v>
      </c>
      <c r="U39" s="556" t="str">
        <f t="shared" si="147"/>
        <v>Q3</v>
      </c>
      <c r="V39" s="556" t="str">
        <f t="shared" si="147"/>
        <v>Q4</v>
      </c>
      <c r="W39" s="556">
        <f t="shared" si="147"/>
        <v>2011</v>
      </c>
      <c r="X39" s="556" t="str">
        <f t="shared" si="147"/>
        <v>Q1</v>
      </c>
      <c r="Y39" s="556" t="str">
        <f t="shared" si="147"/>
        <v>Q2</v>
      </c>
      <c r="Z39" s="556" t="str">
        <f t="shared" si="147"/>
        <v>Q3</v>
      </c>
      <c r="AA39" s="556" t="str">
        <f t="shared" si="147"/>
        <v>Q4</v>
      </c>
      <c r="AB39" s="556">
        <f t="shared" si="147"/>
        <v>2012</v>
      </c>
      <c r="AC39" s="556" t="str">
        <f t="shared" si="147"/>
        <v>Q1</v>
      </c>
      <c r="AD39" s="556" t="str">
        <f t="shared" si="147"/>
        <v>Q2</v>
      </c>
      <c r="AE39" s="556" t="str">
        <f t="shared" si="147"/>
        <v>Q3</v>
      </c>
      <c r="AF39" s="556" t="str">
        <f t="shared" si="147"/>
        <v>Q4</v>
      </c>
      <c r="AG39" s="556">
        <f t="shared" si="147"/>
        <v>2013</v>
      </c>
      <c r="AH39" s="556" t="str">
        <f t="shared" si="147"/>
        <v>Q1</v>
      </c>
      <c r="AI39" s="556" t="str">
        <f t="shared" si="147"/>
        <v>Q2</v>
      </c>
      <c r="AJ39" s="556" t="str">
        <f t="shared" si="147"/>
        <v>Q3</v>
      </c>
      <c r="AK39" s="556" t="str">
        <f t="shared" si="147"/>
        <v>Q4</v>
      </c>
      <c r="AL39" s="556">
        <f t="shared" si="147"/>
        <v>2014</v>
      </c>
      <c r="AM39" s="556" t="str">
        <f t="shared" si="147"/>
        <v>Q1</v>
      </c>
      <c r="AN39" s="556" t="str">
        <f t="shared" si="147"/>
        <v>Q2</v>
      </c>
      <c r="AO39" s="556" t="str">
        <f t="shared" si="147"/>
        <v>Q3</v>
      </c>
      <c r="AP39" s="556" t="str">
        <f t="shared" si="147"/>
        <v>Q4</v>
      </c>
      <c r="AQ39" s="556">
        <f t="shared" si="147"/>
        <v>2015</v>
      </c>
      <c r="AR39" s="556" t="str">
        <f t="shared" si="147"/>
        <v>Q1</v>
      </c>
      <c r="AS39" s="556" t="str">
        <f t="shared" si="147"/>
        <v>Q2</v>
      </c>
      <c r="AT39" s="556" t="str">
        <f t="shared" si="147"/>
        <v>Q3</v>
      </c>
      <c r="AU39" s="556" t="str">
        <f t="shared" si="147"/>
        <v>Q4</v>
      </c>
      <c r="AV39" s="556">
        <f t="shared" si="147"/>
        <v>2016</v>
      </c>
      <c r="AW39" s="556" t="str">
        <f t="shared" si="147"/>
        <v>Q1</v>
      </c>
      <c r="AX39" s="556" t="str">
        <f t="shared" si="147"/>
        <v>Q2</v>
      </c>
      <c r="AY39" s="556" t="str">
        <f t="shared" si="147"/>
        <v>Q3</v>
      </c>
      <c r="AZ39" s="556" t="str">
        <f t="shared" si="147"/>
        <v>Q4</v>
      </c>
      <c r="BA39" s="556">
        <f t="shared" si="147"/>
        <v>2017</v>
      </c>
      <c r="BB39" s="556" t="str">
        <f t="shared" si="147"/>
        <v>Q1</v>
      </c>
      <c r="BC39" s="556" t="str">
        <f t="shared" si="147"/>
        <v>Q2</v>
      </c>
      <c r="BD39" s="556" t="str">
        <f t="shared" si="147"/>
        <v>Q3</v>
      </c>
      <c r="BE39" s="556" t="str">
        <f t="shared" si="147"/>
        <v>Q4</v>
      </c>
      <c r="BF39" s="556">
        <f t="shared" si="147"/>
        <v>2018</v>
      </c>
      <c r="BG39" s="556" t="str">
        <f t="shared" si="147"/>
        <v>Q1</v>
      </c>
      <c r="BH39" s="556" t="str">
        <f t="shared" si="147"/>
        <v>Q2</v>
      </c>
      <c r="BI39" s="556" t="str">
        <f t="shared" si="147"/>
        <v>Q3</v>
      </c>
      <c r="BJ39" s="556" t="str">
        <f t="shared" si="147"/>
        <v>Q4</v>
      </c>
      <c r="BK39" s="556">
        <f t="shared" si="147"/>
        <v>2019</v>
      </c>
      <c r="BL39" s="556" t="str">
        <f t="shared" si="147"/>
        <v>Q1</v>
      </c>
      <c r="BM39" s="556" t="str">
        <f t="shared" si="147"/>
        <v>Q2</v>
      </c>
      <c r="BN39" s="556" t="str">
        <f t="shared" si="147"/>
        <v>Q3</v>
      </c>
      <c r="BO39" s="556" t="str">
        <f t="shared" si="147"/>
        <v>Q4</v>
      </c>
      <c r="BP39" s="556">
        <f t="shared" ref="BP39:CT39" si="148">BP$4</f>
        <v>2020</v>
      </c>
      <c r="BQ39" s="556" t="str">
        <f t="shared" si="148"/>
        <v>Q1</v>
      </c>
      <c r="BR39" s="556" t="str">
        <f t="shared" si="148"/>
        <v>Q2</v>
      </c>
      <c r="BS39" s="556" t="str">
        <f t="shared" si="148"/>
        <v>Q3</v>
      </c>
      <c r="BT39" s="556" t="str">
        <f t="shared" si="148"/>
        <v>Q4</v>
      </c>
      <c r="BU39" s="556">
        <f t="shared" si="148"/>
        <v>2021</v>
      </c>
      <c r="BV39" s="556" t="str">
        <f t="shared" si="148"/>
        <v>Q1</v>
      </c>
      <c r="BW39" s="556" t="str">
        <f t="shared" si="148"/>
        <v>Q2</v>
      </c>
      <c r="BX39" s="556" t="str">
        <f t="shared" si="148"/>
        <v>Q3</v>
      </c>
      <c r="BY39" s="556" t="str">
        <f t="shared" si="148"/>
        <v>Q4</v>
      </c>
      <c r="BZ39" s="556">
        <f t="shared" si="148"/>
        <v>2022</v>
      </c>
      <c r="CA39" s="556" t="str">
        <f t="shared" si="148"/>
        <v>Q1</v>
      </c>
      <c r="CB39" s="556" t="str">
        <f t="shared" si="148"/>
        <v>Q2</v>
      </c>
      <c r="CC39" s="556" t="str">
        <f t="shared" si="148"/>
        <v>Q3</v>
      </c>
      <c r="CD39" s="556" t="str">
        <f t="shared" si="148"/>
        <v>Q4</v>
      </c>
      <c r="CE39" s="556">
        <f t="shared" si="148"/>
        <v>2023</v>
      </c>
      <c r="CF39" s="556" t="str">
        <f t="shared" si="148"/>
        <v>Q1</v>
      </c>
      <c r="CG39" s="556" t="str">
        <f t="shared" si="148"/>
        <v>Q2</v>
      </c>
      <c r="CH39" s="556" t="str">
        <f t="shared" si="148"/>
        <v>Q3</v>
      </c>
      <c r="CI39" s="556" t="str">
        <f t="shared" si="148"/>
        <v>Q4</v>
      </c>
      <c r="CJ39" s="556">
        <f t="shared" si="148"/>
        <v>2024</v>
      </c>
      <c r="CK39" s="556" t="str">
        <f t="shared" si="148"/>
        <v>Q1</v>
      </c>
      <c r="CL39" s="556" t="str">
        <f t="shared" si="148"/>
        <v>Q2</v>
      </c>
      <c r="CM39" s="556" t="str">
        <f t="shared" si="148"/>
        <v>Q3</v>
      </c>
      <c r="CN39" s="556"/>
      <c r="CO39" s="556">
        <f t="shared" si="148"/>
        <v>2025</v>
      </c>
      <c r="CP39" s="556">
        <f t="shared" si="148"/>
        <v>2026</v>
      </c>
      <c r="CQ39" s="556">
        <f t="shared" si="148"/>
        <v>2027</v>
      </c>
      <c r="CR39" s="556">
        <f t="shared" si="148"/>
        <v>2028</v>
      </c>
      <c r="CS39" s="556">
        <f t="shared" si="148"/>
        <v>2029</v>
      </c>
      <c r="CT39" s="556">
        <f t="shared" si="148"/>
        <v>2030</v>
      </c>
      <c r="CU39" s="347"/>
      <c r="CV39" s="1363"/>
      <c r="CW39" s="347"/>
      <c r="CX39" s="347"/>
      <c r="CY39" s="347"/>
      <c r="CZ39" s="347"/>
      <c r="DA39" s="347"/>
    </row>
    <row r="40" spans="1:118">
      <c r="B40" s="347"/>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84"/>
      <c r="AW40" s="384"/>
      <c r="AX40" s="384"/>
      <c r="AY40" s="384"/>
      <c r="AZ40" s="384"/>
      <c r="BA40" s="378"/>
      <c r="BB40" s="378"/>
      <c r="BC40" s="378"/>
      <c r="BD40" s="378"/>
      <c r="BE40" s="378"/>
      <c r="BF40" s="378"/>
      <c r="BG40" s="378"/>
      <c r="BH40" s="378"/>
      <c r="BI40" s="378"/>
      <c r="BJ40" s="378"/>
      <c r="BK40" s="378"/>
      <c r="BL40" s="378"/>
      <c r="BM40" s="378"/>
      <c r="BN40" s="378"/>
      <c r="BO40" s="378"/>
      <c r="BP40" s="378"/>
      <c r="BQ40" s="378"/>
      <c r="BR40" s="378"/>
      <c r="BS40" s="378"/>
      <c r="BT40" s="378"/>
      <c r="BU40" s="378"/>
      <c r="BV40" s="378"/>
      <c r="BW40" s="378"/>
      <c r="BX40" s="378"/>
      <c r="BY40" s="378"/>
      <c r="BZ40" s="378"/>
      <c r="CA40" s="378"/>
      <c r="CB40" s="378"/>
      <c r="CC40" s="378"/>
      <c r="CD40" s="378"/>
      <c r="CE40" s="378"/>
      <c r="CF40" s="378"/>
      <c r="CG40" s="378"/>
      <c r="CH40" s="378"/>
      <c r="CI40" s="378"/>
      <c r="CJ40" s="378"/>
      <c r="CK40" s="378"/>
      <c r="CL40" s="378"/>
      <c r="CM40" s="378"/>
      <c r="CN40" s="378"/>
      <c r="CO40" s="378"/>
      <c r="CP40" s="378"/>
      <c r="CQ40" s="378"/>
      <c r="CR40" s="378"/>
      <c r="CS40" s="378"/>
      <c r="CT40" s="378"/>
      <c r="CU40" s="347"/>
      <c r="CV40" s="1363"/>
      <c r="CW40" s="347"/>
      <c r="CX40" s="347"/>
      <c r="CY40" s="385"/>
      <c r="CZ40" s="385"/>
      <c r="DA40" s="386"/>
      <c r="DB40" s="385"/>
      <c r="DC40" s="385"/>
      <c r="DD40" s="385"/>
      <c r="DE40" s="385"/>
      <c r="DF40" s="385"/>
      <c r="DG40" s="385"/>
    </row>
    <row r="41" spans="1:118">
      <c r="B41" s="347"/>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84"/>
      <c r="AW41" s="384"/>
      <c r="AX41" s="384"/>
      <c r="AY41" s="384"/>
      <c r="AZ41" s="384"/>
      <c r="BA41" s="378"/>
      <c r="BB41" s="378"/>
      <c r="BC41" s="378"/>
      <c r="BD41" s="378"/>
      <c r="BE41" s="378"/>
      <c r="BF41" s="378"/>
      <c r="BG41" s="378"/>
      <c r="BH41" s="378"/>
      <c r="BI41" s="378"/>
      <c r="BJ41" s="378"/>
      <c r="BK41" s="378"/>
      <c r="BL41" s="378"/>
      <c r="BM41" s="378"/>
      <c r="BN41" s="378"/>
      <c r="BO41" s="378"/>
      <c r="BP41" s="378"/>
      <c r="BQ41" s="378"/>
      <c r="BR41" s="378"/>
      <c r="BS41" s="378"/>
      <c r="BT41" s="378"/>
      <c r="BU41" s="378"/>
      <c r="BV41" s="378"/>
      <c r="BW41" s="378"/>
      <c r="BX41" s="378"/>
      <c r="BY41" s="378"/>
      <c r="BZ41" s="378"/>
      <c r="CA41" s="378"/>
      <c r="CB41" s="378"/>
      <c r="CC41" s="378"/>
      <c r="CD41" s="378"/>
      <c r="CE41" s="378"/>
      <c r="CF41" s="378"/>
      <c r="CG41" s="378"/>
      <c r="CH41" s="378"/>
      <c r="CI41" s="378"/>
      <c r="CJ41" s="378"/>
      <c r="CK41" s="378"/>
      <c r="CL41" s="378"/>
      <c r="CM41" s="378"/>
      <c r="CN41" s="378"/>
      <c r="CO41" s="378"/>
      <c r="CP41" s="378"/>
      <c r="CQ41" s="378"/>
      <c r="CR41" s="378"/>
      <c r="CS41" s="378"/>
      <c r="CT41" s="378"/>
      <c r="CU41" s="347"/>
      <c r="CV41" s="1363"/>
      <c r="CW41" s="347"/>
      <c r="CX41" s="347"/>
      <c r="CY41" s="347"/>
      <c r="CZ41" s="356"/>
      <c r="DA41" s="356"/>
      <c r="DB41" s="356"/>
      <c r="DC41" s="356"/>
      <c r="DD41" s="356"/>
      <c r="DE41" s="378"/>
      <c r="DF41" s="378"/>
      <c r="DG41" s="378"/>
    </row>
    <row r="42" spans="1:118">
      <c r="B42" s="347" t="s">
        <v>524</v>
      </c>
      <c r="C42" s="353">
        <f>C53/C55</f>
        <v>0.19090207153688665</v>
      </c>
      <c r="D42" s="353" t="e">
        <f t="shared" ref="D42:BO42" si="149">D53/D55</f>
        <v>#DIV/0!</v>
      </c>
      <c r="E42" s="353" t="e">
        <f t="shared" si="149"/>
        <v>#DIV/0!</v>
      </c>
      <c r="F42" s="353" t="e">
        <f t="shared" si="149"/>
        <v>#DIV/0!</v>
      </c>
      <c r="G42" s="353" t="e">
        <f t="shared" si="149"/>
        <v>#DIV/0!</v>
      </c>
      <c r="H42" s="353">
        <f t="shared" si="149"/>
        <v>0.19464749321023217</v>
      </c>
      <c r="I42" s="353" t="e">
        <f t="shared" si="149"/>
        <v>#DIV/0!</v>
      </c>
      <c r="J42" s="353" t="e">
        <f t="shared" si="149"/>
        <v>#DIV/0!</v>
      </c>
      <c r="K42" s="353" t="e">
        <f t="shared" si="149"/>
        <v>#DIV/0!</v>
      </c>
      <c r="L42" s="353" t="e">
        <f t="shared" si="149"/>
        <v>#DIV/0!</v>
      </c>
      <c r="M42" s="353">
        <f t="shared" si="149"/>
        <v>0.20084541028932121</v>
      </c>
      <c r="N42" s="353" t="e">
        <f t="shared" si="149"/>
        <v>#DIV/0!</v>
      </c>
      <c r="O42" s="353" t="e">
        <f t="shared" si="149"/>
        <v>#DIV/0!</v>
      </c>
      <c r="P42" s="353" t="e">
        <f t="shared" si="149"/>
        <v>#DIV/0!</v>
      </c>
      <c r="Q42" s="353" t="e">
        <f t="shared" si="149"/>
        <v>#DIV/0!</v>
      </c>
      <c r="R42" s="353">
        <f t="shared" si="149"/>
        <v>0.20668450428972665</v>
      </c>
      <c r="S42" s="353" t="e">
        <f t="shared" si="149"/>
        <v>#DIV/0!</v>
      </c>
      <c r="T42" s="353" t="e">
        <f t="shared" si="149"/>
        <v>#DIV/0!</v>
      </c>
      <c r="U42" s="353" t="e">
        <f t="shared" si="149"/>
        <v>#DIV/0!</v>
      </c>
      <c r="V42" s="353" t="e">
        <f t="shared" si="149"/>
        <v>#DIV/0!</v>
      </c>
      <c r="W42" s="353">
        <f t="shared" si="149"/>
        <v>0.20368450428972668</v>
      </c>
      <c r="X42" s="353" t="e">
        <f t="shared" si="149"/>
        <v>#DIV/0!</v>
      </c>
      <c r="Y42" s="353" t="e">
        <f t="shared" si="149"/>
        <v>#DIV/0!</v>
      </c>
      <c r="Z42" s="353" t="e">
        <f t="shared" si="149"/>
        <v>#DIV/0!</v>
      </c>
      <c r="AA42" s="353" t="e">
        <f t="shared" si="149"/>
        <v>#DIV/0!</v>
      </c>
      <c r="AB42" s="353">
        <f t="shared" si="149"/>
        <v>0.20591823498660083</v>
      </c>
      <c r="AC42" s="353" t="e">
        <f t="shared" si="149"/>
        <v>#DIV/0!</v>
      </c>
      <c r="AD42" s="353" t="e">
        <f t="shared" si="149"/>
        <v>#DIV/0!</v>
      </c>
      <c r="AE42" s="353" t="e">
        <f t="shared" si="149"/>
        <v>#DIV/0!</v>
      </c>
      <c r="AF42" s="353" t="e">
        <f t="shared" si="149"/>
        <v>#DIV/0!</v>
      </c>
      <c r="AG42" s="353">
        <f t="shared" si="149"/>
        <v>0.219613537769904</v>
      </c>
      <c r="AH42" s="353" t="e">
        <f t="shared" si="149"/>
        <v>#DIV/0!</v>
      </c>
      <c r="AI42" s="353" t="e">
        <f t="shared" si="149"/>
        <v>#DIV/0!</v>
      </c>
      <c r="AJ42" s="353" t="e">
        <f t="shared" si="149"/>
        <v>#DIV/0!</v>
      </c>
      <c r="AK42" s="353" t="e">
        <f t="shared" si="149"/>
        <v>#DIV/0!</v>
      </c>
      <c r="AL42" s="353">
        <f t="shared" si="149"/>
        <v>0.20917600603520053</v>
      </c>
      <c r="AM42" s="353" t="e">
        <f t="shared" si="149"/>
        <v>#DIV/0!</v>
      </c>
      <c r="AN42" s="353" t="e">
        <f t="shared" si="149"/>
        <v>#DIV/0!</v>
      </c>
      <c r="AO42" s="353" t="e">
        <f t="shared" si="149"/>
        <v>#DIV/0!</v>
      </c>
      <c r="AP42" s="353" t="e">
        <f t="shared" si="149"/>
        <v>#DIV/0!</v>
      </c>
      <c r="AQ42" s="353">
        <f t="shared" si="149"/>
        <v>0.14981657662143286</v>
      </c>
      <c r="AR42" s="353" t="e">
        <f t="shared" si="149"/>
        <v>#DIV/0!</v>
      </c>
      <c r="AS42" s="353" t="e">
        <f t="shared" si="149"/>
        <v>#DIV/0!</v>
      </c>
      <c r="AT42" s="353" t="e">
        <f t="shared" si="149"/>
        <v>#DIV/0!</v>
      </c>
      <c r="AU42" s="353" t="e">
        <f t="shared" si="149"/>
        <v>#DIV/0!</v>
      </c>
      <c r="AV42" s="353">
        <f t="shared" si="149"/>
        <v>0.14139153596818235</v>
      </c>
      <c r="AW42" s="353" t="e">
        <f t="shared" si="149"/>
        <v>#DIV/0!</v>
      </c>
      <c r="AX42" s="353" t="e">
        <f t="shared" si="149"/>
        <v>#DIV/0!</v>
      </c>
      <c r="AY42" s="353" t="e">
        <f t="shared" si="149"/>
        <v>#DIV/0!</v>
      </c>
      <c r="AZ42" s="353" t="e">
        <f t="shared" si="149"/>
        <v>#DIV/0!</v>
      </c>
      <c r="BA42" s="353">
        <f t="shared" si="149"/>
        <v>0.14861111111111111</v>
      </c>
      <c r="BB42" s="353" t="e">
        <f t="shared" si="149"/>
        <v>#DIV/0!</v>
      </c>
      <c r="BC42" s="353" t="e">
        <f t="shared" si="149"/>
        <v>#DIV/0!</v>
      </c>
      <c r="BD42" s="353" t="e">
        <f t="shared" si="149"/>
        <v>#DIV/0!</v>
      </c>
      <c r="BE42" s="353" t="e">
        <f t="shared" si="149"/>
        <v>#DIV/0!</v>
      </c>
      <c r="BF42" s="353">
        <f t="shared" si="149"/>
        <v>0.19899379458330918</v>
      </c>
      <c r="BG42" s="353" t="e">
        <f t="shared" si="149"/>
        <v>#DIV/0!</v>
      </c>
      <c r="BH42" s="353" t="e">
        <f t="shared" si="149"/>
        <v>#DIV/0!</v>
      </c>
      <c r="BI42" s="353" t="e">
        <f t="shared" si="149"/>
        <v>#DIV/0!</v>
      </c>
      <c r="BJ42" s="353" t="e">
        <f t="shared" si="149"/>
        <v>#DIV/0!</v>
      </c>
      <c r="BK42" s="353">
        <f t="shared" si="149"/>
        <v>0.20203420829132041</v>
      </c>
      <c r="BL42" s="353" t="e">
        <f t="shared" si="149"/>
        <v>#DIV/0!</v>
      </c>
      <c r="BM42" s="353" t="e">
        <f t="shared" si="149"/>
        <v>#DIV/0!</v>
      </c>
      <c r="BN42" s="353" t="e">
        <f t="shared" si="149"/>
        <v>#DIV/0!</v>
      </c>
      <c r="BO42" s="353" t="e">
        <f t="shared" si="149"/>
        <v>#DIV/0!</v>
      </c>
      <c r="BP42" s="353">
        <f t="shared" ref="BP42:CT42" si="150">BP53/BP55</f>
        <v>0.1985904737565905</v>
      </c>
      <c r="BQ42" s="353" t="e">
        <f t="shared" si="150"/>
        <v>#DIV/0!</v>
      </c>
      <c r="BR42" s="353" t="e">
        <f t="shared" si="150"/>
        <v>#DIV/0!</v>
      </c>
      <c r="BS42" s="353" t="e">
        <f t="shared" si="150"/>
        <v>#DIV/0!</v>
      </c>
      <c r="BT42" s="353" t="e">
        <f t="shared" si="150"/>
        <v>#DIV/0!</v>
      </c>
      <c r="BU42" s="353">
        <f t="shared" si="150"/>
        <v>0.17506733940572031</v>
      </c>
      <c r="BV42" s="353" t="e">
        <f t="shared" si="150"/>
        <v>#DIV/0!</v>
      </c>
      <c r="BW42" s="353" t="e">
        <f t="shared" si="150"/>
        <v>#DIV/0!</v>
      </c>
      <c r="BX42" s="353" t="e">
        <f t="shared" si="150"/>
        <v>#DIV/0!</v>
      </c>
      <c r="BY42" s="353" t="e">
        <f t="shared" si="150"/>
        <v>#DIV/0!</v>
      </c>
      <c r="BZ42" s="353">
        <f t="shared" si="150"/>
        <v>0.16305501513370144</v>
      </c>
      <c r="CA42" s="353" t="e">
        <f t="shared" si="150"/>
        <v>#DIV/0!</v>
      </c>
      <c r="CB42" s="353" t="e">
        <f t="shared" si="150"/>
        <v>#DIV/0!</v>
      </c>
      <c r="CC42" s="353" t="e">
        <f t="shared" ref="CC42:CE42" si="151">CC53/CC55</f>
        <v>#DIV/0!</v>
      </c>
      <c r="CD42" s="353" t="e">
        <f t="shared" si="151"/>
        <v>#DIV/0!</v>
      </c>
      <c r="CE42" s="353">
        <f t="shared" si="151"/>
        <v>0.1612158644278493</v>
      </c>
      <c r="CF42" s="353" t="e">
        <f t="shared" ref="CF42:CG42" si="152">CF53/CF55</f>
        <v>#DIV/0!</v>
      </c>
      <c r="CG42" s="353" t="e">
        <f t="shared" si="152"/>
        <v>#DIV/0!</v>
      </c>
      <c r="CH42" s="353" t="e">
        <f t="shared" ref="CH42:CI42" si="153">CH53/CH55</f>
        <v>#DIV/0!</v>
      </c>
      <c r="CI42" s="353" t="e">
        <f t="shared" si="153"/>
        <v>#DIV/0!</v>
      </c>
      <c r="CJ42" s="353">
        <f t="shared" si="150"/>
        <v>0.16287530760630523</v>
      </c>
      <c r="CK42" s="353" t="e">
        <f t="shared" si="150"/>
        <v>#DIV/0!</v>
      </c>
      <c r="CL42" s="353" t="e">
        <f t="shared" ref="CL42" si="154">CL53/CL55</f>
        <v>#DIV/0!</v>
      </c>
      <c r="CM42" s="353" t="e">
        <f t="shared" ref="CM42" si="155">CM53/CM55</f>
        <v>#DIV/0!</v>
      </c>
      <c r="CN42" s="353"/>
      <c r="CO42" s="353">
        <f t="shared" si="150"/>
        <v>0.22699999999999998</v>
      </c>
      <c r="CP42" s="353">
        <f t="shared" si="150"/>
        <v>0.22800000000000001</v>
      </c>
      <c r="CQ42" s="353">
        <f t="shared" si="150"/>
        <v>0.22900000000000001</v>
      </c>
      <c r="CR42" s="353">
        <f t="shared" si="150"/>
        <v>0.23</v>
      </c>
      <c r="CS42" s="353">
        <f t="shared" si="150"/>
        <v>0.23100000000000001</v>
      </c>
      <c r="CT42" s="353">
        <f t="shared" si="150"/>
        <v>0.23200000000000001</v>
      </c>
      <c r="CU42" s="347"/>
      <c r="CV42" s="1363"/>
      <c r="CW42" s="347"/>
      <c r="CX42" s="347"/>
      <c r="CY42" s="347"/>
      <c r="CZ42" s="356"/>
      <c r="DA42" s="356"/>
      <c r="DB42" s="356"/>
      <c r="DC42" s="356"/>
      <c r="DD42" s="356"/>
      <c r="DE42" s="378"/>
      <c r="DF42" s="378"/>
      <c r="DG42" s="378"/>
    </row>
    <row r="43" spans="1:118">
      <c r="B43" s="364" t="s">
        <v>6</v>
      </c>
      <c r="C43" s="356">
        <f>C55/C$55</f>
        <v>1</v>
      </c>
      <c r="D43" s="356"/>
      <c r="E43" s="356"/>
      <c r="F43" s="356"/>
      <c r="G43" s="356"/>
      <c r="H43" s="356">
        <f>H55/H$55</f>
        <v>1</v>
      </c>
      <c r="I43" s="356"/>
      <c r="J43" s="356"/>
      <c r="K43" s="356"/>
      <c r="L43" s="356"/>
      <c r="M43" s="356">
        <f>M55/M$55</f>
        <v>1</v>
      </c>
      <c r="N43" s="356"/>
      <c r="O43" s="356"/>
      <c r="P43" s="356"/>
      <c r="Q43" s="356"/>
      <c r="R43" s="356">
        <f>R55/R$55</f>
        <v>1</v>
      </c>
      <c r="S43" s="356"/>
      <c r="T43" s="356"/>
      <c r="U43" s="356"/>
      <c r="V43" s="356"/>
      <c r="W43" s="356">
        <f>W55/W$55</f>
        <v>1</v>
      </c>
      <c r="X43" s="356"/>
      <c r="Y43" s="356"/>
      <c r="Z43" s="356"/>
      <c r="AA43" s="356"/>
      <c r="AB43" s="356">
        <f>AB55/AB$55</f>
        <v>1</v>
      </c>
      <c r="AC43" s="356"/>
      <c r="AD43" s="356"/>
      <c r="AE43" s="356"/>
      <c r="AF43" s="356"/>
      <c r="AG43" s="356">
        <f>AG55/AG$55</f>
        <v>1</v>
      </c>
      <c r="AH43" s="356"/>
      <c r="AI43" s="356"/>
      <c r="AJ43" s="356"/>
      <c r="AK43" s="356"/>
      <c r="AL43" s="356">
        <f>AL55/AL$55</f>
        <v>1</v>
      </c>
      <c r="AM43" s="356"/>
      <c r="AN43" s="356"/>
      <c r="AO43" s="356"/>
      <c r="AP43" s="356"/>
      <c r="AQ43" s="356">
        <f>AQ55/AQ$55</f>
        <v>1</v>
      </c>
      <c r="AR43" s="356"/>
      <c r="AS43" s="356"/>
      <c r="AT43" s="356"/>
      <c r="AU43" s="356"/>
      <c r="AV43" s="378">
        <f>SUM(AV40:AV42)</f>
        <v>0.14139153596818235</v>
      </c>
      <c r="AW43" s="378"/>
      <c r="AX43" s="378"/>
      <c r="AY43" s="378"/>
      <c r="AZ43" s="378"/>
      <c r="BA43" s="378">
        <f>SUM(BA40:BA42)</f>
        <v>0.14861111111111111</v>
      </c>
      <c r="BB43" s="378"/>
      <c r="BC43" s="378"/>
      <c r="BD43" s="378"/>
      <c r="BE43" s="378"/>
      <c r="BF43" s="378">
        <f>SUM(BF40:BF42)</f>
        <v>0.19899379458330918</v>
      </c>
      <c r="BG43" s="378"/>
      <c r="BH43" s="378"/>
      <c r="BI43" s="378"/>
      <c r="BJ43" s="378"/>
      <c r="BK43" s="378">
        <f>SUM(BK40:BK42)</f>
        <v>0.20203420829132041</v>
      </c>
      <c r="BL43" s="378"/>
      <c r="BM43" s="378"/>
      <c r="BN43" s="378"/>
      <c r="BO43" s="378"/>
      <c r="BP43" s="378">
        <f>SUM(BP40:BP42)</f>
        <v>0.1985904737565905</v>
      </c>
      <c r="BQ43" s="378"/>
      <c r="BR43" s="378"/>
      <c r="BS43" s="378"/>
      <c r="BT43" s="378"/>
      <c r="BU43" s="378">
        <f>SUM(BU40:BU42)</f>
        <v>0.17506733940572031</v>
      </c>
      <c r="BV43" s="378"/>
      <c r="BW43" s="378"/>
      <c r="BX43" s="378"/>
      <c r="BY43" s="378"/>
      <c r="BZ43" s="378">
        <f>SUM(BZ40:BZ42)</f>
        <v>0.16305501513370144</v>
      </c>
      <c r="CA43" s="378"/>
      <c r="CB43" s="378"/>
      <c r="CC43" s="378"/>
      <c r="CD43" s="378"/>
      <c r="CE43" s="378">
        <f>SUM(CE40:CE42)</f>
        <v>0.1612158644278493</v>
      </c>
      <c r="CF43" s="378"/>
      <c r="CG43" s="378"/>
      <c r="CH43" s="378"/>
      <c r="CI43" s="378"/>
      <c r="CJ43" s="378">
        <f t="shared" ref="CJ43:CR43" si="156">SUM(CJ40:CJ42)</f>
        <v>0.16287530760630523</v>
      </c>
      <c r="CK43" s="378"/>
      <c r="CL43" s="378"/>
      <c r="CM43" s="378"/>
      <c r="CN43" s="378"/>
      <c r="CO43" s="378">
        <f t="shared" si="156"/>
        <v>0.22699999999999998</v>
      </c>
      <c r="CP43" s="378">
        <f t="shared" si="156"/>
        <v>0.22800000000000001</v>
      </c>
      <c r="CQ43" s="378">
        <f t="shared" si="156"/>
        <v>0.22900000000000001</v>
      </c>
      <c r="CR43" s="378">
        <f t="shared" si="156"/>
        <v>0.23</v>
      </c>
      <c r="CS43" s="378">
        <f t="shared" ref="CS43:CT43" si="157">SUM(CS40:CS42)</f>
        <v>0.23100000000000001</v>
      </c>
      <c r="CT43" s="378">
        <f t="shared" si="157"/>
        <v>0.23200000000000001</v>
      </c>
      <c r="CU43" s="347"/>
      <c r="CV43" s="1363"/>
      <c r="CW43" s="347"/>
      <c r="CX43" s="347"/>
      <c r="CY43" s="347"/>
      <c r="CZ43" s="356"/>
      <c r="DA43" s="356"/>
      <c r="DB43" s="356"/>
      <c r="DC43" s="356"/>
      <c r="DD43" s="356"/>
      <c r="DE43" s="378"/>
      <c r="DF43" s="378"/>
      <c r="DG43" s="378"/>
    </row>
    <row r="44" spans="1:118">
      <c r="B44" s="381"/>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87"/>
      <c r="AH44" s="387"/>
      <c r="AI44" s="387"/>
      <c r="AJ44" s="387"/>
      <c r="AK44" s="387"/>
      <c r="AL44" s="388"/>
      <c r="AM44" s="388"/>
      <c r="AN44" s="388"/>
      <c r="AO44" s="388"/>
      <c r="AP44" s="388"/>
      <c r="AQ44" s="388"/>
      <c r="AR44" s="388"/>
      <c r="AS44" s="388"/>
      <c r="AT44" s="388"/>
      <c r="AU44" s="388"/>
      <c r="AV44" s="388"/>
      <c r="AW44" s="388"/>
      <c r="AX44" s="388"/>
      <c r="AY44" s="388"/>
      <c r="AZ44" s="388"/>
      <c r="BA44" s="388"/>
      <c r="BB44" s="388"/>
      <c r="BC44" s="388"/>
      <c r="BD44" s="388"/>
      <c r="BE44" s="388"/>
      <c r="BF44" s="388"/>
      <c r="BG44" s="388"/>
      <c r="BH44" s="388"/>
      <c r="BI44" s="388"/>
      <c r="BJ44" s="388"/>
      <c r="BK44" s="388"/>
      <c r="BL44" s="388"/>
      <c r="BM44" s="388"/>
      <c r="BN44" s="388"/>
      <c r="BO44" s="388"/>
      <c r="BP44" s="388"/>
      <c r="BQ44" s="388"/>
      <c r="BR44" s="388"/>
      <c r="BS44" s="388"/>
      <c r="BT44" s="388"/>
      <c r="BU44" s="388"/>
      <c r="BV44" s="388"/>
      <c r="BW44" s="388"/>
      <c r="BX44" s="388"/>
      <c r="BY44" s="388"/>
      <c r="BZ44" s="388"/>
      <c r="CA44" s="388"/>
      <c r="CB44" s="388"/>
      <c r="CC44" s="388"/>
      <c r="CD44" s="388"/>
      <c r="CE44" s="388"/>
      <c r="CF44" s="388"/>
      <c r="CG44" s="388"/>
      <c r="CH44" s="388"/>
      <c r="CI44" s="388"/>
      <c r="CJ44" s="388"/>
      <c r="CK44" s="388"/>
      <c r="CL44" s="388"/>
      <c r="CM44" s="388"/>
      <c r="CN44" s="388"/>
      <c r="CO44" s="388"/>
      <c r="CP44" s="388"/>
      <c r="CQ44" s="388"/>
      <c r="CR44" s="388"/>
      <c r="CS44" s="388"/>
      <c r="CT44" s="388"/>
      <c r="CU44" s="347"/>
      <c r="CV44" s="1363"/>
      <c r="CW44" s="347"/>
      <c r="CX44" s="347"/>
      <c r="CY44" s="381"/>
      <c r="CZ44" s="356"/>
      <c r="DA44" s="356"/>
      <c r="DB44" s="356"/>
      <c r="DC44" s="356"/>
      <c r="DD44" s="356"/>
      <c r="DE44" s="382"/>
      <c r="DF44" s="382"/>
      <c r="DG44" s="382"/>
    </row>
    <row r="45" spans="1:118">
      <c r="B45" s="381"/>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87"/>
      <c r="AH45" s="387"/>
      <c r="AI45" s="387"/>
      <c r="AJ45" s="387"/>
      <c r="AK45" s="387"/>
      <c r="AL45" s="388"/>
      <c r="AM45" s="388"/>
      <c r="AN45" s="388"/>
      <c r="AO45" s="388"/>
      <c r="AP45" s="388"/>
      <c r="AQ45" s="388"/>
      <c r="AR45" s="388"/>
      <c r="AS45" s="388"/>
      <c r="AT45" s="388"/>
      <c r="AU45" s="388"/>
      <c r="AV45" s="388"/>
      <c r="AW45" s="388"/>
      <c r="AX45" s="388"/>
      <c r="AY45" s="388"/>
      <c r="AZ45" s="388"/>
      <c r="BA45" s="388"/>
      <c r="BB45" s="388"/>
      <c r="BC45" s="388"/>
      <c r="BD45" s="388"/>
      <c r="BE45" s="388"/>
      <c r="BF45" s="388"/>
      <c r="BG45" s="388"/>
      <c r="BH45" s="388"/>
      <c r="BI45" s="388"/>
      <c r="BJ45" s="388"/>
      <c r="BK45" s="388"/>
      <c r="BL45" s="388"/>
      <c r="BM45" s="388"/>
      <c r="BN45" s="388"/>
      <c r="BO45" s="388"/>
      <c r="BP45" s="388"/>
      <c r="BQ45" s="388"/>
      <c r="BR45" s="388"/>
      <c r="BS45" s="388"/>
      <c r="BT45" s="388"/>
      <c r="BU45" s="388"/>
      <c r="BV45" s="388"/>
      <c r="BW45" s="388"/>
      <c r="BX45" s="388"/>
      <c r="BY45" s="388"/>
      <c r="BZ45" s="388"/>
      <c r="CA45" s="388"/>
      <c r="CB45" s="388"/>
      <c r="CC45" s="388"/>
      <c r="CD45" s="388"/>
      <c r="CE45" s="388"/>
      <c r="CF45" s="388"/>
      <c r="CG45" s="388"/>
      <c r="CH45" s="388"/>
      <c r="CI45" s="388"/>
      <c r="CJ45" s="388"/>
      <c r="CK45" s="388"/>
      <c r="CL45" s="388"/>
      <c r="CM45" s="388"/>
      <c r="CN45" s="388"/>
      <c r="CO45" s="388"/>
      <c r="CP45" s="388"/>
      <c r="CQ45" s="388"/>
      <c r="CR45" s="388"/>
      <c r="CS45" s="388"/>
      <c r="CT45" s="388"/>
      <c r="CU45" s="347"/>
      <c r="CV45" s="1363"/>
      <c r="CW45" s="347"/>
      <c r="CX45" s="347"/>
      <c r="CY45" s="381"/>
      <c r="CZ45" s="356"/>
      <c r="DA45" s="356"/>
      <c r="DB45" s="356"/>
      <c r="DC45" s="356"/>
      <c r="DD45" s="356"/>
      <c r="DE45" s="382"/>
      <c r="DF45" s="382"/>
      <c r="DG45" s="382"/>
    </row>
    <row r="46" spans="1:118">
      <c r="B46" s="383" t="s">
        <v>8</v>
      </c>
      <c r="C46" s="556">
        <f>C$4</f>
        <v>2007</v>
      </c>
      <c r="D46" s="556" t="str">
        <f t="shared" ref="D46:BO46" si="158">D$4</f>
        <v>Q1</v>
      </c>
      <c r="E46" s="556" t="str">
        <f t="shared" si="158"/>
        <v>Q2</v>
      </c>
      <c r="F46" s="556" t="str">
        <f t="shared" si="158"/>
        <v>Q3</v>
      </c>
      <c r="G46" s="556" t="str">
        <f t="shared" si="158"/>
        <v>Q4</v>
      </c>
      <c r="H46" s="556">
        <f t="shared" si="158"/>
        <v>2008</v>
      </c>
      <c r="I46" s="556" t="str">
        <f t="shared" si="158"/>
        <v>Q1</v>
      </c>
      <c r="J46" s="556" t="str">
        <f t="shared" si="158"/>
        <v>Q2</v>
      </c>
      <c r="K46" s="556" t="str">
        <f t="shared" si="158"/>
        <v>Q3</v>
      </c>
      <c r="L46" s="556" t="str">
        <f t="shared" si="158"/>
        <v>Q4</v>
      </c>
      <c r="M46" s="556">
        <f t="shared" si="158"/>
        <v>2009</v>
      </c>
      <c r="N46" s="556" t="str">
        <f t="shared" si="158"/>
        <v>Q1</v>
      </c>
      <c r="O46" s="556" t="str">
        <f t="shared" si="158"/>
        <v>Q2</v>
      </c>
      <c r="P46" s="556" t="str">
        <f t="shared" si="158"/>
        <v>Q3</v>
      </c>
      <c r="Q46" s="556" t="str">
        <f t="shared" si="158"/>
        <v>Q4</v>
      </c>
      <c r="R46" s="556">
        <f t="shared" si="158"/>
        <v>2010</v>
      </c>
      <c r="S46" s="556" t="str">
        <f t="shared" si="158"/>
        <v>Q1</v>
      </c>
      <c r="T46" s="556" t="str">
        <f t="shared" si="158"/>
        <v>Q2</v>
      </c>
      <c r="U46" s="556" t="str">
        <f t="shared" si="158"/>
        <v>Q3</v>
      </c>
      <c r="V46" s="556" t="str">
        <f t="shared" si="158"/>
        <v>Q4</v>
      </c>
      <c r="W46" s="556">
        <f t="shared" si="158"/>
        <v>2011</v>
      </c>
      <c r="X46" s="556" t="str">
        <f t="shared" si="158"/>
        <v>Q1</v>
      </c>
      <c r="Y46" s="556" t="str">
        <f t="shared" si="158"/>
        <v>Q2</v>
      </c>
      <c r="Z46" s="556" t="str">
        <f t="shared" si="158"/>
        <v>Q3</v>
      </c>
      <c r="AA46" s="556" t="str">
        <f t="shared" si="158"/>
        <v>Q4</v>
      </c>
      <c r="AB46" s="556">
        <f t="shared" si="158"/>
        <v>2012</v>
      </c>
      <c r="AC46" s="556" t="str">
        <f t="shared" si="158"/>
        <v>Q1</v>
      </c>
      <c r="AD46" s="556" t="str">
        <f t="shared" si="158"/>
        <v>Q2</v>
      </c>
      <c r="AE46" s="556" t="str">
        <f t="shared" si="158"/>
        <v>Q3</v>
      </c>
      <c r="AF46" s="556" t="str">
        <f t="shared" si="158"/>
        <v>Q4</v>
      </c>
      <c r="AG46" s="556">
        <f t="shared" si="158"/>
        <v>2013</v>
      </c>
      <c r="AH46" s="556" t="str">
        <f t="shared" si="158"/>
        <v>Q1</v>
      </c>
      <c r="AI46" s="556" t="str">
        <f t="shared" si="158"/>
        <v>Q2</v>
      </c>
      <c r="AJ46" s="556" t="str">
        <f t="shared" si="158"/>
        <v>Q3</v>
      </c>
      <c r="AK46" s="556" t="str">
        <f t="shared" si="158"/>
        <v>Q4</v>
      </c>
      <c r="AL46" s="556">
        <f t="shared" si="158"/>
        <v>2014</v>
      </c>
      <c r="AM46" s="556" t="str">
        <f t="shared" si="158"/>
        <v>Q1</v>
      </c>
      <c r="AN46" s="556" t="str">
        <f t="shared" si="158"/>
        <v>Q2</v>
      </c>
      <c r="AO46" s="556" t="str">
        <f t="shared" si="158"/>
        <v>Q3</v>
      </c>
      <c r="AP46" s="556" t="str">
        <f t="shared" si="158"/>
        <v>Q4</v>
      </c>
      <c r="AQ46" s="556">
        <f t="shared" si="158"/>
        <v>2015</v>
      </c>
      <c r="AR46" s="556" t="str">
        <f t="shared" si="158"/>
        <v>Q1</v>
      </c>
      <c r="AS46" s="556" t="str">
        <f t="shared" si="158"/>
        <v>Q2</v>
      </c>
      <c r="AT46" s="556" t="str">
        <f t="shared" si="158"/>
        <v>Q3</v>
      </c>
      <c r="AU46" s="556" t="str">
        <f t="shared" si="158"/>
        <v>Q4</v>
      </c>
      <c r="AV46" s="556">
        <f t="shared" si="158"/>
        <v>2016</v>
      </c>
      <c r="AW46" s="556" t="str">
        <f t="shared" si="158"/>
        <v>Q1</v>
      </c>
      <c r="AX46" s="556" t="str">
        <f t="shared" si="158"/>
        <v>Q2</v>
      </c>
      <c r="AY46" s="556" t="str">
        <f t="shared" si="158"/>
        <v>Q3</v>
      </c>
      <c r="AZ46" s="556" t="str">
        <f t="shared" si="158"/>
        <v>Q4</v>
      </c>
      <c r="BA46" s="556">
        <f t="shared" si="158"/>
        <v>2017</v>
      </c>
      <c r="BB46" s="556" t="str">
        <f t="shared" si="158"/>
        <v>Q1</v>
      </c>
      <c r="BC46" s="556" t="str">
        <f t="shared" si="158"/>
        <v>Q2</v>
      </c>
      <c r="BD46" s="556" t="str">
        <f t="shared" si="158"/>
        <v>Q3</v>
      </c>
      <c r="BE46" s="556" t="str">
        <f t="shared" si="158"/>
        <v>Q4</v>
      </c>
      <c r="BF46" s="556">
        <f t="shared" si="158"/>
        <v>2018</v>
      </c>
      <c r="BG46" s="556" t="str">
        <f t="shared" si="158"/>
        <v>Q1</v>
      </c>
      <c r="BH46" s="556" t="str">
        <f t="shared" si="158"/>
        <v>Q2</v>
      </c>
      <c r="BI46" s="556" t="str">
        <f t="shared" si="158"/>
        <v>Q3</v>
      </c>
      <c r="BJ46" s="556" t="str">
        <f t="shared" si="158"/>
        <v>Q4</v>
      </c>
      <c r="BK46" s="556">
        <f t="shared" si="158"/>
        <v>2019</v>
      </c>
      <c r="BL46" s="556" t="str">
        <f t="shared" si="158"/>
        <v>Q1</v>
      </c>
      <c r="BM46" s="556" t="str">
        <f t="shared" si="158"/>
        <v>Q2</v>
      </c>
      <c r="BN46" s="556" t="str">
        <f t="shared" si="158"/>
        <v>Q3</v>
      </c>
      <c r="BO46" s="556" t="str">
        <f t="shared" si="158"/>
        <v>Q4</v>
      </c>
      <c r="BP46" s="556">
        <f t="shared" ref="BP46:CT46" si="159">BP$4</f>
        <v>2020</v>
      </c>
      <c r="BQ46" s="556" t="str">
        <f t="shared" si="159"/>
        <v>Q1</v>
      </c>
      <c r="BR46" s="556" t="str">
        <f t="shared" si="159"/>
        <v>Q2</v>
      </c>
      <c r="BS46" s="556" t="str">
        <f t="shared" si="159"/>
        <v>Q3</v>
      </c>
      <c r="BT46" s="556" t="str">
        <f t="shared" si="159"/>
        <v>Q4</v>
      </c>
      <c r="BU46" s="556">
        <f t="shared" si="159"/>
        <v>2021</v>
      </c>
      <c r="BV46" s="556" t="str">
        <f t="shared" si="159"/>
        <v>Q1</v>
      </c>
      <c r="BW46" s="556" t="str">
        <f t="shared" si="159"/>
        <v>Q2</v>
      </c>
      <c r="BX46" s="556" t="str">
        <f t="shared" si="159"/>
        <v>Q3</v>
      </c>
      <c r="BY46" s="556" t="str">
        <f t="shared" si="159"/>
        <v>Q4</v>
      </c>
      <c r="BZ46" s="556">
        <f t="shared" si="159"/>
        <v>2022</v>
      </c>
      <c r="CA46" s="556" t="str">
        <f t="shared" si="159"/>
        <v>Q1</v>
      </c>
      <c r="CB46" s="556" t="str">
        <f t="shared" si="159"/>
        <v>Q2</v>
      </c>
      <c r="CC46" s="556" t="str">
        <f t="shared" si="159"/>
        <v>Q3</v>
      </c>
      <c r="CD46" s="556" t="str">
        <f t="shared" si="159"/>
        <v>Q4</v>
      </c>
      <c r="CE46" s="556">
        <f t="shared" si="159"/>
        <v>2023</v>
      </c>
      <c r="CF46" s="556" t="str">
        <f t="shared" si="159"/>
        <v>Q1</v>
      </c>
      <c r="CG46" s="556" t="str">
        <f t="shared" si="159"/>
        <v>Q2</v>
      </c>
      <c r="CH46" s="556" t="str">
        <f t="shared" si="159"/>
        <v>Q3</v>
      </c>
      <c r="CI46" s="556" t="str">
        <f t="shared" si="159"/>
        <v>Q4</v>
      </c>
      <c r="CJ46" s="556">
        <f t="shared" si="159"/>
        <v>2024</v>
      </c>
      <c r="CK46" s="556" t="str">
        <f t="shared" si="159"/>
        <v>Q1</v>
      </c>
      <c r="CL46" s="556" t="str">
        <f t="shared" si="159"/>
        <v>Q2</v>
      </c>
      <c r="CM46" s="556" t="str">
        <f t="shared" si="159"/>
        <v>Q3</v>
      </c>
      <c r="CN46" s="556"/>
      <c r="CO46" s="556">
        <f t="shared" si="159"/>
        <v>2025</v>
      </c>
      <c r="CP46" s="556">
        <f t="shared" si="159"/>
        <v>2026</v>
      </c>
      <c r="CQ46" s="556">
        <f t="shared" si="159"/>
        <v>2027</v>
      </c>
      <c r="CR46" s="556">
        <f t="shared" si="159"/>
        <v>2028</v>
      </c>
      <c r="CS46" s="556">
        <f t="shared" si="159"/>
        <v>2029</v>
      </c>
      <c r="CT46" s="556">
        <f t="shared" si="159"/>
        <v>2030</v>
      </c>
      <c r="CU46" s="347"/>
      <c r="CV46" s="1363"/>
      <c r="CW46" s="347"/>
      <c r="CX46" s="347"/>
      <c r="CY46" s="347"/>
      <c r="CZ46" s="347"/>
      <c r="DA46" s="347"/>
      <c r="DL46" s="347"/>
      <c r="DM46" s="348"/>
      <c r="DN46" s="348"/>
    </row>
    <row r="47" spans="1:118">
      <c r="B47" s="390" t="s">
        <v>44</v>
      </c>
      <c r="C47" s="534">
        <f>'[17]Indonesian mobile model'!R$5</f>
        <v>236242.19999999998</v>
      </c>
      <c r="D47" s="534">
        <f>'[17]Indonesian mobile model'!S$5</f>
        <v>236950.92659999995</v>
      </c>
      <c r="E47" s="534">
        <f>'[17]Indonesian mobile model'!T$5</f>
        <v>237661.77937979993</v>
      </c>
      <c r="F47" s="534">
        <f>'[17]Indonesian mobile model'!U$5</f>
        <v>238374.76471793931</v>
      </c>
      <c r="G47" s="534">
        <f>'[17]Indonesian mobile model'!V$5</f>
        <v>239077.10639999999</v>
      </c>
      <c r="H47" s="534">
        <f>'[17]Indonesian mobile model'!W$5</f>
        <v>239077.10639999999</v>
      </c>
      <c r="I47" s="534">
        <f>'[17]Indonesian mobile model'!X$5</f>
        <v>239794.33771919998</v>
      </c>
      <c r="J47" s="534">
        <f>'[17]Indonesian mobile model'!Y$5</f>
        <v>240513.72073235756</v>
      </c>
      <c r="K47" s="534">
        <f>'[17]Indonesian mobile model'!Z$5</f>
        <v>241235.2618945546</v>
      </c>
      <c r="L47" s="534">
        <f>'[17]Indonesian mobile model'!AA$5</f>
        <v>241946.03167679999</v>
      </c>
      <c r="M47" s="534">
        <f>'[17]Indonesian mobile model'!AB$5</f>
        <v>241946.03167679999</v>
      </c>
      <c r="N47" s="534" t="e">
        <f>'[17]Indonesian mobile model'!AC$5</f>
        <v>#REF!</v>
      </c>
      <c r="O47" s="534" t="e">
        <f>'[17]Indonesian mobile model'!AD$5</f>
        <v>#REF!</v>
      </c>
      <c r="P47" s="534" t="e">
        <f>'[17]Indonesian mobile model'!AE$5</f>
        <v>#REF!</v>
      </c>
      <c r="Q47" s="534" t="e">
        <f>'[17]Indonesian mobile model'!AF$5</f>
        <v>#REF!</v>
      </c>
      <c r="R47" s="534">
        <f>'[17]Indonesian mobile model'!AG$5</f>
        <v>244849.38405692158</v>
      </c>
      <c r="S47" s="534" t="e">
        <f>'[17]Indonesian mobile model'!AH$5</f>
        <v>#REF!</v>
      </c>
      <c r="T47" s="534" t="e">
        <f>'[17]Indonesian mobile model'!AI$5</f>
        <v>#REF!</v>
      </c>
      <c r="U47" s="534" t="e">
        <f>'[17]Indonesian mobile model'!AJ$5</f>
        <v>#REF!</v>
      </c>
      <c r="V47" s="534" t="e">
        <f>'[17]Indonesian mobile model'!AK$5</f>
        <v>#REF!</v>
      </c>
      <c r="W47" s="534">
        <f>'[17]Indonesian mobile model'!AL$5</f>
        <v>247787.57666560463</v>
      </c>
      <c r="X47" s="534" t="e">
        <f>'[17]Indonesian mobile model'!AM$5</f>
        <v>#REF!</v>
      </c>
      <c r="Y47" s="534" t="e">
        <f>'[17]Indonesian mobile model'!AN$5</f>
        <v>#REF!</v>
      </c>
      <c r="Z47" s="534" t="e">
        <f>'[17]Indonesian mobile model'!AO$5</f>
        <v>#REF!</v>
      </c>
      <c r="AA47" s="534" t="e">
        <f>'[17]Indonesian mobile model'!AP$5</f>
        <v>#REF!</v>
      </c>
      <c r="AB47" s="534">
        <f>'[17]Indonesian mobile model'!AQ$5</f>
        <v>248452</v>
      </c>
      <c r="AC47" s="534" t="e">
        <f>'[17]Indonesian mobile model'!AR$5</f>
        <v>#REF!</v>
      </c>
      <c r="AD47" s="534" t="e">
        <f>'[17]Indonesian mobile model'!AS$5</f>
        <v>#REF!</v>
      </c>
      <c r="AE47" s="534" t="e">
        <f>'[17]Indonesian mobile model'!AT$5</f>
        <v>#REF!</v>
      </c>
      <c r="AF47" s="534" t="e">
        <f>'[17]Indonesian mobile model'!AU$5</f>
        <v>#REF!</v>
      </c>
      <c r="AG47" s="534">
        <f>'[17]Indonesian mobile model'!AV$5</f>
        <v>251806</v>
      </c>
      <c r="AH47" s="534" t="e">
        <f>'[17]Indonesian mobile model'!AW$5</f>
        <v>#REF!</v>
      </c>
      <c r="AI47" s="534" t="e">
        <f>'[17]Indonesian mobile model'!AX$5</f>
        <v>#REF!</v>
      </c>
      <c r="AJ47" s="534" t="e">
        <f>'[17]Indonesian mobile model'!AY$5</f>
        <v>#REF!</v>
      </c>
      <c r="AK47" s="534" t="e">
        <f>'[17]Indonesian mobile model'!AZ$5</f>
        <v>#REF!</v>
      </c>
      <c r="AL47" s="534">
        <f>'[17]Indonesian mobile model'!BA$5</f>
        <v>255129</v>
      </c>
      <c r="AM47" s="534" t="e">
        <f>'[17]Indonesian mobile model'!BB$5</f>
        <v>#REF!</v>
      </c>
      <c r="AN47" s="534" t="e">
        <f>'[17]Indonesian mobile model'!BC$5</f>
        <v>#REF!</v>
      </c>
      <c r="AO47" s="534" t="e">
        <f>'[17]Indonesian mobile model'!BD$5</f>
        <v>#REF!</v>
      </c>
      <c r="AP47" s="534" t="e">
        <f>'[17]Indonesian mobile model'!BE$5</f>
        <v>#REF!</v>
      </c>
      <c r="AQ47" s="534">
        <f>'[17]Indonesian mobile model'!BF$5</f>
        <v>258383</v>
      </c>
      <c r="AR47" s="534"/>
      <c r="AS47" s="534"/>
      <c r="AT47" s="534"/>
      <c r="AU47" s="534"/>
      <c r="AV47" s="534">
        <f>'[17]Indonesian mobile model'!BK$5</f>
        <v>261554</v>
      </c>
      <c r="AW47" s="534"/>
      <c r="AX47" s="534"/>
      <c r="AY47" s="534"/>
      <c r="AZ47" s="534"/>
      <c r="BA47" s="534">
        <f>'[17]Indonesian mobile model'!BP$5</f>
        <v>264645</v>
      </c>
      <c r="BB47" s="534"/>
      <c r="BC47" s="534"/>
      <c r="BD47" s="534"/>
      <c r="BE47" s="534"/>
      <c r="BF47" s="534">
        <f>'[17]Indonesian mobile model'!BU$5</f>
        <v>267663</v>
      </c>
      <c r="BG47" s="534"/>
      <c r="BH47" s="534"/>
      <c r="BI47" s="534"/>
      <c r="BJ47" s="534"/>
      <c r="BK47" s="534">
        <f>'[17]Indonesian mobile model'!BZ$5</f>
        <v>269582.87800000003</v>
      </c>
      <c r="BL47" s="534"/>
      <c r="BM47" s="534"/>
      <c r="BN47" s="534"/>
      <c r="BO47" s="535"/>
      <c r="BP47" s="535">
        <f>'[17]Indonesian mobile model'!CE5</f>
        <v>271857.96999999997</v>
      </c>
      <c r="BQ47" s="534"/>
      <c r="BR47" s="534"/>
      <c r="BS47" s="534"/>
      <c r="BT47" s="534"/>
      <c r="BU47" s="535">
        <f>'[17]Indonesian mobile model'!CJ5</f>
        <v>273753.19099999999</v>
      </c>
      <c r="BV47" s="534"/>
      <c r="BW47" s="534"/>
      <c r="BX47" s="534"/>
      <c r="BY47" s="534"/>
      <c r="BZ47" s="535">
        <f>'[17]Indonesian mobile model'!CO5</f>
        <v>275501.33899999998</v>
      </c>
      <c r="CA47" s="534"/>
      <c r="CB47" s="534"/>
      <c r="CC47" s="534"/>
      <c r="CD47" s="534"/>
      <c r="CE47" s="535">
        <f>'[17]Indonesian mobile model'!CT5</f>
        <v>277154.34703399998</v>
      </c>
      <c r="CF47" s="534"/>
      <c r="CG47" s="534"/>
      <c r="CH47" s="534"/>
      <c r="CI47" s="534"/>
      <c r="CJ47" s="535">
        <f>'[18]Indonesian mobile'!CY5</f>
        <v>279798.049</v>
      </c>
      <c r="CK47" s="534"/>
      <c r="CL47" s="534"/>
      <c r="CM47" s="534"/>
      <c r="CN47" s="534"/>
      <c r="CO47" s="535">
        <v>281476.83729400003</v>
      </c>
      <c r="CP47" s="535">
        <v>283165.69831776404</v>
      </c>
      <c r="CQ47" s="535">
        <v>284864.69250767061</v>
      </c>
      <c r="CR47" s="535">
        <v>286573.88066271663</v>
      </c>
      <c r="CS47" s="535">
        <v>288293.32394669292</v>
      </c>
      <c r="CT47" s="535">
        <v>290023.08389037306</v>
      </c>
      <c r="CU47" s="347"/>
      <c r="CV47" s="1363"/>
      <c r="CW47" s="347"/>
      <c r="CX47" s="347"/>
      <c r="CY47" s="347"/>
      <c r="CZ47" s="347"/>
      <c r="DA47" s="347"/>
      <c r="DL47" s="347"/>
      <c r="DM47" s="348"/>
      <c r="DN47" s="348"/>
    </row>
    <row r="48" spans="1:118">
      <c r="B48" s="390"/>
      <c r="C48" s="537"/>
      <c r="D48" s="537"/>
      <c r="E48" s="537"/>
      <c r="F48" s="537"/>
      <c r="G48" s="537"/>
      <c r="H48" s="537"/>
      <c r="I48" s="537"/>
      <c r="J48" s="537"/>
      <c r="K48" s="537"/>
      <c r="L48" s="537"/>
      <c r="M48" s="537"/>
      <c r="N48" s="537"/>
      <c r="O48" s="537"/>
      <c r="P48" s="537"/>
      <c r="Q48" s="537"/>
      <c r="R48" s="537"/>
      <c r="S48" s="537"/>
      <c r="T48" s="537"/>
      <c r="U48" s="537"/>
      <c r="V48" s="537"/>
      <c r="W48" s="537"/>
      <c r="X48" s="537"/>
      <c r="Y48" s="537"/>
      <c r="Z48" s="537"/>
      <c r="AA48" s="537"/>
      <c r="AB48" s="537"/>
      <c r="AC48" s="537"/>
      <c r="AD48" s="537"/>
      <c r="AE48" s="537"/>
      <c r="AF48" s="537"/>
      <c r="AG48" s="537"/>
      <c r="AH48" s="537"/>
      <c r="AI48" s="537"/>
      <c r="AJ48" s="537"/>
      <c r="AK48" s="537"/>
      <c r="AL48" s="537"/>
      <c r="AM48" s="537"/>
      <c r="AN48" s="537"/>
      <c r="AO48" s="537"/>
      <c r="AP48" s="537"/>
      <c r="AQ48" s="537"/>
      <c r="AR48" s="537"/>
      <c r="AS48" s="537"/>
      <c r="AT48" s="537"/>
      <c r="AU48" s="537"/>
      <c r="AV48" s="537"/>
      <c r="AW48" s="537"/>
      <c r="AX48" s="537"/>
      <c r="AY48" s="537"/>
      <c r="AZ48" s="537"/>
      <c r="BA48" s="537"/>
      <c r="BB48" s="537"/>
      <c r="BC48" s="537"/>
      <c r="BD48" s="537"/>
      <c r="BE48" s="537"/>
      <c r="BF48" s="537"/>
      <c r="BG48" s="537"/>
      <c r="BH48" s="537"/>
      <c r="BI48" s="537"/>
      <c r="BJ48" s="537"/>
      <c r="BK48" s="537"/>
      <c r="BL48" s="537"/>
      <c r="BM48" s="537"/>
      <c r="BN48" s="537"/>
      <c r="BO48" s="537"/>
      <c r="BP48" s="537"/>
      <c r="BQ48" s="537"/>
      <c r="BR48" s="537"/>
      <c r="BS48" s="537"/>
      <c r="BT48" s="537"/>
      <c r="BU48" s="537"/>
      <c r="BV48" s="537"/>
      <c r="BW48" s="537"/>
      <c r="BX48" s="537"/>
      <c r="BY48" s="537"/>
      <c r="BZ48" s="537"/>
      <c r="CA48" s="537"/>
      <c r="CB48" s="537"/>
      <c r="CC48" s="537"/>
      <c r="CD48" s="537"/>
      <c r="CE48" s="537"/>
      <c r="CF48" s="537"/>
      <c r="CG48" s="537"/>
      <c r="CH48" s="537"/>
      <c r="CI48" s="537"/>
      <c r="CJ48" s="537"/>
      <c r="CK48" s="537"/>
      <c r="CL48" s="537"/>
      <c r="CM48" s="537"/>
      <c r="CN48" s="537"/>
      <c r="CO48" s="537"/>
      <c r="CP48" s="537"/>
      <c r="CQ48" s="537"/>
      <c r="CR48" s="537"/>
      <c r="CS48" s="537"/>
      <c r="CT48" s="537"/>
      <c r="CU48" s="347"/>
      <c r="CV48" s="1363"/>
      <c r="CW48" s="347"/>
      <c r="CX48" s="347"/>
      <c r="CY48" s="347"/>
      <c r="CZ48" s="347"/>
      <c r="DA48" s="347"/>
      <c r="DL48" s="347"/>
      <c r="DM48" s="348"/>
      <c r="DN48" s="348"/>
    </row>
    <row r="49" spans="1:120">
      <c r="B49" s="390" t="s">
        <v>11</v>
      </c>
      <c r="C49" s="538">
        <f>'[17]Indonesian mobile model'!R$7</f>
        <v>0.34300000000000003</v>
      </c>
      <c r="D49" s="538" t="e">
        <f>'[17]Indonesian mobile model'!S$7</f>
        <v>#REF!</v>
      </c>
      <c r="E49" s="538" t="e">
        <f>'[17]Indonesian mobile model'!T$7</f>
        <v>#REF!</v>
      </c>
      <c r="F49" s="538">
        <f>'[17]Indonesian mobile model'!U$7</f>
        <v>0.52735028453513011</v>
      </c>
      <c r="G49" s="538">
        <f>'[17]Indonesian mobile model'!V$7</f>
        <v>0.55905394712439938</v>
      </c>
      <c r="H49" s="538">
        <f>'[17]Indonesian mobile model'!W$7</f>
        <v>0.55905394712439938</v>
      </c>
      <c r="I49" s="538">
        <f>'[17]Indonesian mobile model'!X$7</f>
        <v>0.27006227819492412</v>
      </c>
      <c r="J49" s="538">
        <f>'[17]Indonesian mobile model'!Y$7</f>
        <v>0.25707244173490035</v>
      </c>
      <c r="K49" s="538">
        <f>'[17]Indonesian mobile model'!Z$7</f>
        <v>0.26907889834739301</v>
      </c>
      <c r="L49" s="538">
        <f>'[17]Indonesian mobile model'!AA$7</f>
        <v>0.64920676281156631</v>
      </c>
      <c r="M49" s="538">
        <f>'[17]Indonesian mobile model'!AB$7</f>
        <v>0.64</v>
      </c>
      <c r="N49" s="538" t="e">
        <f>'[17]Indonesian mobile model'!AC$7</f>
        <v>#REF!</v>
      </c>
      <c r="O49" s="538" t="e">
        <f>'[17]Indonesian mobile model'!AD$7</f>
        <v>#REF!</v>
      </c>
      <c r="P49" s="538" t="e">
        <f>'[17]Indonesian mobile model'!AE$7</f>
        <v>#REF!</v>
      </c>
      <c r="Q49" s="538" t="e">
        <f>'[17]Indonesian mobile model'!AF$7</f>
        <v>#REF!</v>
      </c>
      <c r="R49" s="538">
        <f>'[17]Indonesian mobile model'!AG$7</f>
        <v>0.79831526124876273</v>
      </c>
      <c r="S49" s="538" t="e">
        <f>'[17]Indonesian mobile model'!AH$7</f>
        <v>#DIV/0!</v>
      </c>
      <c r="T49" s="538" t="e">
        <f>'[17]Indonesian mobile model'!AI$7</f>
        <v>#DIV/0!</v>
      </c>
      <c r="U49" s="538" t="e">
        <f>'[17]Indonesian mobile model'!AJ$7</f>
        <v>#DIV/0!</v>
      </c>
      <c r="V49" s="538" t="e">
        <f>'[17]Indonesian mobile model'!AK$7</f>
        <v>#DIV/0!</v>
      </c>
      <c r="W49" s="538">
        <f>'[17]Indonesian mobile model'!AL$7</f>
        <v>0.9118770392419181</v>
      </c>
      <c r="X49" s="538" t="e">
        <f>'[17]Indonesian mobile model'!AM$7</f>
        <v>#DIV/0!</v>
      </c>
      <c r="Y49" s="538" t="e">
        <f>'[17]Indonesian mobile model'!AN$7</f>
        <v>#DIV/0!</v>
      </c>
      <c r="Z49" s="538" t="e">
        <f>'[17]Indonesian mobile model'!AO$7</f>
        <v>#DIV/0!</v>
      </c>
      <c r="AA49" s="538" t="e">
        <f>'[17]Indonesian mobile model'!AP$7</f>
        <v>#DIV/0!</v>
      </c>
      <c r="AB49" s="538">
        <f>'[17]Indonesian mobile model'!AQ$7</f>
        <v>1.0033849596702784</v>
      </c>
      <c r="AC49" s="538" t="e">
        <f>'[17]Indonesian mobile model'!AR$7</f>
        <v>#DIV/0!</v>
      </c>
      <c r="AD49" s="538" t="e">
        <f>'[17]Indonesian mobile model'!AS$7</f>
        <v>#DIV/0!</v>
      </c>
      <c r="AE49" s="538" t="e">
        <f>'[17]Indonesian mobile model'!AT$7</f>
        <v>#DIV/0!</v>
      </c>
      <c r="AF49" s="538" t="e">
        <f>'[17]Indonesian mobile model'!AU$7</f>
        <v>#DIV/0!</v>
      </c>
      <c r="AG49" s="538">
        <f>'[17]Indonesian mobile model'!AV$7</f>
        <v>1.094032421299862</v>
      </c>
      <c r="AH49" s="538" t="e">
        <f>'[17]Indonesian mobile model'!AW$7</f>
        <v>#REF!</v>
      </c>
      <c r="AI49" s="538" t="e">
        <f>'[17]Indonesian mobile model'!AX$7</f>
        <v>#REF!</v>
      </c>
      <c r="AJ49" s="538" t="e">
        <f>'[17]Indonesian mobile model'!AY$7</f>
        <v>#REF!</v>
      </c>
      <c r="AK49" s="538" t="e">
        <f>'[17]Indonesian mobile model'!AZ$7</f>
        <v>#REF!</v>
      </c>
      <c r="AL49" s="538">
        <f>'[17]Indonesian mobile model'!BA$7</f>
        <v>1.1167978431518377</v>
      </c>
      <c r="AM49" s="538" t="e">
        <f>'[17]Indonesian mobile model'!BB$7</f>
        <v>#REF!</v>
      </c>
      <c r="AN49" s="538" t="e">
        <f>'[17]Indonesian mobile model'!BC$7</f>
        <v>#REF!</v>
      </c>
      <c r="AO49" s="538" t="e">
        <f>'[17]Indonesian mobile model'!BD$7</f>
        <v>#REF!</v>
      </c>
      <c r="AP49" s="538" t="e">
        <f>'[17]Indonesian mobile model'!BE$7</f>
        <v>#REF!</v>
      </c>
      <c r="AQ49" s="538">
        <f>'[17]Indonesian mobile model'!BF$7</f>
        <v>1.0849893743080576</v>
      </c>
      <c r="AR49" s="538"/>
      <c r="AS49" s="538"/>
      <c r="AT49" s="538"/>
      <c r="AU49" s="538"/>
      <c r="AV49" s="538">
        <f>'[17]Indonesian mobile model'!BK$7</f>
        <v>1.2573847083202705</v>
      </c>
      <c r="AW49" s="538"/>
      <c r="AX49" s="538"/>
      <c r="AY49" s="538"/>
      <c r="AZ49" s="538"/>
      <c r="BA49" s="538">
        <f>'[17]Indonesian mobile model'!BP$7</f>
        <v>1.3603128719605508</v>
      </c>
      <c r="BB49" s="538"/>
      <c r="BC49" s="538"/>
      <c r="BD49" s="538"/>
      <c r="BE49" s="538"/>
      <c r="BF49" s="538">
        <f>'[17]Indonesian mobile model'!BU$7</f>
        <v>1.030728939001655</v>
      </c>
      <c r="BG49" s="538"/>
      <c r="BH49" s="538"/>
      <c r="BI49" s="538"/>
      <c r="BJ49" s="538"/>
      <c r="BK49" s="538">
        <f>'[17]Indonesian mobile model'!BZ$7</f>
        <v>1.0410362283916714</v>
      </c>
      <c r="BL49" s="538"/>
      <c r="BM49" s="538"/>
      <c r="BN49" s="538"/>
      <c r="BO49" s="539"/>
      <c r="BP49" s="539">
        <f>'[17]Indonesian mobile model'!CE$7</f>
        <v>1.0722673152434217</v>
      </c>
      <c r="BQ49" s="538"/>
      <c r="BR49" s="538"/>
      <c r="BS49" s="538"/>
      <c r="BT49" s="538"/>
      <c r="BU49" s="539">
        <f>'[17]Indonesian mobile model'!CJ$7</f>
        <v>1.2083402527351728</v>
      </c>
      <c r="BV49" s="538"/>
      <c r="BW49" s="538"/>
      <c r="BX49" s="538"/>
      <c r="BY49" s="538"/>
      <c r="BZ49" s="539">
        <f>'[17]Indonesian mobile model'!CO$7</f>
        <v>1.28</v>
      </c>
      <c r="CA49" s="538"/>
      <c r="CB49" s="538"/>
      <c r="CC49" s="538"/>
      <c r="CD49" s="538"/>
      <c r="CE49" s="539">
        <f>'[17]Indonesian mobile model'!CT$7</f>
        <v>1.28512</v>
      </c>
      <c r="CF49" s="538"/>
      <c r="CG49" s="538"/>
      <c r="CH49" s="538"/>
      <c r="CI49" s="538"/>
      <c r="CJ49" s="539">
        <f>'[18]Indonesian mobile'!CY7</f>
        <v>1.2902604800000002</v>
      </c>
      <c r="CK49" s="538"/>
      <c r="CL49" s="538"/>
      <c r="CM49" s="538"/>
      <c r="CN49" s="538"/>
      <c r="CO49" s="539">
        <v>1.2954215219200003</v>
      </c>
      <c r="CP49" s="539">
        <v>1.3006032080076804</v>
      </c>
      <c r="CQ49" s="539">
        <v>1.3058056208397111</v>
      </c>
      <c r="CR49" s="539">
        <v>1.3110288433230699</v>
      </c>
      <c r="CS49" s="539">
        <v>1.3162729586963622</v>
      </c>
      <c r="CT49" s="539">
        <v>1.3215380505311476</v>
      </c>
      <c r="CU49" s="347"/>
      <c r="CV49" s="1363"/>
      <c r="CW49" s="347"/>
      <c r="CX49" s="347"/>
      <c r="CY49" s="347"/>
      <c r="CZ49" s="347"/>
      <c r="DA49" s="347"/>
      <c r="DL49" s="347"/>
      <c r="DM49" s="348"/>
      <c r="DN49" s="348"/>
    </row>
    <row r="50" spans="1:120">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5"/>
      <c r="BA50" s="385"/>
      <c r="BB50" s="385"/>
      <c r="BC50" s="385"/>
      <c r="BD50" s="385"/>
      <c r="BE50" s="385"/>
      <c r="BF50" s="385"/>
      <c r="BG50" s="385"/>
      <c r="BH50" s="385"/>
      <c r="BI50" s="385"/>
      <c r="BJ50" s="385"/>
      <c r="BK50" s="385"/>
      <c r="BL50" s="385"/>
      <c r="BM50" s="385"/>
      <c r="BN50" s="385"/>
      <c r="BO50" s="385"/>
      <c r="BP50" s="385"/>
      <c r="BQ50" s="385"/>
      <c r="BR50" s="385"/>
      <c r="BS50" s="385"/>
      <c r="BT50" s="385"/>
      <c r="BU50" s="385"/>
      <c r="BV50" s="385"/>
      <c r="BW50" s="385"/>
      <c r="BX50" s="385"/>
      <c r="BY50" s="385"/>
      <c r="BZ50" s="385"/>
      <c r="CA50" s="385"/>
      <c r="CB50" s="385"/>
      <c r="CC50" s="385"/>
      <c r="CD50" s="385"/>
      <c r="CE50" s="385"/>
      <c r="CF50" s="385"/>
      <c r="CG50" s="385"/>
      <c r="CH50" s="385"/>
      <c r="CI50" s="385"/>
      <c r="CJ50" s="385"/>
      <c r="CK50" s="385"/>
      <c r="CL50" s="385"/>
      <c r="CM50" s="385"/>
      <c r="CN50" s="385"/>
      <c r="CO50" s="385"/>
      <c r="CP50" s="385"/>
      <c r="CQ50" s="385"/>
      <c r="CR50" s="385"/>
      <c r="CS50" s="385"/>
      <c r="CT50" s="385"/>
      <c r="CU50" s="347"/>
      <c r="CV50" s="1363"/>
      <c r="CW50" s="347"/>
      <c r="CX50" s="347"/>
      <c r="CY50" s="347"/>
      <c r="CZ50" s="347"/>
      <c r="DA50" s="347"/>
      <c r="DL50" s="347"/>
      <c r="DM50" s="348"/>
      <c r="DN50" s="348"/>
    </row>
    <row r="51" spans="1:120">
      <c r="B51" s="347" t="s">
        <v>510</v>
      </c>
      <c r="C51" s="534">
        <f>'[17]Indonesian mobile model'!R$15</f>
        <v>47117</v>
      </c>
      <c r="D51" s="534" t="e">
        <f>'[17]Indonesian mobile model'!S$15</f>
        <v>#REF!</v>
      </c>
      <c r="E51" s="534" t="e">
        <f>'[17]Indonesian mobile model'!T$15</f>
        <v>#REF!</v>
      </c>
      <c r="F51" s="534">
        <f>'[17]Indonesian mobile model'!U$15</f>
        <v>60503</v>
      </c>
      <c r="G51" s="534">
        <f>'[17]Indonesian mobile model'!V$15</f>
        <v>65300</v>
      </c>
      <c r="H51" s="534">
        <f>'[17]Indonesian mobile model'!W$15</f>
        <v>65300</v>
      </c>
      <c r="I51" s="534">
        <f>'[17]Indonesian mobile model'!X$15</f>
        <v>0.4051426901723969</v>
      </c>
      <c r="J51" s="534">
        <f>'[17]Indonesian mobile model'!Y$15</f>
        <v>0.44945941307705506</v>
      </c>
      <c r="K51" s="534">
        <f>'[17]Indonesian mobile model'!Z$15</f>
        <v>0.3185131315802523</v>
      </c>
      <c r="L51" s="534">
        <f>'[17]Indonesian mobile model'!AA$15</f>
        <v>81644</v>
      </c>
      <c r="M51" s="534">
        <f>'[17]Indonesian mobile model'!AB$15</f>
        <v>81644</v>
      </c>
      <c r="N51" s="534">
        <f>'[17]Indonesian mobile model'!AC$15</f>
        <v>0.17144718783358526</v>
      </c>
      <c r="O51" s="534">
        <f>'[17]Indonesian mobile model'!AD$15</f>
        <v>0.16183860867734889</v>
      </c>
      <c r="P51" s="534">
        <f>'[17]Indonesian mobile model'!AE$15</f>
        <v>0.16749818236518155</v>
      </c>
      <c r="Q51" s="534">
        <f>'[17]Indonesian mobile model'!AF$15</f>
        <v>-586.03752393949503</v>
      </c>
      <c r="R51" s="534">
        <f>'[17]Indonesian mobile model'!AG$15</f>
        <v>-586.03752393949503</v>
      </c>
      <c r="S51" s="534">
        <f>'[17]Indonesian mobile model'!AH$15</f>
        <v>0.17591715976331357</v>
      </c>
      <c r="T51" s="534">
        <f>'[17]Indonesian mobile model'!AI$15</f>
        <v>0.15823859776257976</v>
      </c>
      <c r="U51" s="534">
        <f>'[17]Indonesian mobile model'!AJ$15</f>
        <v>0.11824643532039159</v>
      </c>
      <c r="V51" s="534">
        <f>'[17]Indonesian mobile model'!AK$15</f>
        <v>107574.83942606233</v>
      </c>
      <c r="W51" s="534">
        <f>'[17]Indonesian mobile model'!AL$15</f>
        <v>107574.83942606233</v>
      </c>
      <c r="X51" s="534">
        <f>'[17]Indonesian mobile model'!AM$15</f>
        <v>109881</v>
      </c>
      <c r="Y51" s="534">
        <f>'[17]Indonesian mobile model'!AN$15</f>
        <v>117235</v>
      </c>
      <c r="Z51" s="534">
        <f>'[17]Indonesian mobile model'!AO$15</f>
        <v>121477</v>
      </c>
      <c r="AA51" s="534">
        <f>'[17]Indonesian mobile model'!AP$15</f>
        <v>117468.65611846764</v>
      </c>
      <c r="AB51" s="534">
        <f>'[17]Indonesian mobile model'!AQ$15</f>
        <v>117468.65611846764</v>
      </c>
      <c r="AC51" s="534">
        <f>'[17]Indonesian mobile model'!AR$15</f>
        <v>120611</v>
      </c>
      <c r="AD51" s="534">
        <f>'[17]Indonesian mobile model'!AS$15</f>
        <v>125091</v>
      </c>
      <c r="AE51" s="534">
        <f>'[17]Indonesian mobile model'!AT$15</f>
        <v>127904</v>
      </c>
      <c r="AF51" s="534">
        <f>'[17]Indonesian mobile model'!AU$15</f>
        <v>131513</v>
      </c>
      <c r="AG51" s="534">
        <f>'[17]Indonesian mobile model'!AV$15</f>
        <v>131513</v>
      </c>
      <c r="AH51" s="534">
        <f>'[17]Indonesian mobile model'!AW$15</f>
        <v>132651</v>
      </c>
      <c r="AI51" s="534">
        <f>'[17]Indonesian mobile model'!AX$15</f>
        <v>137373</v>
      </c>
      <c r="AJ51" s="534">
        <f>'[17]Indonesian mobile model'!AY$15</f>
        <v>139349</v>
      </c>
      <c r="AK51" s="534">
        <f>'[17]Indonesian mobile model'!AZ$15</f>
        <v>139349</v>
      </c>
      <c r="AL51" s="534">
        <f>'[17]Indonesian mobile model'!BA$15</f>
        <v>139349</v>
      </c>
      <c r="AM51" s="534">
        <f>'[17]Indonesian mobile model'!BB$15</f>
        <v>141486</v>
      </c>
      <c r="AN51" s="534">
        <f>'[17]Indonesian mobile model'!BC$15</f>
        <v>144065</v>
      </c>
      <c r="AO51" s="534">
        <f>'[17]Indonesian mobile model'!BD$15</f>
        <v>148561</v>
      </c>
      <c r="AP51" s="534">
        <f>'[17]Indonesian mobile model'!BE$15</f>
        <v>152641</v>
      </c>
      <c r="AQ51" s="534">
        <f>'[17]Indonesian mobile model'!BF$15</f>
        <v>152641</v>
      </c>
      <c r="AR51" s="534">
        <f>'[17]Indonesian mobile model'!BG$15</f>
        <v>153614</v>
      </c>
      <c r="AS51" s="534">
        <f>'[17]Indonesian mobile model'!BH$15</f>
        <v>157388</v>
      </c>
      <c r="AT51" s="534">
        <f>'[17]Indonesian mobile model'!BI$15</f>
        <v>163700</v>
      </c>
      <c r="AU51" s="534">
        <f>'[17]Indonesian mobile model'!BJ$15</f>
        <v>173920</v>
      </c>
      <c r="AV51" s="534">
        <f>'[17]Indonesian mobile model'!BK$15</f>
        <v>173920</v>
      </c>
      <c r="AW51" s="534">
        <v>169368</v>
      </c>
      <c r="AX51" s="534"/>
      <c r="AY51" s="534"/>
      <c r="AZ51" s="534"/>
      <c r="BA51" s="534">
        <f>'[17]Indonesian mobile model'!BP$15</f>
        <v>196300</v>
      </c>
      <c r="BB51" s="534"/>
      <c r="BC51" s="534"/>
      <c r="BD51" s="534"/>
      <c r="BE51" s="534"/>
      <c r="BF51" s="534">
        <f>'[17]Indonesian mobile model'!BU$15</f>
        <v>162988</v>
      </c>
      <c r="BG51" s="534"/>
      <c r="BH51" s="534"/>
      <c r="BI51" s="534"/>
      <c r="BJ51" s="534"/>
      <c r="BK51" s="534">
        <f>'[17]Indonesian mobile model'!BZ$15</f>
        <v>171105</v>
      </c>
      <c r="BL51" s="534"/>
      <c r="BM51" s="534"/>
      <c r="BN51" s="534"/>
      <c r="BO51" s="535"/>
      <c r="BP51" s="534">
        <f>'[17]Indonesian mobile model'!CE$15</f>
        <v>169542</v>
      </c>
      <c r="BQ51" s="534"/>
      <c r="BR51" s="534"/>
      <c r="BS51" s="534"/>
      <c r="BT51" s="534"/>
      <c r="BU51" s="534">
        <f>'[17]Indonesian mobile model'!CJ$15</f>
        <v>175977</v>
      </c>
      <c r="BV51" s="534">
        <f>'[17]Indonesian mobile model'!CK$15</f>
        <v>174956</v>
      </c>
      <c r="BW51" s="534">
        <f>'[17]Indonesian mobile model'!CL$15</f>
        <v>169667</v>
      </c>
      <c r="BX51" s="534">
        <f>'[17]Indonesian mobile model'!CM$15</f>
        <v>159836</v>
      </c>
      <c r="BY51" s="534">
        <f>'[17]Indonesian mobile model'!CN$15</f>
        <v>156813</v>
      </c>
      <c r="BZ51" s="534">
        <f>'[17]Indonesian mobile model'!CO15</f>
        <v>156813</v>
      </c>
      <c r="CA51" s="534">
        <f>'[17]Indonesian mobile model'!CP$15</f>
        <v>151066</v>
      </c>
      <c r="CB51" s="534">
        <f>'[17]Indonesian mobile model'!CQ$15</f>
        <v>153269</v>
      </c>
      <c r="CC51" s="534">
        <f>'[17]Indonesian mobile model'!CR$15</f>
        <v>158300</v>
      </c>
      <c r="CD51" s="534">
        <f>'[17]Indonesian mobile model'!CS$15</f>
        <v>159340</v>
      </c>
      <c r="CE51" s="534">
        <f>'[17]Indonesian mobile model'!CT15</f>
        <v>159340</v>
      </c>
      <c r="CF51" s="534">
        <f>'[18]Indonesian mobile'!CU15</f>
        <v>159668</v>
      </c>
      <c r="CG51" s="534">
        <f>'[18]Indonesian mobile'!CV15</f>
        <v>159882</v>
      </c>
      <c r="CH51" s="534">
        <f>'[18]Indonesian mobile'!CW15</f>
        <v>158416</v>
      </c>
      <c r="CI51" s="534">
        <f>'[18]Indonesian mobile'!CX15</f>
        <v>159389</v>
      </c>
      <c r="CJ51" s="534">
        <f>'[18]Indonesian mobile'!CY15</f>
        <v>159389</v>
      </c>
      <c r="CK51" s="534"/>
      <c r="CL51" s="534"/>
      <c r="CM51" s="534"/>
      <c r="CN51" s="534"/>
      <c r="CO51" s="534">
        <v>160622.08418304741</v>
      </c>
      <c r="CP51" s="534">
        <v>161863.87373926846</v>
      </c>
      <c r="CQ51" s="534">
        <v>163114.4192929756</v>
      </c>
      <c r="CR51" s="534">
        <v>164373.77160867653</v>
      </c>
      <c r="CS51" s="534">
        <v>165641.9815887982</v>
      </c>
      <c r="CT51" s="534">
        <v>166919.10027135076</v>
      </c>
      <c r="CU51" s="347"/>
      <c r="CV51" s="1363"/>
      <c r="CW51" s="347"/>
      <c r="CX51" s="347"/>
      <c r="CY51" s="347"/>
      <c r="CZ51" s="347"/>
      <c r="DA51" s="347"/>
      <c r="DL51" s="347"/>
      <c r="DM51" s="348"/>
      <c r="DN51" s="348"/>
    </row>
    <row r="52" spans="1:120">
      <c r="B52" s="347" t="s">
        <v>511</v>
      </c>
      <c r="C52" s="534">
        <f>'[17]Indonesian mobile model'!R$16</f>
        <v>24545</v>
      </c>
      <c r="D52" s="534">
        <f>'[17]Indonesian mobile model'!S$16</f>
        <v>26437.5</v>
      </c>
      <c r="E52" s="534">
        <f>'[17]Indonesian mobile model'!T$16</f>
        <v>32387</v>
      </c>
      <c r="F52" s="534">
        <f>'[17]Indonesian mobile model'!U$16</f>
        <v>35473</v>
      </c>
      <c r="G52" s="534">
        <f>'[17]Indonesian mobile model'!V$16</f>
        <v>36500</v>
      </c>
      <c r="H52" s="534">
        <f>'[17]Indonesian mobile model'!W$16</f>
        <v>36500</v>
      </c>
      <c r="I52" s="534">
        <f>'[17]Indonesian mobile model'!X$16</f>
        <v>33267</v>
      </c>
      <c r="J52" s="534">
        <f>'[17]Indonesian mobile model'!Y$16</f>
        <v>28857</v>
      </c>
      <c r="K52" s="534">
        <f>'[17]Indonesian mobile model'!Z$16</f>
        <v>28700</v>
      </c>
      <c r="L52" s="534">
        <f>'[17]Indonesian mobile model'!AA$16</f>
        <v>33100</v>
      </c>
      <c r="M52" s="534">
        <f>'[17]Indonesian mobile model'!AB$16</f>
        <v>33100</v>
      </c>
      <c r="N52" s="534">
        <f>'[17]Indonesian mobile model'!AC$16</f>
        <v>37700</v>
      </c>
      <c r="O52" s="534">
        <f>'[17]Indonesian mobile model'!AD$16</f>
        <v>37800</v>
      </c>
      <c r="P52" s="534">
        <f>'[17]Indonesian mobile model'!AE$16</f>
        <v>39700</v>
      </c>
      <c r="Q52" s="534">
        <f>'[17]Indonesian mobile model'!AF$16</f>
        <v>41581.703260152921</v>
      </c>
      <c r="R52" s="534">
        <f>'[17]Indonesian mobile model'!AG$16</f>
        <v>41581.703260152921</v>
      </c>
      <c r="S52" s="534">
        <f>'[17]Indonesian mobile model'!AH$16</f>
        <v>45700</v>
      </c>
      <c r="T52" s="534">
        <f>'[17]Indonesian mobile model'!AI$16</f>
        <v>47300</v>
      </c>
      <c r="U52" s="534">
        <f>'[17]Indonesian mobile model'!AJ$16</f>
        <v>51500</v>
      </c>
      <c r="V52" s="534">
        <f>'[17]Indonesian mobile model'!AK$16</f>
        <v>51700</v>
      </c>
      <c r="W52" s="534">
        <f>'[17]Indonesian mobile model'!AL$16</f>
        <v>53941.483289166739</v>
      </c>
      <c r="X52" s="534">
        <f>'[17]Indonesian mobile model'!AM$16</f>
        <v>52100</v>
      </c>
      <c r="Y52" s="534">
        <f>'[17]Indonesian mobile model'!AN$16</f>
        <v>50900</v>
      </c>
      <c r="Z52" s="534">
        <f>'[17]Indonesian mobile model'!AO$16</f>
        <v>55500</v>
      </c>
      <c r="AA52" s="534">
        <f>'[17]Indonesian mobile model'!AP$16</f>
        <v>60166.330460736586</v>
      </c>
      <c r="AB52" s="534">
        <f>'[17]Indonesian mobile model'!AQ$16</f>
        <v>60166.330460736586</v>
      </c>
      <c r="AC52" s="534">
        <f>'[17]Indonesian mobile model'!AR$16</f>
        <v>55900</v>
      </c>
      <c r="AD52" s="534">
        <f>'[17]Indonesian mobile model'!AS$16</f>
        <v>56500</v>
      </c>
      <c r="AE52" s="534">
        <f>'[17]Indonesian mobile model'!AT$16</f>
        <v>53800</v>
      </c>
      <c r="AF52" s="534">
        <f>'[17]Indonesian mobile model'!AU$16</f>
        <v>59600</v>
      </c>
      <c r="AG52" s="534">
        <f>'[17]Indonesian mobile model'!AV$16</f>
        <v>59600</v>
      </c>
      <c r="AH52" s="534">
        <f>'[17]Indonesian mobile model'!AW$16</f>
        <v>59700</v>
      </c>
      <c r="AI52" s="534">
        <f>'[17]Indonesian mobile model'!AX$16</f>
        <v>55004</v>
      </c>
      <c r="AJ52" s="534">
        <f>'[17]Indonesian mobile model'!AY$16</f>
        <v>54200</v>
      </c>
      <c r="AK52" s="534">
        <f>'[17]Indonesian mobile model'!AZ$16</f>
        <v>63200</v>
      </c>
      <c r="AL52" s="534">
        <f>'[17]Indonesian mobile model'!BA$16</f>
        <v>63200</v>
      </c>
      <c r="AM52" s="534">
        <f>'[17]Indonesian mobile model'!BB$16</f>
        <v>66500</v>
      </c>
      <c r="AN52" s="534">
        <f>'[17]Indonesian mobile model'!BC$16</f>
        <v>68500</v>
      </c>
      <c r="AO52" s="534">
        <f>'[17]Indonesian mobile model'!BD$16</f>
        <v>69000</v>
      </c>
      <c r="AP52" s="534">
        <f>'[17]Indonesian mobile model'!BE$16</f>
        <v>69700</v>
      </c>
      <c r="AQ52" s="534">
        <f>'[17]Indonesian mobile model'!BF$16</f>
        <v>69700</v>
      </c>
      <c r="AR52" s="534">
        <f>'[17]Indonesian mobile model'!BG$16</f>
        <v>69800</v>
      </c>
      <c r="AS52" s="534">
        <f>'[17]Indonesian mobile model'!BH$16</f>
        <v>80500</v>
      </c>
      <c r="AT52" s="534">
        <f>'[17]Indonesian mobile model'!BI$16</f>
        <v>81600</v>
      </c>
      <c r="AU52" s="534">
        <f>'[17]Indonesian mobile model'!BJ$16</f>
        <v>85654</v>
      </c>
      <c r="AV52" s="534">
        <f>'[17]Indonesian mobile model'!BK$16</f>
        <v>85654</v>
      </c>
      <c r="AW52" s="534">
        <v>95600</v>
      </c>
      <c r="AX52" s="534"/>
      <c r="AY52" s="534"/>
      <c r="AZ52" s="534"/>
      <c r="BA52" s="534">
        <f>'[17]Indonesian mobile model'!BP$16</f>
        <v>110200</v>
      </c>
      <c r="BB52" s="534"/>
      <c r="BC52" s="534"/>
      <c r="BD52" s="534"/>
      <c r="BE52" s="534"/>
      <c r="BF52" s="534">
        <f>'[17]Indonesian mobile model'!BU$16</f>
        <v>58000</v>
      </c>
      <c r="BG52" s="534"/>
      <c r="BH52" s="534"/>
      <c r="BI52" s="534"/>
      <c r="BJ52" s="534"/>
      <c r="BK52" s="534">
        <f>'[17]Indonesian mobile model'!BZ$16</f>
        <v>59300</v>
      </c>
      <c r="BL52" s="534"/>
      <c r="BM52" s="534"/>
      <c r="BN52" s="534"/>
      <c r="BO52" s="535"/>
      <c r="BP52" s="534">
        <f>'[17]Indonesian mobile model'!CE$16</f>
        <v>60300</v>
      </c>
      <c r="BQ52" s="534"/>
      <c r="BR52" s="534"/>
      <c r="BS52" s="534"/>
      <c r="BT52" s="534"/>
      <c r="BU52" s="534">
        <f>'[17]Indonesian mobile model'!CJ$16</f>
        <v>62900</v>
      </c>
      <c r="BV52" s="534">
        <f>'[17]Indonesian mobile model'!CK$16</f>
        <v>94600</v>
      </c>
      <c r="BW52" s="534">
        <f>'[17]Indonesian mobile model'!CL$16</f>
        <v>96200</v>
      </c>
      <c r="BX52" s="534">
        <f>'[17]Indonesian mobile model'!CM$16</f>
        <v>98600</v>
      </c>
      <c r="BY52" s="534">
        <f>'[17]Indonesian mobile model'!CN$16</f>
        <v>102200</v>
      </c>
      <c r="BZ52" s="534">
        <f>'[17]Indonesian mobile model'!CO16</f>
        <v>102200</v>
      </c>
      <c r="CA52" s="534">
        <f>'[17]Indonesian mobile model'!CP$16</f>
        <v>98500</v>
      </c>
      <c r="CB52" s="534">
        <f>'[17]Indonesian mobile model'!CQ$16</f>
        <v>100000</v>
      </c>
      <c r="CC52" s="534">
        <f>'[17]Indonesian mobile model'!CR$16</f>
        <v>99400</v>
      </c>
      <c r="CD52" s="534">
        <f>'[17]Indonesian mobile model'!CS$16</f>
        <v>98800</v>
      </c>
      <c r="CE52" s="534">
        <f>'[17]Indonesian mobile model'!CT16</f>
        <v>98800</v>
      </c>
      <c r="CF52" s="534">
        <f>'[18]Indonesian mobile'!CU16</f>
        <v>100800</v>
      </c>
      <c r="CG52" s="534">
        <f>'[18]Indonesian mobile'!CV16</f>
        <v>100900</v>
      </c>
      <c r="CH52" s="534">
        <f>'[18]Indonesian mobile'!CW16</f>
        <v>98700</v>
      </c>
      <c r="CI52" s="534">
        <f>'[18]Indonesian mobile'!CX16</f>
        <v>94700</v>
      </c>
      <c r="CJ52" s="534">
        <f>'[18]Indonesian mobile'!CY16</f>
        <v>94700</v>
      </c>
      <c r="CK52" s="534"/>
      <c r="CL52" s="534"/>
      <c r="CM52" s="534"/>
      <c r="CN52" s="534"/>
      <c r="CO52" s="534">
        <v>96013.903952952649</v>
      </c>
      <c r="CP52" s="534">
        <v>97344.633541806863</v>
      </c>
      <c r="CQ52" s="534">
        <v>98692.394065085231</v>
      </c>
      <c r="CR52" s="534">
        <v>100057.39324648549</v>
      </c>
      <c r="CS52" s="534">
        <v>101439.84126287198</v>
      </c>
      <c r="CT52" s="534">
        <v>102839.95077258452</v>
      </c>
      <c r="CU52" s="347"/>
      <c r="CV52" s="1363"/>
      <c r="CW52" s="347"/>
      <c r="CX52" s="347"/>
      <c r="CY52" s="347"/>
      <c r="CZ52" s="347"/>
      <c r="DA52" s="347"/>
      <c r="DL52" s="347"/>
      <c r="DM52" s="348"/>
      <c r="DN52" s="348"/>
    </row>
    <row r="53" spans="1:120" s="399" customFormat="1">
      <c r="A53" s="769"/>
      <c r="B53" s="364" t="s">
        <v>512</v>
      </c>
      <c r="C53" s="536">
        <f>'[17]Indonesian mobile model'!R$17</f>
        <v>15469</v>
      </c>
      <c r="D53" s="536">
        <f>'[17]Indonesian mobile model'!S$17</f>
        <v>18398</v>
      </c>
      <c r="E53" s="536">
        <f>'[17]Indonesian mobile model'!T$17</f>
        <v>22289</v>
      </c>
      <c r="F53" s="536">
        <f>'[17]Indonesian mobile model'!U$17</f>
        <v>25087</v>
      </c>
      <c r="G53" s="536">
        <f>'[17]Indonesian mobile model'!V$17</f>
        <v>26016</v>
      </c>
      <c r="H53" s="536">
        <f>'[17]Indonesian mobile model'!W$17</f>
        <v>26016</v>
      </c>
      <c r="I53" s="536">
        <f>'[17]Indonesian mobile model'!X$17</f>
        <v>24892</v>
      </c>
      <c r="J53" s="536">
        <f>'[17]Indonesian mobile model'!Y$17</f>
        <v>24672</v>
      </c>
      <c r="K53" s="536">
        <f>'[17]Indonesian mobile model'!Z$17</f>
        <v>26600</v>
      </c>
      <c r="L53" s="536">
        <f>'[17]Indonesian mobile model'!AA$17</f>
        <v>31100</v>
      </c>
      <c r="M53" s="536">
        <f>'[17]Indonesian mobile model'!AB$17</f>
        <v>31100</v>
      </c>
      <c r="N53" s="536">
        <f>'[17]Indonesian mobile model'!AC$17</f>
        <v>32600</v>
      </c>
      <c r="O53" s="536">
        <f>'[17]Indonesian mobile model'!AD$17</f>
        <v>35232</v>
      </c>
      <c r="P53" s="536">
        <f>'[17]Indonesian mobile model'!AE$17</f>
        <v>38500</v>
      </c>
      <c r="Q53" s="536">
        <f>'[17]Indonesian mobile model'!AF$17</f>
        <v>40400</v>
      </c>
      <c r="R53" s="536">
        <f>'[17]Indonesian mobile model'!AG$17</f>
        <v>40400</v>
      </c>
      <c r="S53" s="536">
        <f>'[17]Indonesian mobile model'!AH$17</f>
        <v>39300</v>
      </c>
      <c r="T53" s="536">
        <f>'[17]Indonesian mobile model'!AI$17</f>
        <v>38900</v>
      </c>
      <c r="U53" s="536">
        <f>'[17]Indonesian mobile model'!AJ$17</f>
        <v>43400</v>
      </c>
      <c r="V53" s="536">
        <f>'[17]Indonesian mobile model'!AK$17</f>
        <v>46400</v>
      </c>
      <c r="W53" s="536">
        <f>'[17]Indonesian mobile model'!AL$17</f>
        <v>46022.880737048108</v>
      </c>
      <c r="X53" s="536">
        <f>'[17]Indonesian mobile model'!AM$17</f>
        <v>46400</v>
      </c>
      <c r="Y53" s="536">
        <f>'[17]Indonesian mobile model'!AN$17</f>
        <v>45900</v>
      </c>
      <c r="Z53" s="536">
        <f>'[17]Indonesian mobile model'!AO$17</f>
        <v>42300</v>
      </c>
      <c r="AA53" s="536">
        <f>'[17]Indonesian mobile model'!AP$17</f>
        <v>51333.97455451468</v>
      </c>
      <c r="AB53" s="536">
        <f>'[17]Indonesian mobile model'!AQ$17</f>
        <v>51333.97455451468</v>
      </c>
      <c r="AC53" s="536">
        <f>'[17]Indonesian mobile model'!AR$17</f>
        <v>49100</v>
      </c>
      <c r="AD53" s="536">
        <f>'[17]Indonesian mobile model'!AS$17</f>
        <v>54200</v>
      </c>
      <c r="AE53" s="536">
        <f>'[17]Indonesian mobile model'!AT$17</f>
        <v>58100</v>
      </c>
      <c r="AF53" s="536">
        <f>'[17]Indonesian mobile model'!AU$17</f>
        <v>60500</v>
      </c>
      <c r="AG53" s="536">
        <f>'[17]Indonesian mobile model'!AV$17</f>
        <v>60500</v>
      </c>
      <c r="AH53" s="536">
        <f>'[17]Indonesian mobile model'!AW$17</f>
        <v>68500</v>
      </c>
      <c r="AI53" s="536">
        <f>'[17]Indonesian mobile model'!AX$17</f>
        <v>62900</v>
      </c>
      <c r="AJ53" s="536">
        <f>'[17]Indonesian mobile model'!AY$17</f>
        <v>58300</v>
      </c>
      <c r="AK53" s="536">
        <f>'[17]Indonesian mobile model'!AZ$17</f>
        <v>59600</v>
      </c>
      <c r="AL53" s="536">
        <f>'[17]Indonesian mobile model'!BA$17</f>
        <v>59600</v>
      </c>
      <c r="AM53" s="536">
        <f>'[17]Indonesian mobile model'!BB$17</f>
        <v>52100</v>
      </c>
      <c r="AN53" s="536">
        <f>'[17]Indonesian mobile model'!BC$17</f>
        <v>46000</v>
      </c>
      <c r="AO53" s="536">
        <f>'[17]Indonesian mobile model'!BD$17</f>
        <v>41500</v>
      </c>
      <c r="AP53" s="536">
        <f>'[17]Indonesian mobile model'!BE$17</f>
        <v>42000</v>
      </c>
      <c r="AQ53" s="536">
        <f>'[17]Indonesian mobile model'!BF$17</f>
        <v>42000</v>
      </c>
      <c r="AR53" s="536">
        <f>'[17]Indonesian mobile model'!BG$17</f>
        <v>42500</v>
      </c>
      <c r="AS53" s="536">
        <f>'[17]Indonesian mobile model'!BH$17</f>
        <v>44000</v>
      </c>
      <c r="AT53" s="536">
        <f>'[17]Indonesian mobile model'!BI$17</f>
        <v>45000</v>
      </c>
      <c r="AU53" s="536">
        <f>'[17]Indonesian mobile model'!BJ$17</f>
        <v>46500</v>
      </c>
      <c r="AV53" s="536">
        <f>'[17]Indonesian mobile model'!BK$17</f>
        <v>46500</v>
      </c>
      <c r="AW53" s="536">
        <f>AW96</f>
        <v>48000</v>
      </c>
      <c r="AX53" s="536">
        <f>AX96</f>
        <v>50500</v>
      </c>
      <c r="AY53" s="536">
        <f>AY96</f>
        <v>52500</v>
      </c>
      <c r="AZ53" s="536">
        <f>AZ96</f>
        <v>53500</v>
      </c>
      <c r="BA53" s="536">
        <f>AZ53</f>
        <v>53500</v>
      </c>
      <c r="BB53" s="536">
        <f>BB96</f>
        <v>54500</v>
      </c>
      <c r="BC53" s="536">
        <f>BC96</f>
        <v>52900</v>
      </c>
      <c r="BD53" s="536">
        <f>BD96</f>
        <v>53900</v>
      </c>
      <c r="BE53" s="536">
        <f>BE96</f>
        <v>54900</v>
      </c>
      <c r="BF53" s="536">
        <f>BE53</f>
        <v>54900</v>
      </c>
      <c r="BG53" s="536">
        <f>BG96</f>
        <v>55100</v>
      </c>
      <c r="BH53" s="536">
        <f>BH96</f>
        <v>56600</v>
      </c>
      <c r="BI53" s="536">
        <f t="shared" ref="BI53:BJ53" si="160">BI96</f>
        <v>55500</v>
      </c>
      <c r="BJ53" s="536">
        <f t="shared" si="160"/>
        <v>56700</v>
      </c>
      <c r="BK53" s="536">
        <f>BJ53</f>
        <v>56700</v>
      </c>
      <c r="BL53" s="536">
        <f>BL96</f>
        <v>55490</v>
      </c>
      <c r="BM53" s="536">
        <f>BM96</f>
        <v>55670</v>
      </c>
      <c r="BN53" s="536">
        <f>BN96</f>
        <v>56880</v>
      </c>
      <c r="BO53" s="536">
        <f>'[17]Indonesian mobile model'!CD$17</f>
        <v>57890</v>
      </c>
      <c r="BP53" s="536">
        <f>'[17]Indonesian mobile model'!CE$17</f>
        <v>57890</v>
      </c>
      <c r="BQ53" s="536">
        <f>BQ96</f>
        <v>56010</v>
      </c>
      <c r="BR53" s="536">
        <f>BR96</f>
        <v>56770</v>
      </c>
      <c r="BS53" s="536">
        <f>BS96</f>
        <v>57980</v>
      </c>
      <c r="BT53" s="536">
        <f>BT96</f>
        <v>57910</v>
      </c>
      <c r="BU53" s="536">
        <f>'[17]Indonesian mobile model'!CJ$17</f>
        <v>57910</v>
      </c>
      <c r="BV53" s="536">
        <f>BV96</f>
        <v>57000</v>
      </c>
      <c r="BW53" s="536">
        <f t="shared" ref="BW53:BX53" si="161">BW96</f>
        <v>57230</v>
      </c>
      <c r="BX53" s="536">
        <f t="shared" si="161"/>
        <v>57400</v>
      </c>
      <c r="BY53" s="536">
        <f t="shared" ref="BY53" si="162">BY96</f>
        <v>57500</v>
      </c>
      <c r="BZ53" s="536">
        <f>'[17]Indonesian mobile model'!CO17</f>
        <v>57500</v>
      </c>
      <c r="CA53" s="536">
        <f>CA96</f>
        <v>57900</v>
      </c>
      <c r="CB53" s="536">
        <f>CB96</f>
        <v>58000</v>
      </c>
      <c r="CC53" s="536">
        <f>CC96</f>
        <v>57500</v>
      </c>
      <c r="CD53" s="536">
        <f>CD96</f>
        <v>57500</v>
      </c>
      <c r="CE53" s="536">
        <f>'[17]Indonesian mobile model'!CT17</f>
        <v>57500</v>
      </c>
      <c r="CF53" s="536">
        <f>'[18]Indonesian mobile'!CU17</f>
        <v>57600</v>
      </c>
      <c r="CG53" s="536">
        <f>'[18]Indonesian mobile'!CV17</f>
        <v>58500</v>
      </c>
      <c r="CH53" s="536">
        <f>'[18]Indonesian mobile'!CW17</f>
        <v>58600</v>
      </c>
      <c r="CI53" s="536">
        <f>'[18]Indonesian mobile'!CX17</f>
        <v>58800</v>
      </c>
      <c r="CJ53" s="536">
        <f>'[18]Indonesian mobile'!CY17</f>
        <v>58800</v>
      </c>
      <c r="CK53" s="1331">
        <f>CK96</f>
        <v>58900</v>
      </c>
      <c r="CL53" s="1331">
        <f>CL96</f>
        <v>82600</v>
      </c>
      <c r="CM53" s="1331">
        <f>CM96</f>
        <v>79600</v>
      </c>
      <c r="CN53" s="1331"/>
      <c r="CO53" s="536">
        <v>82771.271720245146</v>
      </c>
      <c r="CP53" s="536">
        <v>83969.257163598711</v>
      </c>
      <c r="CQ53" s="536">
        <v>85182.942914061918</v>
      </c>
      <c r="CR53" s="536">
        <v>86412.523357124315</v>
      </c>
      <c r="CS53" s="536">
        <v>87658.195197739857</v>
      </c>
      <c r="CT53" s="536">
        <v>88920.15748729551</v>
      </c>
      <c r="CU53" s="364"/>
      <c r="CV53" s="1362"/>
      <c r="CW53" s="364"/>
      <c r="CX53" s="364"/>
      <c r="CY53" s="364"/>
      <c r="CZ53" s="364"/>
      <c r="DA53" s="364"/>
      <c r="DL53" s="364"/>
      <c r="DM53" s="681"/>
      <c r="DN53" s="681"/>
    </row>
    <row r="54" spans="1:120">
      <c r="B54" s="347" t="s">
        <v>205</v>
      </c>
      <c r="C54" s="534">
        <f>SUM('[17]Indonesian mobile model'!R$18:R$19)</f>
        <v>2039</v>
      </c>
      <c r="D54" s="534">
        <f>SUM('[17]Indonesian mobile model'!S$18:S$19)</f>
        <v>2331</v>
      </c>
      <c r="E54" s="534">
        <f>SUM('[17]Indonesian mobile model'!T$18:T$19)</f>
        <v>3703</v>
      </c>
      <c r="F54" s="534">
        <f>SUM('[17]Indonesian mobile model'!U$18:U$19)</f>
        <v>4644</v>
      </c>
      <c r="G54" s="534">
        <f>SUM('[17]Indonesian mobile model'!V$18:V$19)</f>
        <v>5841</v>
      </c>
      <c r="H54" s="534">
        <f>SUM('[17]Indonesian mobile model'!W$18:W$19)</f>
        <v>5841</v>
      </c>
      <c r="I54" s="534">
        <f>SUM('[17]Indonesian mobile model'!X$18:X$19)</f>
        <v>6600</v>
      </c>
      <c r="J54" s="534">
        <f>SUM('[17]Indonesian mobile model'!Y$18:Y$19)</f>
        <v>8300</v>
      </c>
      <c r="K54" s="534">
        <f>SUM('[17]Indonesian mobile model'!Z$18:Z$19)</f>
        <v>9611</v>
      </c>
      <c r="L54" s="534">
        <f>SUM('[17]Indonesian mobile model'!AA$18:AA$19)</f>
        <v>11229</v>
      </c>
      <c r="M54" s="534">
        <f>SUM('[17]Indonesian mobile model'!AB$18:AB$19)</f>
        <v>11229</v>
      </c>
      <c r="N54" s="534">
        <f>SUM('[17]Indonesian mobile model'!AC$18:AC$19)</f>
        <v>12000</v>
      </c>
      <c r="O54" s="534">
        <f>SUM('[17]Indonesian mobile model'!AD$18:AD$19)</f>
        <v>14000</v>
      </c>
      <c r="P54" s="534">
        <f>SUM('[17]Indonesian mobile model'!AE$18:AE$19)</f>
        <v>16000</v>
      </c>
      <c r="Q54" s="534" t="e">
        <f>SUM('[17]Indonesian mobile model'!AF$18:AF$19)</f>
        <v>#REF!</v>
      </c>
      <c r="R54" s="534">
        <f>SUM('[17]Indonesian mobile model'!AG$18:AG$19)</f>
        <v>14951.085695536472</v>
      </c>
      <c r="S54" s="534" t="e">
        <f>SUM('[17]Indonesian mobile model'!AH$18:AH$19)</f>
        <v>#REF!</v>
      </c>
      <c r="T54" s="534" t="e">
        <f>SUM('[17]Indonesian mobile model'!AI$18:AI$19)</f>
        <v>#REF!</v>
      </c>
      <c r="U54" s="534" t="e">
        <f>SUM('[17]Indonesian mobile model'!AJ$18:AJ$19)</f>
        <v>#REF!</v>
      </c>
      <c r="V54" s="534" t="e">
        <f>SUM('[17]Indonesian mobile model'!AK$18:AK$19)</f>
        <v>#REF!</v>
      </c>
      <c r="W54" s="534">
        <f>SUM('[17]Indonesian mobile model'!AL$18:AL$19)</f>
        <v>18412.59831848419</v>
      </c>
      <c r="X54" s="534" t="e">
        <f>SUM('[17]Indonesian mobile model'!AM$18:AM$19)</f>
        <v>#REF!</v>
      </c>
      <c r="Y54" s="534" t="e">
        <f>SUM('[17]Indonesian mobile model'!AN$18:AN$19)</f>
        <v>#REF!</v>
      </c>
      <c r="Z54" s="534" t="e">
        <f>SUM('[17]Indonesian mobile model'!AO$18:AO$19)</f>
        <v>#REF!</v>
      </c>
      <c r="AA54" s="534" t="e">
        <f>SUM('[17]Indonesian mobile model'!AP$18:AP$19)</f>
        <v>#REF!</v>
      </c>
      <c r="AB54" s="534">
        <f>SUM('[17]Indonesian mobile model'!AQ$18:AQ$19)</f>
        <v>20314.65045482037</v>
      </c>
      <c r="AC54" s="534" t="e">
        <f>SUM('[17]Indonesian mobile model'!AR$18:AR$19)</f>
        <v>#REF!</v>
      </c>
      <c r="AD54" s="534" t="e">
        <f>SUM('[17]Indonesian mobile model'!AS$18:AS$19)</f>
        <v>#REF!</v>
      </c>
      <c r="AE54" s="534" t="e">
        <f>SUM('[17]Indonesian mobile model'!AT$18:AT$19)</f>
        <v>#REF!</v>
      </c>
      <c r="AF54" s="534" t="e">
        <f>SUM('[17]Indonesian mobile model'!AU$18:AU$19)</f>
        <v>#REF!</v>
      </c>
      <c r="AG54" s="534">
        <f>SUM('[17]Indonesian mobile model'!AV$18:AV$19)</f>
        <v>23870.927877833074</v>
      </c>
      <c r="AH54" s="534" t="e">
        <f>SUM('[17]Indonesian mobile model'!AW$18:AW$19)</f>
        <v>#REF!</v>
      </c>
      <c r="AI54" s="534" t="e">
        <f>SUM('[17]Indonesian mobile model'!AX$18:AX$19)</f>
        <v>#REF!</v>
      </c>
      <c r="AJ54" s="534" t="e">
        <f>SUM('[17]Indonesian mobile model'!AY$18:AY$19)</f>
        <v>#REF!</v>
      </c>
      <c r="AK54" s="534" t="e">
        <f>SUM('[17]Indonesian mobile model'!AZ$18:AZ$19)</f>
        <v>#REF!</v>
      </c>
      <c r="AL54" s="534">
        <f>SUM('[17]Indonesian mobile model'!BA$18:BA$19)</f>
        <v>22778.516925485197</v>
      </c>
      <c r="AM54" s="534" t="e">
        <f>SUM('[17]Indonesian mobile model'!BB$18:BB$19)</f>
        <v>#REF!</v>
      </c>
      <c r="AN54" s="534" t="e">
        <f>SUM('[17]Indonesian mobile model'!BC$18:BC$19)</f>
        <v>#REF!</v>
      </c>
      <c r="AO54" s="534" t="e">
        <f>SUM('[17]Indonesian mobile model'!BD$18:BD$19)</f>
        <v>#REF!</v>
      </c>
      <c r="AP54" s="534" t="e">
        <f>SUM('[17]Indonesian mobile model'!BE$18:BE$19)</f>
        <v>#REF!</v>
      </c>
      <c r="AQ54" s="534">
        <f>SUM('[17]Indonesian mobile model'!BF$18:BF$19)</f>
        <v>16001.809501838876</v>
      </c>
      <c r="AR54" s="534" t="e">
        <f>SUM('[17]Indonesian mobile model'!BG$18:BG$19)</f>
        <v>#REF!</v>
      </c>
      <c r="AS54" s="534" t="e">
        <f>SUM('[17]Indonesian mobile model'!BH$18:BH$19)</f>
        <v>#REF!</v>
      </c>
      <c r="AT54" s="534" t="e">
        <f>SUM('[17]Indonesian mobile model'!BI$18:BI$19)</f>
        <v>#REF!</v>
      </c>
      <c r="AU54" s="534" t="e">
        <f>SUM('[17]Indonesian mobile model'!BJ$18:BJ$19)</f>
        <v>#REF!</v>
      </c>
      <c r="AV54" s="534">
        <f>SUM('[17]Indonesian mobile model'!BK$18:BK$19)</f>
        <v>22800</v>
      </c>
      <c r="AW54" s="534"/>
      <c r="AX54" s="534"/>
      <c r="AY54" s="534"/>
      <c r="AZ54" s="534"/>
      <c r="BA54" s="534" t="e">
        <f>SUM('[17]Indonesian mobile model'!BP$18:BP$19)</f>
        <v>#REF!</v>
      </c>
      <c r="BB54" s="534"/>
      <c r="BC54" s="534"/>
      <c r="BD54" s="534"/>
      <c r="BE54" s="534"/>
      <c r="BF54" s="534" t="e">
        <f>SUM('[17]Indonesian mobile model'!BU$18:BU$19)</f>
        <v>#REF!</v>
      </c>
      <c r="BG54" s="534"/>
      <c r="BH54" s="534"/>
      <c r="BI54" s="534"/>
      <c r="BJ54" s="534"/>
      <c r="BK54" s="534" t="e">
        <f>SUM('[17]Indonesian mobile model'!BZ$18:BZ$19)</f>
        <v>#REF!</v>
      </c>
      <c r="BL54" s="534"/>
      <c r="BM54" s="534"/>
      <c r="BN54" s="534"/>
      <c r="BO54" s="535"/>
      <c r="BP54" s="534" t="e">
        <f>SUM('[17]Indonesian mobile model'!CE$18:CE$19)</f>
        <v>#REF!</v>
      </c>
      <c r="BQ54" s="534"/>
      <c r="BR54" s="534"/>
      <c r="BS54" s="534"/>
      <c r="BT54" s="534"/>
      <c r="BU54" s="534" t="e">
        <f>SUM('[17]Indonesian mobile model'!CF$18:CF$19)</f>
        <v>#REF!</v>
      </c>
      <c r="BV54" s="534"/>
      <c r="BW54" s="534"/>
      <c r="BX54" s="534"/>
      <c r="BY54" s="534"/>
      <c r="BZ54" s="534">
        <f>BZ55-SUM(BZ51:BZ53)</f>
        <v>36128.713919999951</v>
      </c>
      <c r="CA54" s="534"/>
      <c r="CB54" s="534"/>
      <c r="CC54" s="534"/>
      <c r="CD54" s="534"/>
      <c r="CE54" s="534">
        <f>CE55-SUM(CE51:CE53)</f>
        <v>41024.65086463996</v>
      </c>
      <c r="CF54" s="534"/>
      <c r="CG54" s="534"/>
      <c r="CH54" s="534"/>
      <c r="CI54" s="534"/>
      <c r="CJ54" s="534">
        <f t="shared" ref="CJ54" si="163">CJ55-SUM(CJ51:CJ53)</f>
        <v>48123.365005803586</v>
      </c>
      <c r="CK54" s="534"/>
      <c r="CL54" s="534"/>
      <c r="CM54" s="534"/>
      <c r="CN54" s="534"/>
      <c r="CO54" s="534">
        <v>25223.893096376618</v>
      </c>
      <c r="CP54" s="534">
        <v>25108.451185144891</v>
      </c>
      <c r="CQ54" s="534">
        <v>24988.160383169481</v>
      </c>
      <c r="CR54" s="534">
        <v>24862.93507955852</v>
      </c>
      <c r="CS54" s="534">
        <v>24732.688434312236</v>
      </c>
      <c r="CT54" s="534">
        <v>24597.332362284302</v>
      </c>
      <c r="CU54" s="347"/>
      <c r="CV54" s="1363"/>
      <c r="CW54" s="347"/>
      <c r="CX54" s="347"/>
      <c r="CY54" s="347"/>
      <c r="CZ54" s="347"/>
      <c r="DA54" s="347"/>
      <c r="DL54" s="347"/>
      <c r="DM54" s="348"/>
      <c r="DN54" s="348"/>
    </row>
    <row r="55" spans="1:120">
      <c r="B55" s="526" t="s">
        <v>6</v>
      </c>
      <c r="C55" s="526">
        <f>C47*C49</f>
        <v>81031.074600000007</v>
      </c>
      <c r="D55" s="526"/>
      <c r="E55" s="526"/>
      <c r="F55" s="526"/>
      <c r="G55" s="526"/>
      <c r="H55" s="526">
        <f>H47*H49</f>
        <v>133657</v>
      </c>
      <c r="I55" s="526"/>
      <c r="J55" s="526"/>
      <c r="K55" s="526"/>
      <c r="L55" s="526"/>
      <c r="M55" s="526">
        <f>M47*M49</f>
        <v>154845.46027315198</v>
      </c>
      <c r="N55" s="526"/>
      <c r="O55" s="526"/>
      <c r="P55" s="526"/>
      <c r="Q55" s="526"/>
      <c r="R55" s="526">
        <f>R47*R49</f>
        <v>195467</v>
      </c>
      <c r="S55" s="526"/>
      <c r="T55" s="526"/>
      <c r="U55" s="526"/>
      <c r="V55" s="526"/>
      <c r="W55" s="526">
        <f>W47*W49</f>
        <v>225951.80177076135</v>
      </c>
      <c r="X55" s="526"/>
      <c r="Y55" s="526"/>
      <c r="Z55" s="526"/>
      <c r="AA55" s="526"/>
      <c r="AB55" s="526">
        <f>AB47*AB49</f>
        <v>249293</v>
      </c>
      <c r="AC55" s="526"/>
      <c r="AD55" s="526"/>
      <c r="AE55" s="526"/>
      <c r="AF55" s="526"/>
      <c r="AG55" s="526">
        <f>AG47*AG49</f>
        <v>275483.92787783308</v>
      </c>
      <c r="AH55" s="526"/>
      <c r="AI55" s="526"/>
      <c r="AJ55" s="526"/>
      <c r="AK55" s="526"/>
      <c r="AL55" s="526">
        <f>AL47*AL49</f>
        <v>284927.51692548522</v>
      </c>
      <c r="AM55" s="526"/>
      <c r="AN55" s="526"/>
      <c r="AO55" s="526"/>
      <c r="AP55" s="526"/>
      <c r="AQ55" s="526">
        <f>AQ47*AQ49</f>
        <v>280342.80950183887</v>
      </c>
      <c r="AR55" s="526"/>
      <c r="AS55" s="526"/>
      <c r="AT55" s="526"/>
      <c r="AU55" s="526"/>
      <c r="AV55" s="526">
        <f>AV47*AV49</f>
        <v>328874</v>
      </c>
      <c r="AW55" s="526"/>
      <c r="AX55" s="526"/>
      <c r="AY55" s="526"/>
      <c r="AZ55" s="526"/>
      <c r="BA55" s="526">
        <f>BA47*BA49</f>
        <v>360000</v>
      </c>
      <c r="BB55" s="526"/>
      <c r="BC55" s="526"/>
      <c r="BD55" s="526"/>
      <c r="BE55" s="526"/>
      <c r="BF55" s="526">
        <f>BF47*BF49</f>
        <v>275888</v>
      </c>
      <c r="BG55" s="526"/>
      <c r="BH55" s="526"/>
      <c r="BI55" s="526"/>
      <c r="BJ55" s="526"/>
      <c r="BK55" s="526">
        <f t="shared" ref="BK55:BU55" si="164">BK47*BK49</f>
        <v>280645.54255209211</v>
      </c>
      <c r="BL55" s="526"/>
      <c r="BM55" s="526"/>
      <c r="BN55" s="526"/>
      <c r="BO55" s="526"/>
      <c r="BP55" s="526">
        <f t="shared" ref="BP55" si="165">BP47*BP49</f>
        <v>291504.41561942664</v>
      </c>
      <c r="BQ55" s="526"/>
      <c r="BR55" s="526"/>
      <c r="BS55" s="526"/>
      <c r="BT55" s="526"/>
      <c r="BU55" s="526">
        <f t="shared" si="164"/>
        <v>330787</v>
      </c>
      <c r="BV55" s="1332"/>
      <c r="BW55" s="1332"/>
      <c r="BX55" s="1332"/>
      <c r="BY55" s="1332"/>
      <c r="BZ55" s="1332">
        <f>'[18]Indonesian mobile'!CO21</f>
        <v>352641.71391999995</v>
      </c>
      <c r="CA55" s="1332"/>
      <c r="CB55" s="1332"/>
      <c r="CC55" s="1332"/>
      <c r="CD55" s="1332"/>
      <c r="CE55" s="1332">
        <f>'[18]Indonesian mobile'!CT21</f>
        <v>356664.65086463996</v>
      </c>
      <c r="CF55" s="1332"/>
      <c r="CG55" s="1332"/>
      <c r="CH55" s="1332"/>
      <c r="CI55" s="1332"/>
      <c r="CJ55" s="1332">
        <f>'[18]Indonesian mobile'!CY21</f>
        <v>361012.36500580359</v>
      </c>
      <c r="CK55" s="1332"/>
      <c r="CL55" s="1332"/>
      <c r="CM55" s="1332"/>
      <c r="CN55" s="1332"/>
      <c r="CO55" s="1332">
        <v>364631.15295262181</v>
      </c>
      <c r="CP55" s="1332">
        <v>368286.21562981891</v>
      </c>
      <c r="CQ55" s="1332">
        <v>371977.91665529221</v>
      </c>
      <c r="CR55" s="1332">
        <v>375706.62329184485</v>
      </c>
      <c r="CS55" s="1332">
        <v>379472.70648372232</v>
      </c>
      <c r="CT55" s="1332">
        <v>383276.54089351511</v>
      </c>
      <c r="CU55" s="347"/>
      <c r="CV55" s="1363"/>
      <c r="CW55" s="347"/>
      <c r="CX55" s="347"/>
      <c r="CY55" s="347"/>
      <c r="CZ55" s="356"/>
      <c r="DA55" s="356"/>
      <c r="DB55" s="356"/>
      <c r="DC55" s="356"/>
      <c r="DD55" s="356"/>
      <c r="DE55" s="356"/>
      <c r="DF55" s="356"/>
      <c r="DG55" s="356"/>
      <c r="DH55" s="356"/>
      <c r="DI55" s="356"/>
      <c r="DJ55" s="356"/>
    </row>
    <row r="56" spans="1:120">
      <c r="B56" s="393" t="s">
        <v>9</v>
      </c>
      <c r="C56" s="353"/>
      <c r="D56" s="353"/>
      <c r="E56" s="353"/>
      <c r="F56" s="353"/>
      <c r="G56" s="353"/>
      <c r="H56" s="353">
        <f>H55/C55-1</f>
        <v>0.64945362825041419</v>
      </c>
      <c r="I56" s="353"/>
      <c r="J56" s="353"/>
      <c r="K56" s="353"/>
      <c r="L56" s="353"/>
      <c r="M56" s="353">
        <f>M55/H55-1</f>
        <v>0.15852862381433064</v>
      </c>
      <c r="N56" s="353"/>
      <c r="O56" s="353"/>
      <c r="P56" s="353"/>
      <c r="Q56" s="353"/>
      <c r="R56" s="353">
        <f>R55/M55-1</f>
        <v>0.26233600684960612</v>
      </c>
      <c r="S56" s="353"/>
      <c r="T56" s="353"/>
      <c r="U56" s="353"/>
      <c r="V56" s="353"/>
      <c r="W56" s="353">
        <f>W55/R55-1</f>
        <v>0.15595881540496026</v>
      </c>
      <c r="X56" s="353"/>
      <c r="Y56" s="353"/>
      <c r="Z56" s="353"/>
      <c r="AA56" s="353"/>
      <c r="AB56" s="353">
        <f>AB55/W55-1</f>
        <v>0.103301668967966</v>
      </c>
      <c r="AC56" s="353"/>
      <c r="AD56" s="353"/>
      <c r="AE56" s="353"/>
      <c r="AF56" s="353"/>
      <c r="AG56" s="353">
        <f>AG55/AB55-1</f>
        <v>0.10506082352024748</v>
      </c>
      <c r="AH56" s="353"/>
      <c r="AI56" s="353"/>
      <c r="AJ56" s="353"/>
      <c r="AK56" s="353"/>
      <c r="AL56" s="353">
        <f>AL55/AG55-1</f>
        <v>3.4280000000000088E-2</v>
      </c>
      <c r="AM56" s="353"/>
      <c r="AN56" s="353"/>
      <c r="AO56" s="353"/>
      <c r="AP56" s="353"/>
      <c r="AQ56" s="353">
        <f>AQ55/AL55-1</f>
        <v>-1.6090785028830212E-2</v>
      </c>
      <c r="AR56" s="353"/>
      <c r="AS56" s="353"/>
      <c r="AT56" s="353"/>
      <c r="AU56" s="353"/>
      <c r="AV56" s="353">
        <f>AV55/AQ55-1</f>
        <v>0.17311373380469308</v>
      </c>
      <c r="AW56" s="353"/>
      <c r="AX56" s="353"/>
      <c r="AY56" s="353"/>
      <c r="AZ56" s="353"/>
      <c r="BA56" s="353">
        <f>BA55/AV55-1</f>
        <v>9.4644149431089009E-2</v>
      </c>
      <c r="BB56" s="353"/>
      <c r="BC56" s="353"/>
      <c r="BD56" s="353"/>
      <c r="BE56" s="353"/>
      <c r="BF56" s="353">
        <f>BF55/BA55-1</f>
        <v>-0.23364444444444443</v>
      </c>
      <c r="BG56" s="353"/>
      <c r="BH56" s="353"/>
      <c r="BI56" s="353"/>
      <c r="BJ56" s="353"/>
      <c r="BK56" s="353">
        <f>BK55/BF55-1</f>
        <v>1.7244470771081488E-2</v>
      </c>
      <c r="BL56" s="353"/>
      <c r="BM56" s="353"/>
      <c r="BN56" s="353"/>
      <c r="BO56" s="353"/>
      <c r="BP56" s="353">
        <f>BP55/BK55-1</f>
        <v>3.8692483652466914E-2</v>
      </c>
      <c r="BQ56" s="353"/>
      <c r="BR56" s="353"/>
      <c r="BS56" s="353"/>
      <c r="BT56" s="353"/>
      <c r="BU56" s="353">
        <f>BU55/BP55-1</f>
        <v>0.13475811094353607</v>
      </c>
      <c r="BV56" s="353"/>
      <c r="BW56" s="353"/>
      <c r="BX56" s="353"/>
      <c r="BY56" s="353"/>
      <c r="BZ56" s="353">
        <f>BZ55/BU55-1</f>
        <v>6.6068841641297782E-2</v>
      </c>
      <c r="CA56" s="353"/>
      <c r="CB56" s="353"/>
      <c r="CC56" s="353"/>
      <c r="CD56" s="353"/>
      <c r="CE56" s="353">
        <f>CE55/BZ55-1</f>
        <v>1.1408000772003435E-2</v>
      </c>
      <c r="CF56" s="353"/>
      <c r="CG56" s="353"/>
      <c r="CH56" s="353"/>
      <c r="CI56" s="353"/>
      <c r="CJ56" s="353">
        <f>CJ55/CE55-1</f>
        <v>1.2189921627006495E-2</v>
      </c>
      <c r="CK56" s="353"/>
      <c r="CL56" s="353"/>
      <c r="CM56" s="353"/>
      <c r="CN56" s="353"/>
      <c r="CO56" s="353">
        <f>CO55/CJ55-1</f>
        <v>1.0024000000000033E-2</v>
      </c>
      <c r="CP56" s="353">
        <f t="shared" ref="CP56:CR56" si="166">CP55/CO55-1</f>
        <v>1.0024000000000033E-2</v>
      </c>
      <c r="CQ56" s="353">
        <f t="shared" si="166"/>
        <v>1.0024000000000033E-2</v>
      </c>
      <c r="CR56" s="353">
        <f t="shared" si="166"/>
        <v>1.0024000000000033E-2</v>
      </c>
      <c r="CS56" s="353">
        <f t="shared" ref="CS56" si="167">CS55/CR55-1</f>
        <v>1.0024000000000033E-2</v>
      </c>
      <c r="CT56" s="353">
        <f t="shared" ref="CT56" si="168">CT55/CS55-1</f>
        <v>1.0023999999999811E-2</v>
      </c>
      <c r="CU56" s="394"/>
      <c r="CV56" s="1367"/>
      <c r="CW56" s="394"/>
      <c r="CX56" s="394"/>
      <c r="CY56" s="395"/>
      <c r="CZ56" s="356"/>
      <c r="DA56" s="356"/>
      <c r="DB56" s="356"/>
      <c r="DC56" s="356"/>
      <c r="DD56" s="356"/>
      <c r="DE56" s="356"/>
      <c r="DF56" s="356"/>
      <c r="DG56" s="356"/>
      <c r="DH56" s="356"/>
      <c r="DI56" s="356"/>
      <c r="DJ56" s="356"/>
    </row>
    <row r="57" spans="1:120">
      <c r="B57" s="381"/>
      <c r="C57" s="396"/>
      <c r="D57" s="396"/>
      <c r="E57" s="396"/>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76"/>
      <c r="AH57" s="376"/>
      <c r="AI57" s="376"/>
      <c r="AJ57" s="376"/>
      <c r="AK57" s="376"/>
      <c r="AL57" s="380"/>
      <c r="AM57" s="380"/>
      <c r="AN57" s="380"/>
      <c r="AO57" s="380"/>
      <c r="AP57" s="380"/>
      <c r="AQ57" s="347"/>
      <c r="AR57" s="347"/>
      <c r="AS57" s="347"/>
      <c r="AT57" s="347"/>
      <c r="AU57" s="347"/>
      <c r="AV57" s="347"/>
      <c r="AW57" s="347"/>
      <c r="AX57" s="347"/>
      <c r="AY57" s="347"/>
      <c r="AZ57" s="347"/>
      <c r="BA57" s="347"/>
      <c r="BB57" s="347"/>
      <c r="BC57" s="347"/>
      <c r="BD57" s="347"/>
      <c r="BE57" s="347"/>
      <c r="BF57" s="347"/>
      <c r="BG57" s="347"/>
      <c r="BH57" s="347"/>
      <c r="BI57" s="347"/>
      <c r="BJ57" s="347"/>
      <c r="BK57" s="347"/>
      <c r="BL57" s="347"/>
      <c r="BM57" s="347"/>
      <c r="BN57" s="347"/>
      <c r="BO57" s="347"/>
      <c r="BP57" s="347"/>
      <c r="BQ57" s="347"/>
      <c r="BR57" s="347"/>
      <c r="BS57" s="347"/>
      <c r="BT57" s="347"/>
      <c r="BU57" s="347"/>
      <c r="BV57" s="347"/>
      <c r="BW57" s="347"/>
      <c r="BX57" s="347"/>
      <c r="BY57" s="347"/>
      <c r="BZ57" s="347"/>
      <c r="CA57" s="347"/>
      <c r="CB57" s="347"/>
      <c r="CC57" s="347"/>
      <c r="CD57" s="347"/>
      <c r="CE57" s="353">
        <f>CE53/BZ53-1</f>
        <v>0</v>
      </c>
      <c r="CF57" s="347"/>
      <c r="CG57" s="347"/>
      <c r="CH57" s="347"/>
      <c r="CI57" s="347"/>
      <c r="CJ57" s="353">
        <f>CJ53/CE53-1</f>
        <v>2.2608695652173827E-2</v>
      </c>
      <c r="CK57" s="347"/>
      <c r="CL57" s="347">
        <f>CO53-CL53</f>
        <v>171.27172024514584</v>
      </c>
      <c r="CM57" s="347">
        <f>CP53-CM53</f>
        <v>4369.2571635987115</v>
      </c>
      <c r="CN57" s="347"/>
      <c r="CO57" s="353">
        <f>CO53/CJ53-1</f>
        <v>0.4076746891198153</v>
      </c>
      <c r="CP57" s="353">
        <f t="shared" ref="CP57:CT57" si="169">CP53/CO53-1</f>
        <v>1.4473444933920776E-2</v>
      </c>
      <c r="CQ57" s="353">
        <f t="shared" si="169"/>
        <v>1.4453929824561396E-2</v>
      </c>
      <c r="CR57" s="353">
        <f t="shared" si="169"/>
        <v>1.4434585152838464E-2</v>
      </c>
      <c r="CS57" s="353">
        <f t="shared" si="169"/>
        <v>1.4415408695652276E-2</v>
      </c>
      <c r="CT57" s="353">
        <f t="shared" si="169"/>
        <v>1.4396398268398114E-2</v>
      </c>
      <c r="CU57" s="347"/>
      <c r="CV57" s="1363"/>
      <c r="CW57" s="347"/>
      <c r="CX57" s="347"/>
      <c r="CY57" s="397"/>
      <c r="CZ57" s="356"/>
      <c r="DA57" s="356"/>
      <c r="DB57" s="356"/>
      <c r="DC57" s="356"/>
      <c r="DD57" s="356"/>
      <c r="DE57" s="356"/>
      <c r="DF57" s="356"/>
      <c r="DG57" s="356"/>
      <c r="DH57" s="356"/>
      <c r="DI57" s="356"/>
      <c r="DJ57" s="356"/>
    </row>
    <row r="58" spans="1:120">
      <c r="B58" s="385" t="s">
        <v>12</v>
      </c>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c r="AA58" s="398"/>
      <c r="AB58" s="398"/>
      <c r="AC58" s="398"/>
      <c r="AD58" s="398"/>
      <c r="AE58" s="398"/>
      <c r="AF58" s="398"/>
      <c r="AG58" s="398"/>
      <c r="AH58" s="398"/>
      <c r="AI58" s="398"/>
      <c r="AJ58" s="398"/>
      <c r="AK58" s="398"/>
      <c r="AL58" s="398"/>
      <c r="AM58" s="398"/>
      <c r="AN58" s="398"/>
      <c r="AO58" s="398"/>
      <c r="AP58" s="398"/>
      <c r="AQ58" s="398"/>
      <c r="AR58" s="398"/>
      <c r="AS58" s="398"/>
      <c r="AT58" s="398"/>
      <c r="AU58" s="398"/>
      <c r="AV58" s="398"/>
      <c r="AW58" s="398"/>
      <c r="AX58" s="398"/>
      <c r="AY58" s="398"/>
      <c r="AZ58" s="398"/>
      <c r="BA58" s="398"/>
      <c r="BB58" s="398"/>
      <c r="BC58" s="398"/>
      <c r="BD58" s="398"/>
      <c r="BE58" s="398"/>
      <c r="BF58" s="398"/>
      <c r="BG58" s="398"/>
      <c r="BH58" s="398"/>
      <c r="BI58" s="398"/>
      <c r="BJ58" s="398"/>
      <c r="BK58" s="398"/>
      <c r="BL58" s="398"/>
      <c r="BM58" s="398"/>
      <c r="BN58" s="398"/>
      <c r="BO58" s="398"/>
      <c r="BP58" s="398"/>
      <c r="BQ58" s="398"/>
      <c r="BR58" s="398"/>
      <c r="BS58" s="398"/>
      <c r="BT58" s="398"/>
      <c r="BU58" s="398"/>
      <c r="BV58" s="398"/>
      <c r="BW58" s="398"/>
      <c r="BX58" s="398"/>
      <c r="BY58" s="398"/>
      <c r="BZ58" s="398"/>
      <c r="CA58" s="398"/>
      <c r="CB58" s="398"/>
      <c r="CC58" s="398"/>
      <c r="CD58" s="398"/>
      <c r="CE58" s="398"/>
      <c r="CF58" s="398"/>
      <c r="CG58" s="398"/>
      <c r="CH58" s="398"/>
      <c r="CI58" s="398"/>
      <c r="CJ58" s="398"/>
      <c r="CK58" s="398"/>
      <c r="CL58" s="398"/>
      <c r="CM58" s="398"/>
      <c r="CN58" s="398"/>
      <c r="CO58" s="398"/>
      <c r="CP58" s="398"/>
      <c r="CQ58" s="398"/>
      <c r="CR58" s="398"/>
      <c r="CS58" s="398"/>
      <c r="CT58" s="398"/>
      <c r="CU58" s="347"/>
      <c r="CV58" s="1363"/>
      <c r="CW58" s="347"/>
      <c r="CX58" s="347"/>
      <c r="CY58" s="347"/>
      <c r="CZ58" s="347"/>
      <c r="DA58" s="347"/>
    </row>
    <row r="59" spans="1:120">
      <c r="B59" s="347" t="s">
        <v>510</v>
      </c>
      <c r="C59" s="351"/>
      <c r="D59" s="351"/>
      <c r="E59" s="351"/>
      <c r="F59" s="351"/>
      <c r="G59" s="351"/>
      <c r="H59" s="351">
        <f>H51-C51</f>
        <v>18183</v>
      </c>
      <c r="I59" s="351"/>
      <c r="J59" s="351"/>
      <c r="K59" s="351"/>
      <c r="L59" s="351"/>
      <c r="M59" s="351">
        <f>M51-H51</f>
        <v>16344</v>
      </c>
      <c r="N59" s="351"/>
      <c r="O59" s="351"/>
      <c r="P59" s="351"/>
      <c r="Q59" s="351"/>
      <c r="R59" s="351">
        <f>R51-M51</f>
        <v>-82230.037523939493</v>
      </c>
      <c r="S59" s="351"/>
      <c r="T59" s="351"/>
      <c r="U59" s="351"/>
      <c r="V59" s="351"/>
      <c r="W59" s="351">
        <f>W51-R51</f>
        <v>108160.87695000182</v>
      </c>
      <c r="X59" s="351"/>
      <c r="Y59" s="351"/>
      <c r="Z59" s="351"/>
      <c r="AA59" s="351"/>
      <c r="AB59" s="351">
        <f>AB51-W51</f>
        <v>9893.8166924053075</v>
      </c>
      <c r="AC59" s="351"/>
      <c r="AD59" s="351"/>
      <c r="AE59" s="351"/>
      <c r="AF59" s="351"/>
      <c r="AG59" s="351">
        <f>AG51-AB51</f>
        <v>14044.343881532361</v>
      </c>
      <c r="AH59" s="351"/>
      <c r="AI59" s="351"/>
      <c r="AJ59" s="351"/>
      <c r="AK59" s="351"/>
      <c r="AL59" s="351">
        <f>AL51-AG51</f>
        <v>7836</v>
      </c>
      <c r="AM59" s="351"/>
      <c r="AN59" s="351"/>
      <c r="AO59" s="351"/>
      <c r="AP59" s="351"/>
      <c r="AQ59" s="351">
        <f>AQ51-AL51</f>
        <v>13292</v>
      </c>
      <c r="AR59" s="351"/>
      <c r="AS59" s="351"/>
      <c r="AT59" s="351"/>
      <c r="AU59" s="351"/>
      <c r="AV59" s="351">
        <f>AV51-AQ51</f>
        <v>21279</v>
      </c>
      <c r="AW59" s="351"/>
      <c r="AX59" s="351"/>
      <c r="AY59" s="351"/>
      <c r="AZ59" s="351"/>
      <c r="BA59" s="351">
        <f>BA51-AV51</f>
        <v>22380</v>
      </c>
      <c r="BB59" s="351"/>
      <c r="BC59" s="351"/>
      <c r="BD59" s="351"/>
      <c r="BE59" s="351"/>
      <c r="BF59" s="351">
        <f>BF51-BA51</f>
        <v>-33312</v>
      </c>
      <c r="BG59" s="351"/>
      <c r="BH59" s="351"/>
      <c r="BI59" s="351"/>
      <c r="BJ59" s="351"/>
      <c r="BK59" s="351">
        <f>BK51-BF51</f>
        <v>8117</v>
      </c>
      <c r="BL59" s="351"/>
      <c r="BM59" s="351"/>
      <c r="BN59" s="351"/>
      <c r="BO59" s="351"/>
      <c r="BP59" s="351">
        <f>BP51-BK51</f>
        <v>-1563</v>
      </c>
      <c r="BQ59" s="351"/>
      <c r="BR59" s="351"/>
      <c r="BS59" s="351"/>
      <c r="BT59" s="351"/>
      <c r="BU59" s="351">
        <f>BU51-BP51</f>
        <v>6435</v>
      </c>
      <c r="BV59" s="351"/>
      <c r="BW59" s="351"/>
      <c r="BX59" s="351"/>
      <c r="BY59" s="351"/>
      <c r="BZ59" s="351">
        <f>BZ51-BU51</f>
        <v>-19164</v>
      </c>
      <c r="CA59" s="351"/>
      <c r="CB59" s="351"/>
      <c r="CC59" s="351"/>
      <c r="CD59" s="351"/>
      <c r="CE59" s="351">
        <f>CE51-BZ51</f>
        <v>2527</v>
      </c>
      <c r="CF59" s="351"/>
      <c r="CG59" s="351"/>
      <c r="CH59" s="351"/>
      <c r="CI59" s="351"/>
      <c r="CJ59" s="351">
        <f>CJ51-CE51</f>
        <v>49</v>
      </c>
      <c r="CK59" s="351"/>
      <c r="CL59" s="351"/>
      <c r="CM59" s="351"/>
      <c r="CN59" s="351"/>
      <c r="CO59" s="351">
        <f>CO51-CJ51</f>
        <v>1233.0841830474092</v>
      </c>
      <c r="CP59" s="351">
        <f t="shared" ref="CP59:CR59" si="170">CP51-CO51</f>
        <v>1241.789556221047</v>
      </c>
      <c r="CQ59" s="351">
        <f t="shared" si="170"/>
        <v>1250.5455537071393</v>
      </c>
      <c r="CR59" s="351">
        <f t="shared" si="170"/>
        <v>1259.3523157009331</v>
      </c>
      <c r="CS59" s="351">
        <f t="shared" ref="CS59:CS63" si="171">CS51-CR51</f>
        <v>1268.2099801216682</v>
      </c>
      <c r="CT59" s="351">
        <f t="shared" ref="CT59:CT63" si="172">CT51-CS51</f>
        <v>1277.1186825525656</v>
      </c>
      <c r="CU59" s="347"/>
      <c r="CV59" s="1363"/>
      <c r="CW59" s="347"/>
      <c r="CX59" s="347"/>
      <c r="CY59" s="347"/>
      <c r="CZ59" s="347"/>
      <c r="DA59" s="347"/>
    </row>
    <row r="60" spans="1:120">
      <c r="B60" s="347" t="s">
        <v>511</v>
      </c>
      <c r="C60" s="351"/>
      <c r="D60" s="351"/>
      <c r="E60" s="351"/>
      <c r="F60" s="351"/>
      <c r="G60" s="351"/>
      <c r="H60" s="351">
        <f>H52-C52</f>
        <v>11955</v>
      </c>
      <c r="I60" s="351"/>
      <c r="J60" s="351"/>
      <c r="K60" s="351"/>
      <c r="L60" s="351"/>
      <c r="M60" s="351">
        <f>M52-H52</f>
        <v>-3400</v>
      </c>
      <c r="N60" s="351"/>
      <c r="O60" s="351"/>
      <c r="P60" s="351"/>
      <c r="Q60" s="351"/>
      <c r="R60" s="351">
        <f>R52-M52</f>
        <v>8481.7032601529208</v>
      </c>
      <c r="S60" s="351"/>
      <c r="T60" s="351"/>
      <c r="U60" s="351"/>
      <c r="V60" s="351"/>
      <c r="W60" s="351">
        <f>W52-R52</f>
        <v>12359.780029013818</v>
      </c>
      <c r="X60" s="351"/>
      <c r="Y60" s="351"/>
      <c r="Z60" s="351"/>
      <c r="AA60" s="351"/>
      <c r="AB60" s="351">
        <f>AB52-W52</f>
        <v>6224.847171569847</v>
      </c>
      <c r="AC60" s="351"/>
      <c r="AD60" s="351"/>
      <c r="AE60" s="351"/>
      <c r="AF60" s="351"/>
      <c r="AG60" s="351">
        <f>AG52-AB52</f>
        <v>-566.33046073658625</v>
      </c>
      <c r="AH60" s="351"/>
      <c r="AI60" s="351"/>
      <c r="AJ60" s="351"/>
      <c r="AK60" s="351"/>
      <c r="AL60" s="351">
        <f>AL52-AG52</f>
        <v>3600</v>
      </c>
      <c r="AM60" s="351"/>
      <c r="AN60" s="351"/>
      <c r="AO60" s="351"/>
      <c r="AP60" s="351"/>
      <c r="AQ60" s="351">
        <f>AQ52-AL52</f>
        <v>6500</v>
      </c>
      <c r="AR60" s="351"/>
      <c r="AS60" s="351"/>
      <c r="AT60" s="351"/>
      <c r="AU60" s="351"/>
      <c r="AV60" s="351">
        <f>AV52-AQ52</f>
        <v>15954</v>
      </c>
      <c r="AW60" s="351"/>
      <c r="AX60" s="351"/>
      <c r="AY60" s="351"/>
      <c r="AZ60" s="351"/>
      <c r="BA60" s="351">
        <f>BA52-AV52</f>
        <v>24546</v>
      </c>
      <c r="BB60" s="351"/>
      <c r="BC60" s="351"/>
      <c r="BD60" s="351"/>
      <c r="BE60" s="351"/>
      <c r="BF60" s="351">
        <f>BF52-BA52</f>
        <v>-52200</v>
      </c>
      <c r="BG60" s="351"/>
      <c r="BH60" s="351"/>
      <c r="BI60" s="351"/>
      <c r="BJ60" s="351"/>
      <c r="BK60" s="351">
        <f>BK52-BF52</f>
        <v>1300</v>
      </c>
      <c r="BL60" s="351"/>
      <c r="BM60" s="351"/>
      <c r="BN60" s="351"/>
      <c r="BO60" s="351"/>
      <c r="BP60" s="351">
        <f>BP52-BK52</f>
        <v>1000</v>
      </c>
      <c r="BQ60" s="351"/>
      <c r="BR60" s="351"/>
      <c r="BS60" s="351"/>
      <c r="BT60" s="351"/>
      <c r="BU60" s="351">
        <f>BU52-BP52</f>
        <v>2600</v>
      </c>
      <c r="BV60" s="351"/>
      <c r="BW60" s="351"/>
      <c r="BX60" s="351"/>
      <c r="BY60" s="351"/>
      <c r="BZ60" s="351">
        <f>BZ52-BU52</f>
        <v>39300</v>
      </c>
      <c r="CA60" s="351"/>
      <c r="CB60" s="351"/>
      <c r="CC60" s="351"/>
      <c r="CD60" s="351"/>
      <c r="CE60" s="351">
        <f>CE52-BZ52</f>
        <v>-3400</v>
      </c>
      <c r="CF60" s="351"/>
      <c r="CG60" s="351"/>
      <c r="CH60" s="351"/>
      <c r="CI60" s="351"/>
      <c r="CJ60" s="351">
        <f>CJ52-CE52</f>
        <v>-4100</v>
      </c>
      <c r="CK60" s="351"/>
      <c r="CL60" s="351"/>
      <c r="CM60" s="351"/>
      <c r="CN60" s="351"/>
      <c r="CO60" s="351">
        <f>CO52-CJ52</f>
        <v>1313.903952952649</v>
      </c>
      <c r="CP60" s="351">
        <f t="shared" ref="CP60:CR60" si="173">CP52-CO52</f>
        <v>1330.7295888542139</v>
      </c>
      <c r="CQ60" s="351">
        <f t="shared" si="173"/>
        <v>1347.7605232783681</v>
      </c>
      <c r="CR60" s="351">
        <f t="shared" si="173"/>
        <v>1364.9991814002569</v>
      </c>
      <c r="CS60" s="351">
        <f t="shared" si="171"/>
        <v>1382.4480163864937</v>
      </c>
      <c r="CT60" s="351">
        <f t="shared" si="172"/>
        <v>1400.1095097125362</v>
      </c>
      <c r="CU60" s="347"/>
      <c r="CV60" s="1363"/>
      <c r="CW60" s="347"/>
      <c r="CX60" s="347"/>
      <c r="CY60" s="347"/>
      <c r="CZ60" s="347"/>
      <c r="DA60" s="347"/>
      <c r="DL60" s="399"/>
      <c r="DM60" s="399"/>
      <c r="DN60" s="399"/>
      <c r="DO60" s="399"/>
      <c r="DP60" s="399"/>
    </row>
    <row r="61" spans="1:120">
      <c r="B61" s="347" t="s">
        <v>512</v>
      </c>
      <c r="C61" s="351"/>
      <c r="D61" s="351"/>
      <c r="E61" s="351"/>
      <c r="F61" s="351"/>
      <c r="G61" s="351"/>
      <c r="H61" s="351">
        <f>H53-C53</f>
        <v>10547</v>
      </c>
      <c r="I61" s="351"/>
      <c r="J61" s="351"/>
      <c r="K61" s="351"/>
      <c r="L61" s="351"/>
      <c r="M61" s="351">
        <f>M53-H53</f>
        <v>5084</v>
      </c>
      <c r="N61" s="351"/>
      <c r="O61" s="351"/>
      <c r="P61" s="351"/>
      <c r="Q61" s="351"/>
      <c r="R61" s="351">
        <f>R53-M53</f>
        <v>9300</v>
      </c>
      <c r="S61" s="351"/>
      <c r="T61" s="351"/>
      <c r="U61" s="351"/>
      <c r="V61" s="351"/>
      <c r="W61" s="351">
        <f>W53-R53</f>
        <v>5622.8807370481081</v>
      </c>
      <c r="X61" s="351"/>
      <c r="Y61" s="351"/>
      <c r="Z61" s="351"/>
      <c r="AA61" s="351"/>
      <c r="AB61" s="351">
        <f>AB53-W53</f>
        <v>5311.0938174665716</v>
      </c>
      <c r="AC61" s="351"/>
      <c r="AD61" s="351"/>
      <c r="AE61" s="351"/>
      <c r="AF61" s="351"/>
      <c r="AG61" s="351">
        <f>AG53-AB53</f>
        <v>9166.0254454853202</v>
      </c>
      <c r="AH61" s="351"/>
      <c r="AI61" s="351"/>
      <c r="AJ61" s="351"/>
      <c r="AK61" s="351"/>
      <c r="AL61" s="351">
        <f>AL53-AG53</f>
        <v>-900</v>
      </c>
      <c r="AM61" s="351"/>
      <c r="AN61" s="351"/>
      <c r="AO61" s="351"/>
      <c r="AP61" s="351"/>
      <c r="AQ61" s="351">
        <f>AQ53-AL53</f>
        <v>-17600</v>
      </c>
      <c r="AR61" s="351"/>
      <c r="AS61" s="351"/>
      <c r="AT61" s="351"/>
      <c r="AU61" s="351"/>
      <c r="AV61" s="351">
        <f>AV53-AQ53</f>
        <v>4500</v>
      </c>
      <c r="AW61" s="351"/>
      <c r="AX61" s="351"/>
      <c r="AY61" s="351"/>
      <c r="AZ61" s="351"/>
      <c r="BA61" s="351">
        <f>BA53-AV53</f>
        <v>7000</v>
      </c>
      <c r="BB61" s="351">
        <f>BB53-BA53</f>
        <v>1000</v>
      </c>
      <c r="BC61" s="351">
        <f t="shared" ref="BC61:BE61" si="174">BC53-BB53</f>
        <v>-1600</v>
      </c>
      <c r="BD61" s="351">
        <f t="shared" si="174"/>
        <v>1000</v>
      </c>
      <c r="BE61" s="351">
        <f t="shared" si="174"/>
        <v>1000</v>
      </c>
      <c r="BF61" s="351">
        <f>BF53-BA53</f>
        <v>1400</v>
      </c>
      <c r="BG61" s="351">
        <f>BG53-BF53</f>
        <v>200</v>
      </c>
      <c r="BH61" s="351">
        <f t="shared" ref="BH61:BJ61" si="175">BH53-BG53</f>
        <v>1500</v>
      </c>
      <c r="BI61" s="351">
        <f t="shared" si="175"/>
        <v>-1100</v>
      </c>
      <c r="BJ61" s="351">
        <f t="shared" si="175"/>
        <v>1200</v>
      </c>
      <c r="BK61" s="351">
        <f>BK53-BF53</f>
        <v>1800</v>
      </c>
      <c r="BL61" s="351">
        <f>BL53-BK53</f>
        <v>-1210</v>
      </c>
      <c r="BM61" s="351">
        <f>BM53-BL53</f>
        <v>180</v>
      </c>
      <c r="BN61" s="351">
        <f>BN53-BM53</f>
        <v>1210</v>
      </c>
      <c r="BO61" s="351"/>
      <c r="BP61" s="351">
        <f>BP53-BK53</f>
        <v>1190</v>
      </c>
      <c r="BQ61" s="351">
        <f>BQ53-BP53</f>
        <v>-1880</v>
      </c>
      <c r="BR61" s="351">
        <f>BR53-BQ53</f>
        <v>760</v>
      </c>
      <c r="BS61" s="351">
        <f>BS53-BR53</f>
        <v>1210</v>
      </c>
      <c r="BT61" s="351">
        <f>BT53-BS53</f>
        <v>-70</v>
      </c>
      <c r="BU61" s="351">
        <f>BU53-BP53</f>
        <v>20</v>
      </c>
      <c r="BV61" s="351">
        <f>BV53-BU53</f>
        <v>-910</v>
      </c>
      <c r="BW61" s="351">
        <f t="shared" ref="BW61:BY61" si="176">BW53-BV53</f>
        <v>230</v>
      </c>
      <c r="BX61" s="351">
        <f t="shared" si="176"/>
        <v>170</v>
      </c>
      <c r="BY61" s="351">
        <f t="shared" si="176"/>
        <v>100</v>
      </c>
      <c r="BZ61" s="351">
        <f>BZ53-BU53</f>
        <v>-410</v>
      </c>
      <c r="CA61" s="351">
        <f>CA53-BZ53</f>
        <v>400</v>
      </c>
      <c r="CB61" s="351">
        <f>CB53-CA53</f>
        <v>100</v>
      </c>
      <c r="CC61" s="351">
        <f>CC53-CB53</f>
        <v>-500</v>
      </c>
      <c r="CD61" s="351">
        <f>CD53-CC53</f>
        <v>0</v>
      </c>
      <c r="CE61" s="351">
        <f>CE53-BZ53</f>
        <v>0</v>
      </c>
      <c r="CF61" s="351">
        <f>CF53-CE53</f>
        <v>100</v>
      </c>
      <c r="CG61" s="351">
        <f>CG53-CF53</f>
        <v>900</v>
      </c>
      <c r="CH61" s="351">
        <f>CH53-CG53</f>
        <v>100</v>
      </c>
      <c r="CI61" s="351">
        <f>CI53-CH53</f>
        <v>200</v>
      </c>
      <c r="CJ61" s="351">
        <f>CJ53-CE53</f>
        <v>1300</v>
      </c>
      <c r="CK61" s="351">
        <f>CK53-CJ53</f>
        <v>100</v>
      </c>
      <c r="CL61" s="351">
        <f>CL53-CK53</f>
        <v>23700</v>
      </c>
      <c r="CM61" s="351">
        <f>CM53-CL53</f>
        <v>-3000</v>
      </c>
      <c r="CN61" s="351"/>
      <c r="CO61" s="351">
        <f>CO53-CJ53</f>
        <v>23971.271720245146</v>
      </c>
      <c r="CP61" s="351">
        <f t="shared" ref="CP61:CR61" si="177">CP53-CO53</f>
        <v>1197.9854433535656</v>
      </c>
      <c r="CQ61" s="351">
        <f t="shared" si="177"/>
        <v>1213.6857504632062</v>
      </c>
      <c r="CR61" s="351">
        <f t="shared" si="177"/>
        <v>1229.5804430623975</v>
      </c>
      <c r="CS61" s="351">
        <f t="shared" si="171"/>
        <v>1245.6718406155414</v>
      </c>
      <c r="CT61" s="351">
        <f t="shared" si="172"/>
        <v>1261.9622895556531</v>
      </c>
      <c r="CU61" s="347"/>
      <c r="CV61" s="1363"/>
      <c r="CW61" s="347"/>
      <c r="CX61" s="347"/>
      <c r="CY61" s="347"/>
      <c r="CZ61" s="347"/>
      <c r="DA61" s="347"/>
    </row>
    <row r="62" spans="1:120">
      <c r="B62" s="347" t="s">
        <v>205</v>
      </c>
      <c r="C62" s="351"/>
      <c r="D62" s="351"/>
      <c r="E62" s="351"/>
      <c r="F62" s="351"/>
      <c r="G62" s="351"/>
      <c r="H62" s="351">
        <f>H54-C54</f>
        <v>3802</v>
      </c>
      <c r="I62" s="351"/>
      <c r="J62" s="351"/>
      <c r="K62" s="351"/>
      <c r="L62" s="351"/>
      <c r="M62" s="351">
        <f>M54-H54</f>
        <v>5388</v>
      </c>
      <c r="N62" s="351"/>
      <c r="O62" s="351"/>
      <c r="P62" s="351"/>
      <c r="Q62" s="351"/>
      <c r="R62" s="351">
        <f>R54-M54</f>
        <v>3722.0856955364725</v>
      </c>
      <c r="S62" s="351"/>
      <c r="T62" s="351"/>
      <c r="U62" s="351"/>
      <c r="V62" s="351"/>
      <c r="W62" s="351">
        <f>W54-R54</f>
        <v>3461.5126229477173</v>
      </c>
      <c r="X62" s="351"/>
      <c r="Y62" s="351"/>
      <c r="Z62" s="351"/>
      <c r="AA62" s="351"/>
      <c r="AB62" s="351">
        <f>AB54-W54</f>
        <v>1902.0521363361804</v>
      </c>
      <c r="AC62" s="351"/>
      <c r="AD62" s="351"/>
      <c r="AE62" s="351"/>
      <c r="AF62" s="351"/>
      <c r="AG62" s="351">
        <f>AG54-AB54</f>
        <v>3556.2774230127034</v>
      </c>
      <c r="AH62" s="351"/>
      <c r="AI62" s="351"/>
      <c r="AJ62" s="351"/>
      <c r="AK62" s="351"/>
      <c r="AL62" s="351">
        <f>AL54-AG54</f>
        <v>-1092.4109523478764</v>
      </c>
      <c r="AM62" s="351"/>
      <c r="AN62" s="351"/>
      <c r="AO62" s="351"/>
      <c r="AP62" s="351"/>
      <c r="AQ62" s="351">
        <f>AQ54-AL54</f>
        <v>-6776.7074236463213</v>
      </c>
      <c r="AR62" s="351"/>
      <c r="AS62" s="351"/>
      <c r="AT62" s="351"/>
      <c r="AU62" s="351"/>
      <c r="AV62" s="351">
        <f>AV54-AQ54</f>
        <v>6798.1904981611242</v>
      </c>
      <c r="AW62" s="351"/>
      <c r="AX62" s="351"/>
      <c r="AY62" s="351"/>
      <c r="AZ62" s="351"/>
      <c r="BA62" s="351" t="e">
        <f>BA54-AV54</f>
        <v>#REF!</v>
      </c>
      <c r="BB62" s="351"/>
      <c r="BC62" s="351"/>
      <c r="BD62" s="351"/>
      <c r="BE62" s="351"/>
      <c r="BF62" s="351" t="e">
        <f>BF54-BA54</f>
        <v>#REF!</v>
      </c>
      <c r="BG62" s="351"/>
      <c r="BH62" s="351"/>
      <c r="BI62" s="351"/>
      <c r="BJ62" s="351"/>
      <c r="BK62" s="351" t="e">
        <f>BK54-BF54</f>
        <v>#REF!</v>
      </c>
      <c r="BL62" s="351"/>
      <c r="BM62" s="351"/>
      <c r="BN62" s="351"/>
      <c r="BO62" s="351"/>
      <c r="BP62" s="351" t="e">
        <f>BP54-BK54</f>
        <v>#REF!</v>
      </c>
      <c r="BQ62" s="351"/>
      <c r="BR62" s="351"/>
      <c r="BS62" s="351"/>
      <c r="BT62" s="351"/>
      <c r="BU62" s="351" t="e">
        <f>BU54-BP54</f>
        <v>#REF!</v>
      </c>
      <c r="BV62" s="351"/>
      <c r="BW62" s="351"/>
      <c r="BX62" s="351"/>
      <c r="BY62" s="351"/>
      <c r="BZ62" s="351" t="e">
        <f>BZ54-BU54</f>
        <v>#REF!</v>
      </c>
      <c r="CA62" s="351"/>
      <c r="CB62" s="351"/>
      <c r="CC62" s="351"/>
      <c r="CD62" s="351"/>
      <c r="CE62" s="351">
        <f>CE54-BZ54</f>
        <v>4895.9369446400087</v>
      </c>
      <c r="CF62" s="351"/>
      <c r="CG62" s="351"/>
      <c r="CH62" s="351"/>
      <c r="CI62" s="351"/>
      <c r="CJ62" s="351">
        <f>CJ54-CE54</f>
        <v>7098.7141411636258</v>
      </c>
      <c r="CK62" s="351"/>
      <c r="CL62" s="351"/>
      <c r="CM62" s="351"/>
      <c r="CN62" s="351"/>
      <c r="CO62" s="351">
        <f>CO54-CJ54</f>
        <v>-22899.471909426968</v>
      </c>
      <c r="CP62" s="351">
        <f t="shared" ref="CP62:CR62" si="178">CP54-CO54</f>
        <v>-115.44191123172641</v>
      </c>
      <c r="CQ62" s="351">
        <f t="shared" si="178"/>
        <v>-120.29080197541043</v>
      </c>
      <c r="CR62" s="351">
        <f t="shared" si="178"/>
        <v>-125.22530361096142</v>
      </c>
      <c r="CS62" s="351">
        <f t="shared" si="171"/>
        <v>-130.24664524628315</v>
      </c>
      <c r="CT62" s="351">
        <f t="shared" si="172"/>
        <v>-135.35607202793472</v>
      </c>
      <c r="CU62" s="347"/>
      <c r="CV62" s="1363"/>
      <c r="CW62" s="347"/>
      <c r="CX62" s="347"/>
      <c r="CY62" s="347"/>
      <c r="CZ62" s="347"/>
      <c r="DA62" s="347"/>
    </row>
    <row r="63" spans="1:120" s="399" customFormat="1">
      <c r="A63" s="769"/>
      <c r="B63" s="526" t="s">
        <v>6</v>
      </c>
      <c r="C63" s="1328"/>
      <c r="D63" s="1328"/>
      <c r="E63" s="1328"/>
      <c r="F63" s="1328"/>
      <c r="G63" s="1328"/>
      <c r="H63" s="1328">
        <f>SUM(H59:H61)</f>
        <v>40685</v>
      </c>
      <c r="I63" s="1328"/>
      <c r="J63" s="1328"/>
      <c r="K63" s="1328"/>
      <c r="L63" s="1328"/>
      <c r="M63" s="1328">
        <f>SUM(M59:M61)</f>
        <v>18028</v>
      </c>
      <c r="N63" s="1328"/>
      <c r="O63" s="1328"/>
      <c r="P63" s="1328"/>
      <c r="Q63" s="1328"/>
      <c r="R63" s="1328">
        <f>SUM(R59:R61)</f>
        <v>-64448.334263786572</v>
      </c>
      <c r="S63" s="1328"/>
      <c r="T63" s="1328"/>
      <c r="U63" s="1328"/>
      <c r="V63" s="1328"/>
      <c r="W63" s="1328">
        <f>W55-R55</f>
        <v>30484.801770761347</v>
      </c>
      <c r="X63" s="1328"/>
      <c r="Y63" s="1328"/>
      <c r="Z63" s="1328"/>
      <c r="AA63" s="1328"/>
      <c r="AB63" s="1328">
        <f>AB55-W55</f>
        <v>23341.198229238653</v>
      </c>
      <c r="AC63" s="1328"/>
      <c r="AD63" s="1328"/>
      <c r="AE63" s="1328"/>
      <c r="AF63" s="1328"/>
      <c r="AG63" s="1328">
        <f>AG55-AB55</f>
        <v>26190.927877833077</v>
      </c>
      <c r="AH63" s="1328"/>
      <c r="AI63" s="1328"/>
      <c r="AJ63" s="1328"/>
      <c r="AK63" s="1328"/>
      <c r="AL63" s="1328">
        <f>AL55-AG55</f>
        <v>9443.5890476521454</v>
      </c>
      <c r="AM63" s="1328"/>
      <c r="AN63" s="1328"/>
      <c r="AO63" s="1328"/>
      <c r="AP63" s="1328"/>
      <c r="AQ63" s="1328">
        <f>AQ55-AL55</f>
        <v>-4584.7074236463523</v>
      </c>
      <c r="AR63" s="1328"/>
      <c r="AS63" s="1328"/>
      <c r="AT63" s="1328"/>
      <c r="AU63" s="1328"/>
      <c r="AV63" s="1328">
        <f>AV55-AQ55</f>
        <v>48531.19049816113</v>
      </c>
      <c r="AW63" s="1328"/>
      <c r="AX63" s="1328"/>
      <c r="AY63" s="1328"/>
      <c r="AZ63" s="1328"/>
      <c r="BA63" s="1328">
        <f>BA55-AV55</f>
        <v>31126</v>
      </c>
      <c r="BB63" s="1328"/>
      <c r="BC63" s="1328"/>
      <c r="BD63" s="1328"/>
      <c r="BE63" s="1328"/>
      <c r="BF63" s="1328">
        <f>BF55-BA55</f>
        <v>-84112</v>
      </c>
      <c r="BG63" s="1328"/>
      <c r="BH63" s="1328"/>
      <c r="BI63" s="1328"/>
      <c r="BJ63" s="1328"/>
      <c r="BK63" s="1328">
        <f>BK55-BF55</f>
        <v>4757.5425520921126</v>
      </c>
      <c r="BL63" s="1328"/>
      <c r="BM63" s="1328"/>
      <c r="BN63" s="1328"/>
      <c r="BO63" s="1328"/>
      <c r="BP63" s="1328">
        <f>BP55-BK55</f>
        <v>10858.873067334527</v>
      </c>
      <c r="BQ63" s="1328"/>
      <c r="BR63" s="1328"/>
      <c r="BS63" s="1328"/>
      <c r="BT63" s="1328"/>
      <c r="BU63" s="1328">
        <f>BU55-BP55</f>
        <v>39282.58438057336</v>
      </c>
      <c r="BV63" s="1328"/>
      <c r="BW63" s="1328"/>
      <c r="BX63" s="1328"/>
      <c r="BY63" s="1328"/>
      <c r="BZ63" s="1328">
        <f>BZ55-BU55</f>
        <v>21854.713919999951</v>
      </c>
      <c r="CA63" s="1328"/>
      <c r="CB63" s="1328"/>
      <c r="CC63" s="1328"/>
      <c r="CD63" s="1328"/>
      <c r="CE63" s="1328">
        <f>CE55-BZ55</f>
        <v>4022.9369446400087</v>
      </c>
      <c r="CF63" s="1328"/>
      <c r="CG63" s="1328"/>
      <c r="CH63" s="1328"/>
      <c r="CI63" s="1328"/>
      <c r="CJ63" s="1328">
        <f>CJ55-CE55</f>
        <v>4347.7141411636258</v>
      </c>
      <c r="CK63" s="1328"/>
      <c r="CL63" s="1328"/>
      <c r="CM63" s="1328"/>
      <c r="CN63" s="1328"/>
      <c r="CO63" s="1328">
        <f>CO55-CJ55</f>
        <v>3618.7879468182218</v>
      </c>
      <c r="CP63" s="1328">
        <f t="shared" ref="CP63:CR63" si="179">CP55-CO55</f>
        <v>3655.0626771971001</v>
      </c>
      <c r="CQ63" s="1328">
        <f t="shared" si="179"/>
        <v>3691.7010254733032</v>
      </c>
      <c r="CR63" s="1328">
        <f t="shared" si="179"/>
        <v>3728.7066365526407</v>
      </c>
      <c r="CS63" s="1328">
        <f t="shared" si="171"/>
        <v>3766.0831918774638</v>
      </c>
      <c r="CT63" s="1328">
        <f t="shared" si="172"/>
        <v>3803.8344097927911</v>
      </c>
      <c r="CU63" s="364"/>
      <c r="CV63" s="1362"/>
      <c r="CW63" s="364"/>
      <c r="CX63" s="364"/>
      <c r="CY63" s="364"/>
      <c r="CZ63" s="364"/>
      <c r="DA63" s="364"/>
      <c r="DL63" s="349"/>
      <c r="DM63" s="349"/>
      <c r="DN63" s="349"/>
      <c r="DO63" s="349"/>
      <c r="DP63" s="349"/>
    </row>
    <row r="64" spans="1:120">
      <c r="B64" s="347"/>
      <c r="C64" s="379"/>
      <c r="D64" s="379"/>
      <c r="E64" s="379"/>
      <c r="F64" s="379"/>
      <c r="G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400"/>
      <c r="AH64" s="400"/>
      <c r="AI64" s="400"/>
      <c r="AJ64" s="400"/>
      <c r="AK64" s="400"/>
      <c r="AL64" s="400"/>
      <c r="AM64" s="400"/>
      <c r="AN64" s="400"/>
      <c r="AO64" s="400"/>
      <c r="AP64" s="400"/>
      <c r="AQ64" s="347"/>
      <c r="AR64" s="347"/>
      <c r="AS64" s="347"/>
      <c r="AT64" s="347"/>
      <c r="AU64" s="347"/>
      <c r="AV64" s="347"/>
      <c r="AW64" s="347"/>
      <c r="AX64" s="347"/>
      <c r="AY64" s="347"/>
      <c r="AZ64" s="347"/>
      <c r="BA64" s="347"/>
      <c r="BB64" s="347"/>
      <c r="BC64" s="347"/>
      <c r="BD64" s="347"/>
      <c r="BE64" s="347"/>
      <c r="BF64" s="347"/>
      <c r="BG64" s="347"/>
      <c r="BH64" s="347"/>
      <c r="BI64" s="347"/>
      <c r="BJ64" s="347"/>
      <c r="BK64" s="347"/>
      <c r="BL64" s="347"/>
      <c r="BM64" s="347"/>
      <c r="BN64" s="347"/>
      <c r="BO64" s="347"/>
      <c r="BP64" s="347"/>
      <c r="BQ64" s="347"/>
      <c r="BR64" s="347"/>
      <c r="BS64" s="347"/>
      <c r="BT64" s="347"/>
      <c r="BU64" s="347"/>
      <c r="BV64" s="347"/>
      <c r="BW64" s="347"/>
      <c r="BX64" s="347"/>
      <c r="BY64" s="347"/>
      <c r="BZ64" s="347"/>
      <c r="CA64" s="347"/>
      <c r="CB64" s="347"/>
      <c r="CC64" s="347"/>
      <c r="CD64" s="347"/>
      <c r="CE64" s="347"/>
      <c r="CF64" s="347"/>
      <c r="CG64" s="347"/>
      <c r="CH64" s="347"/>
      <c r="CI64" s="347"/>
      <c r="CJ64" s="347"/>
      <c r="CK64" s="347"/>
      <c r="CL64" s="347"/>
      <c r="CM64" s="347"/>
      <c r="CN64" s="347"/>
      <c r="CO64" s="347"/>
      <c r="CP64" s="347"/>
      <c r="CQ64" s="347"/>
      <c r="CR64" s="347"/>
      <c r="CS64" s="347"/>
      <c r="CT64" s="347"/>
      <c r="CU64" s="347"/>
      <c r="CV64" s="1363"/>
      <c r="CW64" s="347"/>
      <c r="CX64" s="347"/>
      <c r="CY64" s="347"/>
      <c r="CZ64" s="347"/>
      <c r="DA64" s="347"/>
    </row>
    <row r="65" spans="1:110">
      <c r="B65" s="385" t="s">
        <v>10</v>
      </c>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5"/>
      <c r="AX65" s="385"/>
      <c r="AY65" s="385"/>
      <c r="AZ65" s="385"/>
      <c r="BA65" s="385"/>
      <c r="BB65" s="385"/>
      <c r="BC65" s="385"/>
      <c r="BD65" s="385"/>
      <c r="BE65" s="385"/>
      <c r="BF65" s="385"/>
      <c r="BG65" s="385"/>
      <c r="BH65" s="385"/>
      <c r="BI65" s="385"/>
      <c r="BJ65" s="385"/>
      <c r="BK65" s="385"/>
      <c r="BL65" s="385"/>
      <c r="BM65" s="385"/>
      <c r="BN65" s="385"/>
      <c r="BO65" s="385"/>
      <c r="BP65" s="385"/>
      <c r="BQ65" s="385"/>
      <c r="BR65" s="385"/>
      <c r="BS65" s="385"/>
      <c r="BT65" s="385"/>
      <c r="BU65" s="385"/>
      <c r="BV65" s="385"/>
      <c r="BW65" s="385"/>
      <c r="BX65" s="385"/>
      <c r="BY65" s="385"/>
      <c r="BZ65" s="385"/>
      <c r="CA65" s="385"/>
      <c r="CB65" s="385"/>
      <c r="CC65" s="385"/>
      <c r="CD65" s="385"/>
      <c r="CE65" s="385"/>
      <c r="CF65" s="385"/>
      <c r="CG65" s="385"/>
      <c r="CH65" s="385"/>
      <c r="CI65" s="385"/>
      <c r="CJ65" s="385"/>
      <c r="CK65" s="385"/>
      <c r="CL65" s="385"/>
      <c r="CM65" s="385"/>
      <c r="CN65" s="385"/>
      <c r="CO65" s="385"/>
      <c r="CP65" s="385"/>
      <c r="CQ65" s="385"/>
      <c r="CR65" s="385"/>
      <c r="CS65" s="385"/>
      <c r="CT65" s="385"/>
      <c r="CU65" s="347"/>
      <c r="CV65" s="1363"/>
      <c r="CW65" s="347"/>
      <c r="CX65" s="347"/>
      <c r="CY65" s="347"/>
      <c r="CZ65" s="347"/>
      <c r="DA65" s="347"/>
    </row>
    <row r="66" spans="1:110">
      <c r="B66" s="347" t="s">
        <v>510</v>
      </c>
      <c r="C66" s="356"/>
      <c r="D66" s="356"/>
      <c r="E66" s="356"/>
      <c r="F66" s="356"/>
      <c r="G66" s="356"/>
      <c r="H66" s="356">
        <f>H59/$H$63</f>
        <v>0.44692146982917536</v>
      </c>
      <c r="I66" s="356"/>
      <c r="J66" s="356"/>
      <c r="K66" s="356"/>
      <c r="L66" s="356"/>
      <c r="M66" s="356">
        <f>M59/$M$63</f>
        <v>0.90658974927889946</v>
      </c>
      <c r="N66" s="356"/>
      <c r="O66" s="356"/>
      <c r="P66" s="356"/>
      <c r="Q66" s="356"/>
      <c r="R66" s="356">
        <f>R59/$R$63</f>
        <v>1.2759063281197081</v>
      </c>
      <c r="S66" s="356"/>
      <c r="T66" s="356"/>
      <c r="U66" s="356"/>
      <c r="V66" s="356"/>
      <c r="W66" s="356">
        <f>W59/$W$63</f>
        <v>3.5480262513545795</v>
      </c>
      <c r="X66" s="356"/>
      <c r="Y66" s="356"/>
      <c r="Z66" s="356"/>
      <c r="AA66" s="356"/>
      <c r="AB66" s="356">
        <f>AB59/$AB$63</f>
        <v>0.42387784017067687</v>
      </c>
      <c r="AC66" s="356"/>
      <c r="AD66" s="356"/>
      <c r="AE66" s="356"/>
      <c r="AF66" s="356"/>
      <c r="AG66" s="356">
        <f>AG59/$AG$63</f>
        <v>0.53622933662533256</v>
      </c>
      <c r="AH66" s="356"/>
      <c r="AI66" s="356"/>
      <c r="AJ66" s="356"/>
      <c r="AK66" s="356"/>
      <c r="AL66" s="356">
        <f>AL59/$AL$63</f>
        <v>0.82976927103241305</v>
      </c>
      <c r="AM66" s="356"/>
      <c r="AN66" s="356"/>
      <c r="AO66" s="356"/>
      <c r="AP66" s="356"/>
      <c r="AQ66" s="356">
        <f>AQ59/AQ$63</f>
        <v>-2.8992035416359201</v>
      </c>
      <c r="AR66" s="356"/>
      <c r="AS66" s="356"/>
      <c r="AT66" s="356"/>
      <c r="AU66" s="356"/>
      <c r="AV66" s="356">
        <f>AV59/AV$63</f>
        <v>0.43846029288744259</v>
      </c>
      <c r="AW66" s="356"/>
      <c r="AX66" s="356"/>
      <c r="AY66" s="356"/>
      <c r="AZ66" s="356"/>
      <c r="BA66" s="356">
        <f>BA59/BA$63</f>
        <v>0.71901304375763031</v>
      </c>
      <c r="BB66" s="356"/>
      <c r="BC66" s="356"/>
      <c r="BD66" s="356"/>
      <c r="BE66" s="356"/>
      <c r="BF66" s="356">
        <f>BF59/BF$63</f>
        <v>0.39604337074377022</v>
      </c>
      <c r="BG66" s="356"/>
      <c r="BH66" s="356"/>
      <c r="BI66" s="356"/>
      <c r="BJ66" s="356"/>
      <c r="BK66" s="356">
        <f>BK59/BK$63</f>
        <v>1.7061329270571794</v>
      </c>
      <c r="BL66" s="356"/>
      <c r="BM66" s="356"/>
      <c r="BN66" s="356"/>
      <c r="BO66" s="356"/>
      <c r="BP66" s="356">
        <f t="shared" ref="BP66:CR66" si="180">BP59/BP$63</f>
        <v>-0.14393758821086042</v>
      </c>
      <c r="BQ66" s="356"/>
      <c r="BR66" s="356"/>
      <c r="BS66" s="356"/>
      <c r="BT66" s="356"/>
      <c r="BU66" s="356">
        <f t="shared" si="180"/>
        <v>0.16381305103699687</v>
      </c>
      <c r="BV66" s="356"/>
      <c r="BW66" s="356"/>
      <c r="BX66" s="356"/>
      <c r="BY66" s="356"/>
      <c r="BZ66" s="356">
        <f t="shared" ref="BZ66" si="181">BZ59/BZ$63</f>
        <v>-0.87688175970413451</v>
      </c>
      <c r="CA66" s="356"/>
      <c r="CB66" s="356"/>
      <c r="CC66" s="356"/>
      <c r="CD66" s="356"/>
      <c r="CE66" s="356">
        <f t="shared" ref="CE66:CE70" si="182">CE59/CE$63</f>
        <v>0.62814805073364821</v>
      </c>
      <c r="CF66" s="356"/>
      <c r="CG66" s="356"/>
      <c r="CH66" s="356"/>
      <c r="CI66" s="356"/>
      <c r="CJ66" s="356">
        <f t="shared" si="180"/>
        <v>1.127029018216124E-2</v>
      </c>
      <c r="CK66" s="356"/>
      <c r="CL66" s="356"/>
      <c r="CM66" s="356"/>
      <c r="CN66" s="356"/>
      <c r="CO66" s="356">
        <f t="shared" si="180"/>
        <v>0.34074507850938995</v>
      </c>
      <c r="CP66" s="356">
        <f t="shared" si="180"/>
        <v>0.33974507850938368</v>
      </c>
      <c r="CQ66" s="356">
        <f t="shared" si="180"/>
        <v>0.33874507850938723</v>
      </c>
      <c r="CR66" s="356">
        <f t="shared" si="180"/>
        <v>0.33774507850938407</v>
      </c>
      <c r="CS66" s="356">
        <f t="shared" ref="CS66:CT66" si="183">CS59/CS$63</f>
        <v>0.33674507850938934</v>
      </c>
      <c r="CT66" s="356">
        <f t="shared" si="183"/>
        <v>0.33574507850938101</v>
      </c>
      <c r="CU66" s="347"/>
      <c r="CV66" s="1363"/>
      <c r="CW66" s="347"/>
      <c r="CX66" s="347"/>
      <c r="CY66" s="385"/>
      <c r="CZ66" s="385"/>
      <c r="DA66" s="385"/>
      <c r="DB66" s="385"/>
      <c r="DC66" s="385"/>
      <c r="DD66" s="385"/>
      <c r="DE66" s="385"/>
      <c r="DF66" s="385"/>
    </row>
    <row r="67" spans="1:110">
      <c r="B67" s="347" t="s">
        <v>511</v>
      </c>
      <c r="C67" s="356"/>
      <c r="D67" s="356"/>
      <c r="E67" s="356"/>
      <c r="F67" s="356"/>
      <c r="G67" s="356"/>
      <c r="H67" s="356">
        <f>H60/$H$63</f>
        <v>0.29384293965835073</v>
      </c>
      <c r="I67" s="356"/>
      <c r="J67" s="356"/>
      <c r="K67" s="356"/>
      <c r="L67" s="356"/>
      <c r="M67" s="356">
        <f>M60/$M$63</f>
        <v>-0.18859551808298203</v>
      </c>
      <c r="N67" s="356"/>
      <c r="O67" s="356"/>
      <c r="P67" s="356"/>
      <c r="Q67" s="356"/>
      <c r="R67" s="356">
        <f>R60/$R$63</f>
        <v>-0.13160469323283625</v>
      </c>
      <c r="S67" s="356"/>
      <c r="T67" s="356"/>
      <c r="U67" s="356"/>
      <c r="V67" s="356"/>
      <c r="W67" s="356">
        <f>W60/$W$63</f>
        <v>0.40544072164078687</v>
      </c>
      <c r="X67" s="356"/>
      <c r="Y67" s="356"/>
      <c r="Z67" s="356"/>
      <c r="AA67" s="356"/>
      <c r="AB67" s="356">
        <f>AB60/$AB$63</f>
        <v>0.26668927235158868</v>
      </c>
      <c r="AC67" s="356"/>
      <c r="AD67" s="356"/>
      <c r="AE67" s="356"/>
      <c r="AF67" s="356"/>
      <c r="AG67" s="356">
        <f>AG60/$AG$63</f>
        <v>-2.1623153764472203E-2</v>
      </c>
      <c r="AH67" s="356"/>
      <c r="AI67" s="356"/>
      <c r="AJ67" s="356"/>
      <c r="AK67" s="356"/>
      <c r="AL67" s="356">
        <f>AL60/$AL$63</f>
        <v>0.38121099741152203</v>
      </c>
      <c r="AM67" s="356"/>
      <c r="AN67" s="356"/>
      <c r="AO67" s="356"/>
      <c r="AP67" s="356"/>
      <c r="AQ67" s="356">
        <f>AQ60/AQ$63</f>
        <v>-1.4177567725423925</v>
      </c>
      <c r="AR67" s="356"/>
      <c r="AS67" s="356"/>
      <c r="AT67" s="356"/>
      <c r="AU67" s="356"/>
      <c r="AV67" s="356">
        <f>AV60/AV$63</f>
        <v>0.32873704181240937</v>
      </c>
      <c r="AW67" s="356"/>
      <c r="AX67" s="356"/>
      <c r="AY67" s="356"/>
      <c r="AZ67" s="356"/>
      <c r="BA67" s="356">
        <f>BA60/BA$63</f>
        <v>0.78860116944033931</v>
      </c>
      <c r="BB67" s="356"/>
      <c r="BC67" s="356"/>
      <c r="BD67" s="356"/>
      <c r="BE67" s="356"/>
      <c r="BF67" s="356">
        <f>BF60/BF$63</f>
        <v>0.62060110329085028</v>
      </c>
      <c r="BG67" s="356"/>
      <c r="BH67" s="356"/>
      <c r="BI67" s="356"/>
      <c r="BJ67" s="356"/>
      <c r="BK67" s="356">
        <f>BK60/BK$63</f>
        <v>0.27325031479294487</v>
      </c>
      <c r="BL67" s="356"/>
      <c r="BM67" s="356"/>
      <c r="BN67" s="356"/>
      <c r="BO67" s="356"/>
      <c r="BP67" s="356">
        <f t="shared" ref="BP67:CR67" si="184">BP60/BP$63</f>
        <v>9.2090587466961249E-2</v>
      </c>
      <c r="BQ67" s="356"/>
      <c r="BR67" s="356"/>
      <c r="BS67" s="356"/>
      <c r="BT67" s="356"/>
      <c r="BU67" s="356">
        <f t="shared" si="184"/>
        <v>6.6187091328079539E-2</v>
      </c>
      <c r="BV67" s="356"/>
      <c r="BW67" s="356"/>
      <c r="BX67" s="356"/>
      <c r="BY67" s="356"/>
      <c r="BZ67" s="356">
        <f t="shared" ref="BZ67" si="185">BZ60/BZ$63</f>
        <v>1.7982390501133627</v>
      </c>
      <c r="CA67" s="356"/>
      <c r="CB67" s="356"/>
      <c r="CC67" s="356"/>
      <c r="CD67" s="356"/>
      <c r="CE67" s="356">
        <f t="shared" si="182"/>
        <v>-0.84515368915488875</v>
      </c>
      <c r="CF67" s="356"/>
      <c r="CG67" s="356"/>
      <c r="CH67" s="356"/>
      <c r="CI67" s="356"/>
      <c r="CJ67" s="356">
        <f t="shared" si="184"/>
        <v>-0.94302428054818543</v>
      </c>
      <c r="CK67" s="356"/>
      <c r="CL67" s="356"/>
      <c r="CM67" s="356"/>
      <c r="CN67" s="356"/>
      <c r="CO67" s="356">
        <f t="shared" si="184"/>
        <v>0.36307845949025119</v>
      </c>
      <c r="CP67" s="356">
        <f t="shared" si="184"/>
        <v>0.36407845949024586</v>
      </c>
      <c r="CQ67" s="356">
        <f t="shared" si="184"/>
        <v>0.36507845949024953</v>
      </c>
      <c r="CR67" s="356">
        <f t="shared" si="184"/>
        <v>0.36607845949024859</v>
      </c>
      <c r="CS67" s="356">
        <f t="shared" ref="CS67:CT67" si="186">CS60/CS$63</f>
        <v>0.36707845949024753</v>
      </c>
      <c r="CT67" s="356">
        <f t="shared" si="186"/>
        <v>0.36807845949025036</v>
      </c>
      <c r="CU67" s="347"/>
      <c r="CV67" s="1363"/>
      <c r="CW67" s="347"/>
      <c r="CX67" s="347"/>
      <c r="CY67" s="347"/>
      <c r="CZ67" s="347"/>
      <c r="DA67" s="347"/>
      <c r="DB67" s="347"/>
      <c r="DC67" s="347"/>
      <c r="DD67" s="347"/>
      <c r="DE67" s="347"/>
      <c r="DF67" s="347"/>
    </row>
    <row r="68" spans="1:110">
      <c r="B68" s="347" t="s">
        <v>512</v>
      </c>
      <c r="C68" s="356"/>
      <c r="D68" s="356"/>
      <c r="E68" s="356"/>
      <c r="F68" s="356"/>
      <c r="G68" s="356"/>
      <c r="H68" s="356">
        <f>H61/$H$63</f>
        <v>0.25923559051247391</v>
      </c>
      <c r="I68" s="356"/>
      <c r="J68" s="356"/>
      <c r="K68" s="356"/>
      <c r="L68" s="356"/>
      <c r="M68" s="356">
        <f>M61/$M$63</f>
        <v>0.28200576880408251</v>
      </c>
      <c r="N68" s="356"/>
      <c r="O68" s="356"/>
      <c r="P68" s="356"/>
      <c r="Q68" s="356"/>
      <c r="R68" s="356">
        <f>R61/$R$63</f>
        <v>-0.14430163488687181</v>
      </c>
      <c r="S68" s="356"/>
      <c r="T68" s="356"/>
      <c r="U68" s="356"/>
      <c r="V68" s="356"/>
      <c r="W68" s="356">
        <f>W61/$W$63</f>
        <v>0.18444865672182714</v>
      </c>
      <c r="X68" s="356"/>
      <c r="Y68" s="356"/>
      <c r="Z68" s="356"/>
      <c r="AA68" s="356"/>
      <c r="AB68" s="356">
        <f>AB61/$AB$63</f>
        <v>0.22754160970251996</v>
      </c>
      <c r="AC68" s="356"/>
      <c r="AD68" s="356"/>
      <c r="AE68" s="356"/>
      <c r="AF68" s="356"/>
      <c r="AG68" s="356">
        <f>AG61/$AG$63</f>
        <v>0.34996948135018413</v>
      </c>
      <c r="AH68" s="356"/>
      <c r="AI68" s="356"/>
      <c r="AJ68" s="356"/>
      <c r="AK68" s="356"/>
      <c r="AL68" s="356">
        <f>AL61/$AL$63</f>
        <v>-9.5302749352880509E-2</v>
      </c>
      <c r="AM68" s="356"/>
      <c r="AN68" s="356"/>
      <c r="AO68" s="356"/>
      <c r="AP68" s="356"/>
      <c r="AQ68" s="356">
        <f>AQ61/AQ$63</f>
        <v>3.838849107191709</v>
      </c>
      <c r="AR68" s="356"/>
      <c r="AS68" s="356"/>
      <c r="AT68" s="356"/>
      <c r="AU68" s="356"/>
      <c r="AV68" s="356">
        <f>AV61/AV$63</f>
        <v>9.27238741479154E-2</v>
      </c>
      <c r="AW68" s="356"/>
      <c r="AX68" s="356"/>
      <c r="AY68" s="356"/>
      <c r="AZ68" s="356"/>
      <c r="BA68" s="356">
        <f>BA61/BA$63</f>
        <v>0.2248923729358093</v>
      </c>
      <c r="BB68" s="356"/>
      <c r="BC68" s="356"/>
      <c r="BD68" s="356"/>
      <c r="BE68" s="356"/>
      <c r="BF68" s="356">
        <f>BF61/BF$63</f>
        <v>-1.6644474034620507E-2</v>
      </c>
      <c r="BG68" s="356"/>
      <c r="BH68" s="356"/>
      <c r="BI68" s="356"/>
      <c r="BJ68" s="356"/>
      <c r="BK68" s="356">
        <f>BK61/BK$63</f>
        <v>0.37834658971330826</v>
      </c>
      <c r="BL68" s="356"/>
      <c r="BM68" s="356"/>
      <c r="BN68" s="356"/>
      <c r="BO68" s="356"/>
      <c r="BP68" s="356">
        <f t="shared" ref="BP68:CR68" si="187">BP61/BP$63</f>
        <v>0.10958779908568388</v>
      </c>
      <c r="BQ68" s="356"/>
      <c r="BR68" s="356"/>
      <c r="BS68" s="356"/>
      <c r="BT68" s="356"/>
      <c r="BU68" s="356">
        <f t="shared" si="187"/>
        <v>5.09131471754458E-4</v>
      </c>
      <c r="BV68" s="356"/>
      <c r="BW68" s="356"/>
      <c r="BX68" s="356"/>
      <c r="BY68" s="356"/>
      <c r="BZ68" s="356">
        <f t="shared" ref="BZ68" si="188">BZ61/BZ$63</f>
        <v>-1.8760254721284446E-2</v>
      </c>
      <c r="CA68" s="356"/>
      <c r="CB68" s="356"/>
      <c r="CC68" s="356"/>
      <c r="CD68" s="356"/>
      <c r="CE68" s="356">
        <f t="shared" si="182"/>
        <v>0</v>
      </c>
      <c r="CF68" s="356"/>
      <c r="CG68" s="356"/>
      <c r="CH68" s="356"/>
      <c r="CI68" s="356"/>
      <c r="CJ68" s="356">
        <f t="shared" si="187"/>
        <v>0.29900769871040023</v>
      </c>
      <c r="CK68" s="356"/>
      <c r="CL68" s="356"/>
      <c r="CM68" s="356"/>
      <c r="CN68" s="356"/>
      <c r="CO68" s="356">
        <f t="shared" si="187"/>
        <v>6.6241161605839913</v>
      </c>
      <c r="CP68" s="356">
        <f t="shared" si="187"/>
        <v>0.32776057462091068</v>
      </c>
      <c r="CQ68" s="356">
        <f t="shared" si="187"/>
        <v>0.32876057462091007</v>
      </c>
      <c r="CR68" s="356">
        <f t="shared" si="187"/>
        <v>0.32976057462090952</v>
      </c>
      <c r="CS68" s="356">
        <f t="shared" ref="CS68:CT68" si="189">CS61/CS$63</f>
        <v>0.33076057462091019</v>
      </c>
      <c r="CT68" s="356">
        <f t="shared" si="189"/>
        <v>0.33176057462091174</v>
      </c>
      <c r="CU68" s="347"/>
      <c r="CV68" s="1363"/>
      <c r="CW68" s="347"/>
      <c r="CX68" s="347"/>
      <c r="CY68" s="401"/>
      <c r="CZ68" s="402"/>
      <c r="DA68" s="402"/>
      <c r="DB68" s="402"/>
      <c r="DC68" s="402"/>
      <c r="DD68" s="402"/>
      <c r="DE68" s="402"/>
      <c r="DF68" s="402"/>
    </row>
    <row r="69" spans="1:110">
      <c r="B69" s="347" t="s">
        <v>205</v>
      </c>
      <c r="C69" s="356"/>
      <c r="D69" s="356"/>
      <c r="E69" s="356"/>
      <c r="F69" s="356"/>
      <c r="G69" s="356"/>
      <c r="H69" s="356">
        <f>H62/$H$63</f>
        <v>9.3449674327147597E-2</v>
      </c>
      <c r="I69" s="356"/>
      <c r="J69" s="356"/>
      <c r="K69" s="356"/>
      <c r="L69" s="356"/>
      <c r="M69" s="356">
        <f>M62/$M$63</f>
        <v>0.29886842689150211</v>
      </c>
      <c r="N69" s="356"/>
      <c r="O69" s="356"/>
      <c r="P69" s="356"/>
      <c r="Q69" s="356"/>
      <c r="R69" s="356">
        <f>R62/$R$63</f>
        <v>-5.7753016242467994E-2</v>
      </c>
      <c r="S69" s="356"/>
      <c r="T69" s="356"/>
      <c r="U69" s="356"/>
      <c r="V69" s="356"/>
      <c r="W69" s="356">
        <f>W62/$W$63</f>
        <v>0.11354879880727095</v>
      </c>
      <c r="X69" s="356"/>
      <c r="Y69" s="356"/>
      <c r="Z69" s="356"/>
      <c r="AA69" s="356"/>
      <c r="AB69" s="356">
        <f>AB62/$AB$63</f>
        <v>8.1489052860771738E-2</v>
      </c>
      <c r="AC69" s="356"/>
      <c r="AD69" s="356"/>
      <c r="AE69" s="356"/>
      <c r="AF69" s="356"/>
      <c r="AG69" s="356">
        <f>AG62/$AG$63</f>
        <v>0.13578279622626849</v>
      </c>
      <c r="AH69" s="356"/>
      <c r="AI69" s="356"/>
      <c r="AJ69" s="356"/>
      <c r="AK69" s="356"/>
      <c r="AL69" s="356">
        <f>AL62/$AL$63</f>
        <v>-0.11567751909105685</v>
      </c>
      <c r="AM69" s="356"/>
      <c r="AN69" s="356"/>
      <c r="AO69" s="356"/>
      <c r="AP69" s="356"/>
      <c r="AQ69" s="356">
        <f>AQ62/AQ$63</f>
        <v>1.4781112069865969</v>
      </c>
      <c r="AR69" s="356"/>
      <c r="AS69" s="356"/>
      <c r="AT69" s="356"/>
      <c r="AU69" s="356"/>
      <c r="AV69" s="356">
        <f>AV62/AV$63</f>
        <v>0.14007879115223251</v>
      </c>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f t="shared" si="182"/>
        <v>1.2170056384212407</v>
      </c>
      <c r="CF69" s="356"/>
      <c r="CG69" s="356"/>
      <c r="CH69" s="356"/>
      <c r="CI69" s="356"/>
      <c r="CJ69" s="356">
        <f t="shared" ref="CJ69:CR69" si="190">CJ62/CJ$63</f>
        <v>1.6327462916556239</v>
      </c>
      <c r="CK69" s="356"/>
      <c r="CL69" s="356"/>
      <c r="CM69" s="356"/>
      <c r="CN69" s="356"/>
      <c r="CO69" s="356">
        <f t="shared" si="190"/>
        <v>-6.3279396985836289</v>
      </c>
      <c r="CP69" s="356">
        <f t="shared" si="190"/>
        <v>-3.1584112620540207E-2</v>
      </c>
      <c r="CQ69" s="356">
        <f t="shared" si="190"/>
        <v>-3.2584112620546855E-2</v>
      </c>
      <c r="CR69" s="356">
        <f t="shared" si="190"/>
        <v>-3.3584112620546065E-2</v>
      </c>
      <c r="CS69" s="356">
        <f t="shared" ref="CS69:CT69" si="191">CS62/CS$63</f>
        <v>-3.4584112620558639E-2</v>
      </c>
      <c r="CT69" s="356">
        <f t="shared" si="191"/>
        <v>-3.5584112620535464E-2</v>
      </c>
      <c r="CU69" s="347"/>
      <c r="CV69" s="1363"/>
      <c r="CW69" s="347"/>
      <c r="CX69" s="347"/>
      <c r="CY69" s="401"/>
      <c r="CZ69" s="402"/>
      <c r="DA69" s="402"/>
      <c r="DB69" s="402"/>
      <c r="DC69" s="402"/>
      <c r="DD69" s="402"/>
      <c r="DE69" s="402"/>
      <c r="DF69" s="402"/>
    </row>
    <row r="70" spans="1:110">
      <c r="B70" s="526" t="s">
        <v>6</v>
      </c>
      <c r="C70" s="1333"/>
      <c r="D70" s="1333"/>
      <c r="E70" s="1333"/>
      <c r="F70" s="1333"/>
      <c r="G70" s="1333"/>
      <c r="H70" s="1333">
        <f>H63/$H$63</f>
        <v>1</v>
      </c>
      <c r="I70" s="1333"/>
      <c r="J70" s="1333"/>
      <c r="K70" s="1333"/>
      <c r="L70" s="1333"/>
      <c r="M70" s="1333">
        <f>M63/$M$63</f>
        <v>1</v>
      </c>
      <c r="N70" s="1333"/>
      <c r="O70" s="1333"/>
      <c r="P70" s="1333"/>
      <c r="Q70" s="1333"/>
      <c r="R70" s="1333">
        <f>R63/$R$63</f>
        <v>1</v>
      </c>
      <c r="S70" s="1333"/>
      <c r="T70" s="1333"/>
      <c r="U70" s="1333"/>
      <c r="V70" s="1333"/>
      <c r="W70" s="1333">
        <f>W63/$W$63</f>
        <v>1</v>
      </c>
      <c r="X70" s="1333"/>
      <c r="Y70" s="1333"/>
      <c r="Z70" s="1333"/>
      <c r="AA70" s="1333"/>
      <c r="AB70" s="1333">
        <f>AB63/$AB$63</f>
        <v>1</v>
      </c>
      <c r="AC70" s="1333"/>
      <c r="AD70" s="1333"/>
      <c r="AE70" s="1333"/>
      <c r="AF70" s="1333"/>
      <c r="AG70" s="1333">
        <f>AG63/$AG$63</f>
        <v>1</v>
      </c>
      <c r="AH70" s="1333"/>
      <c r="AI70" s="1333"/>
      <c r="AJ70" s="1333"/>
      <c r="AK70" s="1333"/>
      <c r="AL70" s="1333">
        <f>AL63/$AL$63</f>
        <v>1</v>
      </c>
      <c r="AM70" s="1333"/>
      <c r="AN70" s="1333"/>
      <c r="AO70" s="1333"/>
      <c r="AP70" s="1333"/>
      <c r="AQ70" s="1333">
        <f>AQ63/AQ$63</f>
        <v>1</v>
      </c>
      <c r="AR70" s="1333"/>
      <c r="AS70" s="1333"/>
      <c r="AT70" s="1333"/>
      <c r="AU70" s="1333"/>
      <c r="AV70" s="1333">
        <f>AV63/AV$63</f>
        <v>1</v>
      </c>
      <c r="AW70" s="1333"/>
      <c r="AX70" s="1333"/>
      <c r="AY70" s="1333"/>
      <c r="AZ70" s="1333"/>
      <c r="BA70" s="1333">
        <f>BA63/BA$63</f>
        <v>1</v>
      </c>
      <c r="BB70" s="1333"/>
      <c r="BC70" s="1333"/>
      <c r="BD70" s="1333"/>
      <c r="BE70" s="1333"/>
      <c r="BF70" s="1333">
        <f>BF63/BF$63</f>
        <v>1</v>
      </c>
      <c r="BG70" s="1333"/>
      <c r="BH70" s="1333"/>
      <c r="BI70" s="1333"/>
      <c r="BJ70" s="1333"/>
      <c r="BK70" s="1333">
        <f>BK63/BK$63</f>
        <v>1</v>
      </c>
      <c r="BL70" s="1333"/>
      <c r="BM70" s="1333"/>
      <c r="BN70" s="1333"/>
      <c r="BO70" s="1333"/>
      <c r="BP70" s="1333">
        <f t="shared" ref="BP70:CR70" si="192">BP63/BP$63</f>
        <v>1</v>
      </c>
      <c r="BQ70" s="1333"/>
      <c r="BR70" s="1333"/>
      <c r="BS70" s="1333"/>
      <c r="BT70" s="1333"/>
      <c r="BU70" s="1333">
        <f t="shared" si="192"/>
        <v>1</v>
      </c>
      <c r="BV70" s="1333"/>
      <c r="BW70" s="1333"/>
      <c r="BX70" s="1333"/>
      <c r="BY70" s="1333"/>
      <c r="BZ70" s="1333">
        <f t="shared" ref="BZ70" si="193">BZ63/BZ$63</f>
        <v>1</v>
      </c>
      <c r="CA70" s="1333"/>
      <c r="CB70" s="1333"/>
      <c r="CC70" s="1333"/>
      <c r="CD70" s="1333"/>
      <c r="CE70" s="1333">
        <f t="shared" si="182"/>
        <v>1</v>
      </c>
      <c r="CF70" s="1333"/>
      <c r="CG70" s="1333"/>
      <c r="CH70" s="1333"/>
      <c r="CI70" s="1333"/>
      <c r="CJ70" s="1333">
        <f t="shared" si="192"/>
        <v>1</v>
      </c>
      <c r="CK70" s="1333"/>
      <c r="CL70" s="1333"/>
      <c r="CM70" s="1333"/>
      <c r="CN70" s="1333"/>
      <c r="CO70" s="1333">
        <f t="shared" si="192"/>
        <v>1</v>
      </c>
      <c r="CP70" s="1333">
        <f t="shared" si="192"/>
        <v>1</v>
      </c>
      <c r="CQ70" s="1333">
        <f t="shared" si="192"/>
        <v>1</v>
      </c>
      <c r="CR70" s="1333">
        <f t="shared" si="192"/>
        <v>1</v>
      </c>
      <c r="CS70" s="1333">
        <f t="shared" ref="CS70:CT70" si="194">CS63/CS$63</f>
        <v>1</v>
      </c>
      <c r="CT70" s="1333">
        <f t="shared" si="194"/>
        <v>1</v>
      </c>
      <c r="CU70" s="347"/>
      <c r="CV70" s="1363"/>
      <c r="CW70" s="347"/>
      <c r="CX70" s="347"/>
      <c r="CY70" s="347"/>
      <c r="CZ70" s="347"/>
      <c r="DA70" s="347"/>
      <c r="DB70" s="347"/>
      <c r="DC70" s="347"/>
      <c r="DD70" s="347"/>
      <c r="DE70" s="347"/>
      <c r="DF70" s="347"/>
    </row>
    <row r="71" spans="1:110">
      <c r="B71" s="347"/>
      <c r="C71" s="379"/>
      <c r="D71" s="379"/>
      <c r="E71" s="379"/>
      <c r="F71" s="379"/>
      <c r="G71" s="379"/>
      <c r="H71" s="379"/>
      <c r="I71" s="379"/>
      <c r="J71" s="379"/>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403"/>
      <c r="AH71" s="403"/>
      <c r="AI71" s="403"/>
      <c r="AJ71" s="403"/>
      <c r="AK71" s="403"/>
      <c r="AL71" s="403"/>
      <c r="AM71" s="403"/>
      <c r="AN71" s="403"/>
      <c r="AO71" s="403"/>
      <c r="AP71" s="403"/>
      <c r="AQ71" s="347"/>
      <c r="AR71" s="347"/>
      <c r="AS71" s="347"/>
      <c r="AT71" s="347"/>
      <c r="AU71" s="347"/>
      <c r="AV71" s="347"/>
      <c r="AW71" s="347"/>
      <c r="AX71" s="347"/>
      <c r="AY71" s="347"/>
      <c r="AZ71" s="347"/>
      <c r="BA71" s="347"/>
      <c r="BB71" s="347"/>
      <c r="BC71" s="347"/>
      <c r="BD71" s="347"/>
      <c r="BE71" s="347"/>
      <c r="BF71" s="347"/>
      <c r="BG71" s="347"/>
      <c r="BH71" s="347"/>
      <c r="BI71" s="347"/>
      <c r="BJ71" s="347"/>
      <c r="BK71" s="347"/>
      <c r="BL71" s="347"/>
      <c r="BM71" s="347"/>
      <c r="BN71" s="347"/>
      <c r="BO71" s="347"/>
      <c r="BP71" s="347"/>
      <c r="BQ71" s="347"/>
      <c r="BR71" s="347"/>
      <c r="BS71" s="347"/>
      <c r="BT71" s="347"/>
      <c r="BU71" s="347"/>
      <c r="BV71" s="347"/>
      <c r="BW71" s="347"/>
      <c r="BX71" s="347"/>
      <c r="BY71" s="347"/>
      <c r="BZ71" s="347"/>
      <c r="CA71" s="347"/>
      <c r="CB71" s="347"/>
      <c r="CC71" s="347"/>
      <c r="CD71" s="347"/>
      <c r="CE71" s="347"/>
      <c r="CF71" s="347"/>
      <c r="CG71" s="347"/>
      <c r="CH71" s="347"/>
      <c r="CI71" s="347"/>
      <c r="CJ71" s="347"/>
      <c r="CK71" s="347"/>
      <c r="CL71" s="347"/>
      <c r="CM71" s="347"/>
      <c r="CN71" s="347"/>
      <c r="CO71" s="347"/>
      <c r="CP71" s="347"/>
      <c r="CQ71" s="347"/>
      <c r="CR71" s="347"/>
      <c r="CS71" s="347"/>
      <c r="CT71" s="347"/>
      <c r="CU71" s="347"/>
      <c r="CV71" s="1363"/>
      <c r="CW71" s="347"/>
      <c r="CX71" s="347"/>
      <c r="CY71" s="401"/>
      <c r="CZ71" s="402"/>
      <c r="DA71" s="402"/>
      <c r="DB71" s="402"/>
      <c r="DC71" s="402"/>
      <c r="DD71" s="402"/>
      <c r="DE71" s="402"/>
      <c r="DF71" s="402"/>
    </row>
    <row r="72" spans="1:110">
      <c r="B72" s="347"/>
      <c r="C72" s="379"/>
      <c r="D72" s="379"/>
      <c r="E72" s="379"/>
      <c r="F72" s="379"/>
      <c r="G72" s="379"/>
      <c r="H72" s="379"/>
      <c r="I72" s="379"/>
      <c r="J72" s="379"/>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403"/>
      <c r="AH72" s="403"/>
      <c r="AI72" s="403"/>
      <c r="AJ72" s="403"/>
      <c r="AK72" s="403"/>
      <c r="AL72" s="403"/>
      <c r="AM72" s="403"/>
      <c r="AN72" s="403"/>
      <c r="AO72" s="403"/>
      <c r="AP72" s="403"/>
      <c r="AQ72" s="347"/>
      <c r="AR72" s="347"/>
      <c r="AS72" s="347"/>
      <c r="AT72" s="347"/>
      <c r="AU72" s="347"/>
      <c r="AV72" s="347"/>
      <c r="AW72" s="347"/>
      <c r="AX72" s="347"/>
      <c r="AY72" s="347"/>
      <c r="AZ72" s="347"/>
      <c r="BA72" s="347"/>
      <c r="BB72" s="347"/>
      <c r="BC72" s="347"/>
      <c r="BD72" s="347"/>
      <c r="BE72" s="347"/>
      <c r="BF72" s="347"/>
      <c r="BG72" s="347"/>
      <c r="BH72" s="347"/>
      <c r="BI72" s="347"/>
      <c r="BJ72" s="347"/>
      <c r="BK72" s="347"/>
      <c r="BL72" s="347"/>
      <c r="BM72" s="347"/>
      <c r="BN72" s="347"/>
      <c r="BO72" s="347"/>
      <c r="BP72" s="347"/>
      <c r="BQ72" s="347"/>
      <c r="BR72" s="347"/>
      <c r="BS72" s="347"/>
      <c r="BT72" s="347"/>
      <c r="BU72" s="347"/>
      <c r="BV72" s="347"/>
      <c r="BW72" s="347"/>
      <c r="BX72" s="347"/>
      <c r="BY72" s="347"/>
      <c r="BZ72" s="347"/>
      <c r="CA72" s="347"/>
      <c r="CB72" s="347"/>
      <c r="CC72" s="347"/>
      <c r="CD72" s="347"/>
      <c r="CE72" s="347"/>
      <c r="CF72" s="347"/>
      <c r="CG72" s="347"/>
      <c r="CH72" s="347"/>
      <c r="CI72" s="347"/>
      <c r="CJ72" s="347"/>
      <c r="CK72" s="347"/>
      <c r="CL72" s="347"/>
      <c r="CM72" s="347"/>
      <c r="CN72" s="347"/>
      <c r="CO72" s="347"/>
      <c r="CP72" s="347"/>
      <c r="CQ72" s="347"/>
      <c r="CR72" s="347"/>
      <c r="CS72" s="347"/>
      <c r="CT72" s="347"/>
      <c r="CU72" s="347"/>
      <c r="CV72" s="1363"/>
      <c r="CW72" s="347"/>
      <c r="CX72" s="347"/>
      <c r="CY72" s="401"/>
      <c r="CZ72" s="402"/>
      <c r="DA72" s="402"/>
      <c r="DB72" s="402"/>
      <c r="DC72" s="402"/>
      <c r="DD72" s="402"/>
      <c r="DE72" s="402"/>
      <c r="DF72" s="402"/>
    </row>
    <row r="73" spans="1:110">
      <c r="B73" s="383" t="s">
        <v>13</v>
      </c>
      <c r="C73" s="556">
        <f>C$4</f>
        <v>2007</v>
      </c>
      <c r="D73" s="556" t="str">
        <f t="shared" ref="D73:BO73" si="195">D$4</f>
        <v>Q1</v>
      </c>
      <c r="E73" s="556" t="str">
        <f t="shared" si="195"/>
        <v>Q2</v>
      </c>
      <c r="F73" s="556" t="str">
        <f t="shared" si="195"/>
        <v>Q3</v>
      </c>
      <c r="G73" s="556" t="str">
        <f t="shared" si="195"/>
        <v>Q4</v>
      </c>
      <c r="H73" s="556">
        <f t="shared" si="195"/>
        <v>2008</v>
      </c>
      <c r="I73" s="556" t="str">
        <f t="shared" si="195"/>
        <v>Q1</v>
      </c>
      <c r="J73" s="556" t="str">
        <f t="shared" si="195"/>
        <v>Q2</v>
      </c>
      <c r="K73" s="556" t="str">
        <f t="shared" si="195"/>
        <v>Q3</v>
      </c>
      <c r="L73" s="556" t="str">
        <f t="shared" si="195"/>
        <v>Q4</v>
      </c>
      <c r="M73" s="556">
        <f t="shared" si="195"/>
        <v>2009</v>
      </c>
      <c r="N73" s="556" t="str">
        <f t="shared" si="195"/>
        <v>Q1</v>
      </c>
      <c r="O73" s="556" t="str">
        <f t="shared" si="195"/>
        <v>Q2</v>
      </c>
      <c r="P73" s="556" t="str">
        <f t="shared" si="195"/>
        <v>Q3</v>
      </c>
      <c r="Q73" s="556" t="str">
        <f t="shared" si="195"/>
        <v>Q4</v>
      </c>
      <c r="R73" s="556">
        <f t="shared" si="195"/>
        <v>2010</v>
      </c>
      <c r="S73" s="556" t="str">
        <f t="shared" si="195"/>
        <v>Q1</v>
      </c>
      <c r="T73" s="556" t="str">
        <f t="shared" si="195"/>
        <v>Q2</v>
      </c>
      <c r="U73" s="556" t="str">
        <f t="shared" si="195"/>
        <v>Q3</v>
      </c>
      <c r="V73" s="556" t="str">
        <f t="shared" si="195"/>
        <v>Q4</v>
      </c>
      <c r="W73" s="556">
        <f t="shared" si="195"/>
        <v>2011</v>
      </c>
      <c r="X73" s="556" t="str">
        <f t="shared" si="195"/>
        <v>Q1</v>
      </c>
      <c r="Y73" s="556" t="str">
        <f t="shared" si="195"/>
        <v>Q2</v>
      </c>
      <c r="Z73" s="556" t="str">
        <f t="shared" si="195"/>
        <v>Q3</v>
      </c>
      <c r="AA73" s="556" t="str">
        <f t="shared" si="195"/>
        <v>Q4</v>
      </c>
      <c r="AB73" s="556">
        <f t="shared" si="195"/>
        <v>2012</v>
      </c>
      <c r="AC73" s="556" t="str">
        <f t="shared" si="195"/>
        <v>Q1</v>
      </c>
      <c r="AD73" s="556" t="str">
        <f t="shared" si="195"/>
        <v>Q2</v>
      </c>
      <c r="AE73" s="556" t="str">
        <f t="shared" si="195"/>
        <v>Q3</v>
      </c>
      <c r="AF73" s="556" t="str">
        <f t="shared" si="195"/>
        <v>Q4</v>
      </c>
      <c r="AG73" s="556">
        <f t="shared" si="195"/>
        <v>2013</v>
      </c>
      <c r="AH73" s="556" t="str">
        <f t="shared" si="195"/>
        <v>Q1</v>
      </c>
      <c r="AI73" s="556" t="str">
        <f t="shared" si="195"/>
        <v>Q2</v>
      </c>
      <c r="AJ73" s="556" t="str">
        <f t="shared" si="195"/>
        <v>Q3</v>
      </c>
      <c r="AK73" s="556" t="str">
        <f t="shared" si="195"/>
        <v>Q4</v>
      </c>
      <c r="AL73" s="556">
        <f t="shared" si="195"/>
        <v>2014</v>
      </c>
      <c r="AM73" s="556" t="str">
        <f t="shared" si="195"/>
        <v>Q1</v>
      </c>
      <c r="AN73" s="556" t="str">
        <f t="shared" si="195"/>
        <v>Q2</v>
      </c>
      <c r="AO73" s="556" t="str">
        <f t="shared" si="195"/>
        <v>Q3</v>
      </c>
      <c r="AP73" s="556" t="str">
        <f t="shared" si="195"/>
        <v>Q4</v>
      </c>
      <c r="AQ73" s="556">
        <f t="shared" si="195"/>
        <v>2015</v>
      </c>
      <c r="AR73" s="556" t="str">
        <f t="shared" si="195"/>
        <v>Q1</v>
      </c>
      <c r="AS73" s="556" t="str">
        <f t="shared" si="195"/>
        <v>Q2</v>
      </c>
      <c r="AT73" s="556" t="str">
        <f t="shared" si="195"/>
        <v>Q3</v>
      </c>
      <c r="AU73" s="556" t="str">
        <f t="shared" si="195"/>
        <v>Q4</v>
      </c>
      <c r="AV73" s="556">
        <f t="shared" si="195"/>
        <v>2016</v>
      </c>
      <c r="AW73" s="556" t="str">
        <f t="shared" si="195"/>
        <v>Q1</v>
      </c>
      <c r="AX73" s="556" t="str">
        <f t="shared" si="195"/>
        <v>Q2</v>
      </c>
      <c r="AY73" s="556" t="str">
        <f t="shared" si="195"/>
        <v>Q3</v>
      </c>
      <c r="AZ73" s="556" t="str">
        <f t="shared" si="195"/>
        <v>Q4</v>
      </c>
      <c r="BA73" s="556">
        <f t="shared" si="195"/>
        <v>2017</v>
      </c>
      <c r="BB73" s="556" t="str">
        <f t="shared" si="195"/>
        <v>Q1</v>
      </c>
      <c r="BC73" s="556" t="str">
        <f t="shared" si="195"/>
        <v>Q2</v>
      </c>
      <c r="BD73" s="556" t="str">
        <f t="shared" si="195"/>
        <v>Q3</v>
      </c>
      <c r="BE73" s="556" t="str">
        <f t="shared" si="195"/>
        <v>Q4</v>
      </c>
      <c r="BF73" s="556">
        <f t="shared" si="195"/>
        <v>2018</v>
      </c>
      <c r="BG73" s="556" t="str">
        <f t="shared" si="195"/>
        <v>Q1</v>
      </c>
      <c r="BH73" s="556" t="str">
        <f t="shared" si="195"/>
        <v>Q2</v>
      </c>
      <c r="BI73" s="556" t="str">
        <f t="shared" si="195"/>
        <v>Q3</v>
      </c>
      <c r="BJ73" s="556" t="str">
        <f t="shared" si="195"/>
        <v>Q4</v>
      </c>
      <c r="BK73" s="556">
        <f t="shared" si="195"/>
        <v>2019</v>
      </c>
      <c r="BL73" s="556" t="str">
        <f t="shared" si="195"/>
        <v>Q1</v>
      </c>
      <c r="BM73" s="556" t="str">
        <f t="shared" si="195"/>
        <v>Q2</v>
      </c>
      <c r="BN73" s="556" t="str">
        <f t="shared" si="195"/>
        <v>Q3</v>
      </c>
      <c r="BO73" s="556" t="str">
        <f t="shared" si="195"/>
        <v>Q4</v>
      </c>
      <c r="BP73" s="556">
        <f t="shared" ref="BP73:CT73" si="196">BP$4</f>
        <v>2020</v>
      </c>
      <c r="BQ73" s="556" t="str">
        <f t="shared" si="196"/>
        <v>Q1</v>
      </c>
      <c r="BR73" s="556" t="str">
        <f t="shared" si="196"/>
        <v>Q2</v>
      </c>
      <c r="BS73" s="556" t="str">
        <f t="shared" si="196"/>
        <v>Q3</v>
      </c>
      <c r="BT73" s="556" t="str">
        <f t="shared" si="196"/>
        <v>Q4</v>
      </c>
      <c r="BU73" s="556">
        <f t="shared" si="196"/>
        <v>2021</v>
      </c>
      <c r="BV73" s="556" t="str">
        <f t="shared" si="196"/>
        <v>Q1</v>
      </c>
      <c r="BW73" s="556" t="str">
        <f t="shared" si="196"/>
        <v>Q2</v>
      </c>
      <c r="BX73" s="556" t="str">
        <f t="shared" si="196"/>
        <v>Q3</v>
      </c>
      <c r="BY73" s="556" t="str">
        <f t="shared" si="196"/>
        <v>Q4</v>
      </c>
      <c r="BZ73" s="556">
        <f t="shared" si="196"/>
        <v>2022</v>
      </c>
      <c r="CA73" s="556" t="str">
        <f t="shared" si="196"/>
        <v>Q1</v>
      </c>
      <c r="CB73" s="556" t="str">
        <f t="shared" si="196"/>
        <v>Q2</v>
      </c>
      <c r="CC73" s="556" t="str">
        <f t="shared" si="196"/>
        <v>Q3</v>
      </c>
      <c r="CD73" s="556" t="str">
        <f t="shared" si="196"/>
        <v>Q4</v>
      </c>
      <c r="CE73" s="556">
        <f t="shared" si="196"/>
        <v>2023</v>
      </c>
      <c r="CF73" s="556" t="str">
        <f t="shared" si="196"/>
        <v>Q1</v>
      </c>
      <c r="CG73" s="556" t="str">
        <f t="shared" si="196"/>
        <v>Q2</v>
      </c>
      <c r="CH73" s="556" t="str">
        <f t="shared" si="196"/>
        <v>Q3</v>
      </c>
      <c r="CI73" s="556" t="str">
        <f t="shared" si="196"/>
        <v>Q4</v>
      </c>
      <c r="CJ73" s="556">
        <f t="shared" si="196"/>
        <v>2024</v>
      </c>
      <c r="CK73" s="556" t="str">
        <f t="shared" si="196"/>
        <v>Q1</v>
      </c>
      <c r="CL73" s="556" t="str">
        <f t="shared" si="196"/>
        <v>Q2</v>
      </c>
      <c r="CM73" s="556" t="str">
        <f t="shared" si="196"/>
        <v>Q3</v>
      </c>
      <c r="CN73" s="556"/>
      <c r="CO73" s="556">
        <f t="shared" si="196"/>
        <v>2025</v>
      </c>
      <c r="CP73" s="556">
        <f t="shared" si="196"/>
        <v>2026</v>
      </c>
      <c r="CQ73" s="556">
        <f t="shared" si="196"/>
        <v>2027</v>
      </c>
      <c r="CR73" s="556">
        <f t="shared" si="196"/>
        <v>2028</v>
      </c>
      <c r="CS73" s="556">
        <f t="shared" si="196"/>
        <v>2029</v>
      </c>
      <c r="CT73" s="556">
        <f t="shared" si="196"/>
        <v>2030</v>
      </c>
      <c r="CU73" s="347"/>
      <c r="CV73" s="1363"/>
      <c r="CW73" s="347"/>
      <c r="CX73" s="347"/>
      <c r="CY73" s="347"/>
      <c r="CZ73" s="347"/>
      <c r="DA73" s="347"/>
      <c r="DB73" s="347"/>
      <c r="DC73" s="347"/>
      <c r="DD73" s="347"/>
      <c r="DE73" s="347"/>
      <c r="DF73" s="347"/>
    </row>
    <row r="74" spans="1:110" s="540" customFormat="1">
      <c r="A74" s="880"/>
      <c r="B74" s="404" t="s">
        <v>14</v>
      </c>
      <c r="AH74" s="540">
        <f>AH82</f>
        <v>382</v>
      </c>
      <c r="AI74" s="540">
        <f t="shared" ref="AI74:AK74" si="197">AI82</f>
        <v>391</v>
      </c>
      <c r="AJ74" s="540">
        <f t="shared" si="197"/>
        <v>412</v>
      </c>
      <c r="AK74" s="540">
        <f t="shared" si="197"/>
        <v>423</v>
      </c>
      <c r="AL74" s="540">
        <f>AL82</f>
        <v>423</v>
      </c>
      <c r="AM74" s="540">
        <f>AM82</f>
        <v>425</v>
      </c>
      <c r="AN74" s="540">
        <f t="shared" ref="AN74:AP74" si="198">AN82</f>
        <v>428</v>
      </c>
      <c r="AO74" s="540">
        <f t="shared" si="198"/>
        <v>431</v>
      </c>
      <c r="AP74" s="540">
        <f t="shared" si="198"/>
        <v>437</v>
      </c>
      <c r="AQ74" s="540">
        <f>AQ82</f>
        <v>437</v>
      </c>
      <c r="AR74" s="540">
        <f>AR82</f>
        <v>438</v>
      </c>
      <c r="AS74" s="540">
        <f t="shared" ref="AS74:AU74" si="199">AS82</f>
        <v>490</v>
      </c>
      <c r="AT74" s="540">
        <f t="shared" si="199"/>
        <v>511</v>
      </c>
      <c r="AU74" s="540">
        <f t="shared" si="199"/>
        <v>533</v>
      </c>
      <c r="AV74" s="540">
        <f>AV82</f>
        <v>533</v>
      </c>
      <c r="BA74" s="540">
        <f>BA82</f>
        <v>703</v>
      </c>
      <c r="BF74" s="540">
        <f>BF82</f>
        <v>1024</v>
      </c>
      <c r="BK74" s="540">
        <f>BK82</f>
        <v>1066</v>
      </c>
      <c r="BP74" s="540">
        <f>BP82</f>
        <v>1150</v>
      </c>
      <c r="BQ74" s="540">
        <f>BQ82</f>
        <v>1180</v>
      </c>
      <c r="BR74" s="540">
        <f t="shared" ref="BR74:BT74" si="200">BR82</f>
        <v>1230</v>
      </c>
      <c r="BS74" s="540">
        <f t="shared" si="200"/>
        <v>1270</v>
      </c>
      <c r="BT74" s="540">
        <f t="shared" si="200"/>
        <v>1320</v>
      </c>
      <c r="BU74" s="540">
        <f>BU82</f>
        <v>1320</v>
      </c>
      <c r="BV74" s="540">
        <f>BV82</f>
        <v>1360</v>
      </c>
      <c r="BW74" s="540">
        <f t="shared" ref="BW74:BY74" si="201">BW82</f>
        <v>1420</v>
      </c>
      <c r="BX74" s="540">
        <f t="shared" si="201"/>
        <v>1500</v>
      </c>
      <c r="BY74" s="540">
        <f t="shared" si="201"/>
        <v>1500</v>
      </c>
      <c r="BZ74" s="540">
        <f t="shared" ref="BZ74:CO74" si="202">BZ82</f>
        <v>1500</v>
      </c>
      <c r="CA74" s="540">
        <f t="shared" si="202"/>
        <v>1500</v>
      </c>
      <c r="CB74" s="540">
        <f t="shared" si="202"/>
        <v>1500</v>
      </c>
      <c r="CC74" s="540">
        <f t="shared" ref="CC74:CE74" si="203">CC82</f>
        <v>1600</v>
      </c>
      <c r="CD74" s="540">
        <f t="shared" si="203"/>
        <v>1600</v>
      </c>
      <c r="CE74" s="540">
        <f t="shared" si="203"/>
        <v>1600</v>
      </c>
      <c r="CF74" s="540">
        <f t="shared" ref="CF74:CG74" si="204">CF82</f>
        <v>1600</v>
      </c>
      <c r="CG74" s="540">
        <f t="shared" si="204"/>
        <v>1600</v>
      </c>
      <c r="CH74" s="540">
        <f t="shared" ref="CH74:CK74" si="205">CH82</f>
        <v>1700</v>
      </c>
      <c r="CI74" s="540">
        <f t="shared" si="205"/>
        <v>1700</v>
      </c>
      <c r="CJ74" s="540">
        <f t="shared" si="205"/>
        <v>1700</v>
      </c>
      <c r="CK74" s="540">
        <f t="shared" si="205"/>
        <v>1800</v>
      </c>
      <c r="CL74" s="540">
        <f t="shared" ref="CL74" si="206">CL82</f>
        <v>1900</v>
      </c>
      <c r="CM74" s="540">
        <f t="shared" ref="CM74" si="207">CM82</f>
        <v>1900</v>
      </c>
      <c r="CO74" s="540">
        <f t="shared" si="202"/>
        <v>1903.7392495656384</v>
      </c>
      <c r="CP74" s="540">
        <f t="shared" ref="CP74:CR74" si="208">CP76*CP53</f>
        <v>2015.2621719263691</v>
      </c>
      <c r="CQ74" s="540">
        <f t="shared" si="208"/>
        <v>2129.5735728515479</v>
      </c>
      <c r="CR74" s="540">
        <f t="shared" si="208"/>
        <v>2246.7256072852324</v>
      </c>
      <c r="CS74" s="540">
        <f t="shared" ref="CS74:CT74" si="209">CS76*CS53</f>
        <v>2366.7712703389766</v>
      </c>
      <c r="CT74" s="540">
        <f t="shared" si="209"/>
        <v>2489.7644096442746</v>
      </c>
      <c r="CV74" s="1368"/>
      <c r="CY74" s="541"/>
      <c r="CZ74" s="542"/>
      <c r="DA74" s="542"/>
      <c r="DB74" s="542"/>
      <c r="DC74" s="542"/>
      <c r="DD74" s="542"/>
      <c r="DE74" s="542"/>
      <c r="DF74" s="542"/>
    </row>
    <row r="75" spans="1:110" s="540" customFormat="1">
      <c r="A75" s="880"/>
      <c r="B75" s="404" t="s">
        <v>15</v>
      </c>
      <c r="AH75" s="540">
        <f>AH89</f>
        <v>68118</v>
      </c>
      <c r="AI75" s="540">
        <f t="shared" ref="AI75:AK75" si="210">AI89</f>
        <v>62477</v>
      </c>
      <c r="AJ75" s="540">
        <f t="shared" si="210"/>
        <v>57844</v>
      </c>
      <c r="AK75" s="540">
        <f t="shared" si="210"/>
        <v>59177</v>
      </c>
      <c r="AL75" s="540">
        <f>AL89</f>
        <v>59177</v>
      </c>
      <c r="AM75" s="540">
        <f>AM89</f>
        <v>51675</v>
      </c>
      <c r="AN75" s="540">
        <f t="shared" ref="AN75:AP75" si="211">AN89</f>
        <v>45572</v>
      </c>
      <c r="AO75" s="540">
        <f t="shared" si="211"/>
        <v>41069</v>
      </c>
      <c r="AP75" s="540">
        <f t="shared" si="211"/>
        <v>41563</v>
      </c>
      <c r="AQ75" s="540">
        <f>AQ89</f>
        <v>41563</v>
      </c>
      <c r="AR75" s="540">
        <f>AR89</f>
        <v>42062</v>
      </c>
      <c r="AS75" s="540">
        <f t="shared" ref="AS75:AU75" si="212">AS89</f>
        <v>43510</v>
      </c>
      <c r="AT75" s="540">
        <f t="shared" si="212"/>
        <v>44489</v>
      </c>
      <c r="AU75" s="540">
        <f t="shared" si="212"/>
        <v>45967</v>
      </c>
      <c r="AV75" s="540">
        <f>AV89</f>
        <v>45967</v>
      </c>
      <c r="BA75" s="540">
        <f>BA89</f>
        <v>52797</v>
      </c>
      <c r="BF75" s="540">
        <f>BF89</f>
        <v>53900</v>
      </c>
      <c r="BK75" s="540">
        <f>BK89</f>
        <v>55600</v>
      </c>
      <c r="BP75" s="540">
        <f>BP89</f>
        <v>56740</v>
      </c>
      <c r="BQ75" s="540">
        <f>BQ89</f>
        <v>54830</v>
      </c>
      <c r="BR75" s="540">
        <f t="shared" ref="BR75:BT75" si="213">BR89</f>
        <v>55540</v>
      </c>
      <c r="BS75" s="540">
        <f t="shared" si="213"/>
        <v>56710</v>
      </c>
      <c r="BT75" s="540">
        <f t="shared" si="213"/>
        <v>56590</v>
      </c>
      <c r="BU75" s="540">
        <f>BU89</f>
        <v>56590</v>
      </c>
      <c r="BV75" s="540">
        <f>BV89</f>
        <v>55640</v>
      </c>
      <c r="BW75" s="540">
        <f t="shared" ref="BW75:BY75" si="214">BW89</f>
        <v>55810</v>
      </c>
      <c r="BX75" s="540">
        <f t="shared" si="214"/>
        <v>55900</v>
      </c>
      <c r="BY75" s="540">
        <f t="shared" si="214"/>
        <v>56000</v>
      </c>
      <c r="BZ75" s="540">
        <f t="shared" ref="BZ75:CO75" si="215">BZ89</f>
        <v>56000</v>
      </c>
      <c r="CA75" s="540">
        <f t="shared" si="215"/>
        <v>56400</v>
      </c>
      <c r="CB75" s="540">
        <f t="shared" si="215"/>
        <v>56500</v>
      </c>
      <c r="CC75" s="540">
        <f t="shared" ref="CC75:CE75" si="216">CC89</f>
        <v>55900</v>
      </c>
      <c r="CD75" s="540">
        <f t="shared" si="216"/>
        <v>55900</v>
      </c>
      <c r="CE75" s="540">
        <f t="shared" si="216"/>
        <v>55900</v>
      </c>
      <c r="CF75" s="540">
        <f t="shared" ref="CF75:CG75" si="217">CF89</f>
        <v>56000</v>
      </c>
      <c r="CG75" s="540">
        <f t="shared" si="217"/>
        <v>56900</v>
      </c>
      <c r="CH75" s="540">
        <f t="shared" ref="CH75:CK75" si="218">CH89</f>
        <v>56900</v>
      </c>
      <c r="CI75" s="540">
        <f t="shared" si="218"/>
        <v>57100</v>
      </c>
      <c r="CJ75" s="540">
        <f t="shared" si="218"/>
        <v>57100</v>
      </c>
      <c r="CK75" s="540">
        <f t="shared" si="218"/>
        <v>57100</v>
      </c>
      <c r="CL75" s="540">
        <f t="shared" ref="CL75" si="219">CL89</f>
        <v>80700</v>
      </c>
      <c r="CM75" s="540">
        <f t="shared" ref="CM75" si="220">CM89</f>
        <v>77700</v>
      </c>
      <c r="CO75" s="540">
        <f t="shared" si="215"/>
        <v>80867.532470679507</v>
      </c>
      <c r="CP75" s="540">
        <f t="shared" ref="CP75:CR75" si="221">CP77*CP53</f>
        <v>81953.994991672342</v>
      </c>
      <c r="CQ75" s="540">
        <f t="shared" si="221"/>
        <v>83053.369341210375</v>
      </c>
      <c r="CR75" s="540">
        <f t="shared" si="221"/>
        <v>84165.797749839083</v>
      </c>
      <c r="CS75" s="540">
        <f t="shared" ref="CS75:CT75" si="222">CS77*CS53</f>
        <v>85291.423927400872</v>
      </c>
      <c r="CT75" s="540">
        <f t="shared" si="222"/>
        <v>86430.393077651228</v>
      </c>
      <c r="CV75" s="1368"/>
      <c r="CY75" s="543"/>
      <c r="CZ75" s="544"/>
      <c r="DA75" s="544"/>
      <c r="DB75" s="544"/>
      <c r="DC75" s="544"/>
      <c r="DD75" s="544"/>
      <c r="DE75" s="544"/>
      <c r="DF75" s="544"/>
    </row>
    <row r="76" spans="1:110" s="356" customFormat="1">
      <c r="A76" s="794"/>
      <c r="B76" s="554" t="s">
        <v>16</v>
      </c>
      <c r="C76" s="426" t="e">
        <f>C74/(C75+C74)</f>
        <v>#DIV/0!</v>
      </c>
      <c r="D76" s="426"/>
      <c r="E76" s="426"/>
      <c r="F76" s="426"/>
      <c r="G76" s="426"/>
      <c r="H76" s="426" t="e">
        <f>H74/(H75+H74)</f>
        <v>#DIV/0!</v>
      </c>
      <c r="I76" s="426"/>
      <c r="J76" s="426"/>
      <c r="K76" s="426"/>
      <c r="L76" s="426"/>
      <c r="M76" s="426" t="e">
        <f>M74/(M75+M74)</f>
        <v>#DIV/0!</v>
      </c>
      <c r="N76" s="426"/>
      <c r="O76" s="426"/>
      <c r="P76" s="426"/>
      <c r="Q76" s="426"/>
      <c r="R76" s="426" t="e">
        <f>R74/(R75+R74)</f>
        <v>#DIV/0!</v>
      </c>
      <c r="S76" s="426"/>
      <c r="T76" s="426"/>
      <c r="U76" s="426"/>
      <c r="V76" s="426"/>
      <c r="W76" s="426" t="e">
        <f>W74/(W75+W74)</f>
        <v>#DIV/0!</v>
      </c>
      <c r="X76" s="426"/>
      <c r="Y76" s="426"/>
      <c r="Z76" s="426"/>
      <c r="AA76" s="426"/>
      <c r="AB76" s="426" t="e">
        <f>AB74/(AB75+AB74)</f>
        <v>#DIV/0!</v>
      </c>
      <c r="AC76" s="426"/>
      <c r="AD76" s="426"/>
      <c r="AE76" s="426"/>
      <c r="AF76" s="426"/>
      <c r="AG76" s="426" t="e">
        <f>AG74/(AG75+AG74)</f>
        <v>#DIV/0!</v>
      </c>
      <c r="AH76" s="426">
        <f>AH74/(AH75+AH74)</f>
        <v>5.5766423357664231E-3</v>
      </c>
      <c r="AI76" s="426">
        <f t="shared" ref="AI76" si="223">AI74/(AI75+AI74)</f>
        <v>6.219380288859197E-3</v>
      </c>
      <c r="AJ76" s="426">
        <f t="shared" ref="AJ76" si="224">AJ74/(AJ75+AJ74)</f>
        <v>7.0722329030486128E-3</v>
      </c>
      <c r="AK76" s="426">
        <f t="shared" ref="AK76" si="225">AK74/(AK75+AK74)</f>
        <v>7.0973154362416104E-3</v>
      </c>
      <c r="AL76" s="426">
        <f>AL74/(AL75+AL74)</f>
        <v>7.0973154362416104E-3</v>
      </c>
      <c r="AM76" s="426">
        <f>AM74/(AM75+AM74)</f>
        <v>8.1573896353166978E-3</v>
      </c>
      <c r="AN76" s="426">
        <f t="shared" ref="AN76" si="226">AN74/(AN75+AN74)</f>
        <v>9.3043478260869568E-3</v>
      </c>
      <c r="AO76" s="426">
        <f t="shared" ref="AO76" si="227">AO74/(AO75+AO74)</f>
        <v>1.0385542168674699E-2</v>
      </c>
      <c r="AP76" s="426">
        <f t="shared" ref="AP76" si="228">AP74/(AP75+AP74)</f>
        <v>1.0404761904761905E-2</v>
      </c>
      <c r="AQ76" s="426">
        <f>AQ74/(AQ75+AQ74)</f>
        <v>1.0404761904761905E-2</v>
      </c>
      <c r="AR76" s="426">
        <f>AR74/(AR75+AR74)</f>
        <v>1.0305882352941177E-2</v>
      </c>
      <c r="AS76" s="426">
        <f t="shared" ref="AS76" si="229">AS74/(AS75+AS74)</f>
        <v>1.1136363636363637E-2</v>
      </c>
      <c r="AT76" s="426">
        <f t="shared" ref="AT76" si="230">AT74/(AT75+AT74)</f>
        <v>1.1355555555555556E-2</v>
      </c>
      <c r="AU76" s="426">
        <f t="shared" ref="AU76" si="231">AU74/(AU75+AU74)</f>
        <v>1.1462365591397849E-2</v>
      </c>
      <c r="AV76" s="426">
        <f>AV74/(AV75+AV74)</f>
        <v>1.1462365591397849E-2</v>
      </c>
      <c r="AW76" s="430"/>
      <c r="AX76" s="430"/>
      <c r="AY76" s="430"/>
      <c r="AZ76" s="430"/>
      <c r="BA76" s="426">
        <f>BA74/(BA75+BA74)</f>
        <v>1.314018691588785E-2</v>
      </c>
      <c r="BB76" s="430"/>
      <c r="BC76" s="430"/>
      <c r="BD76" s="430"/>
      <c r="BE76" s="430"/>
      <c r="BF76" s="426">
        <f>BF74/(BF75+BF74)</f>
        <v>1.8643944359478554E-2</v>
      </c>
      <c r="BG76" s="430"/>
      <c r="BH76" s="430"/>
      <c r="BI76" s="430"/>
      <c r="BJ76" s="430"/>
      <c r="BK76" s="426">
        <f>BK74/(BK75+BK74)</f>
        <v>1.8811986023364979E-2</v>
      </c>
      <c r="BL76" s="430"/>
      <c r="BM76" s="430"/>
      <c r="BN76" s="430"/>
      <c r="BO76" s="430"/>
      <c r="BP76" s="426">
        <f>BP74/(BP75+BP74)</f>
        <v>1.9865261703230264E-2</v>
      </c>
      <c r="BQ76" s="426">
        <f>BQ74/(BQ75+BQ74)</f>
        <v>2.1067666488127121E-2</v>
      </c>
      <c r="BR76" s="426">
        <f t="shared" ref="BR76" si="232">BR74/(BR75+BR74)</f>
        <v>2.1666373084375551E-2</v>
      </c>
      <c r="BS76" s="426">
        <f t="shared" ref="BS76" si="233">BS74/(BS75+BS74)</f>
        <v>2.190410486374612E-2</v>
      </c>
      <c r="BT76" s="426">
        <f t="shared" ref="BT76" si="234">BT74/(BT75+BT74)</f>
        <v>2.2793990675185633E-2</v>
      </c>
      <c r="BU76" s="426">
        <f>BU74/(BU75+BU74)</f>
        <v>2.2793990675185633E-2</v>
      </c>
      <c r="BV76" s="426">
        <f>BV74/(BV75+BV74)</f>
        <v>2.3859649122807018E-2</v>
      </c>
      <c r="BW76" s="426">
        <f t="shared" ref="BW76:BY76" si="235">BW74/(BW75+BW74)</f>
        <v>2.4812161453782983E-2</v>
      </c>
      <c r="BX76" s="426">
        <f t="shared" si="235"/>
        <v>2.6132404181184669E-2</v>
      </c>
      <c r="BY76" s="426">
        <f t="shared" si="235"/>
        <v>2.6086956521739129E-2</v>
      </c>
      <c r="BZ76" s="426">
        <f t="shared" ref="BZ76:CD76" si="236">BZ74/(BZ75+BZ74)</f>
        <v>2.6086956521739129E-2</v>
      </c>
      <c r="CA76" s="426">
        <f t="shared" si="236"/>
        <v>2.5906735751295335E-2</v>
      </c>
      <c r="CB76" s="426">
        <f t="shared" si="236"/>
        <v>2.5862068965517241E-2</v>
      </c>
      <c r="CC76" s="426">
        <f t="shared" si="236"/>
        <v>2.782608695652174E-2</v>
      </c>
      <c r="CD76" s="426">
        <f t="shared" si="236"/>
        <v>2.782608695652174E-2</v>
      </c>
      <c r="CE76" s="426">
        <f t="shared" ref="CE76:CF76" si="237">CE74/(CE75+CE74)</f>
        <v>2.782608695652174E-2</v>
      </c>
      <c r="CF76" s="426">
        <f t="shared" si="237"/>
        <v>2.7777777777777776E-2</v>
      </c>
      <c r="CG76" s="426">
        <f t="shared" ref="CG76:CH76" si="238">CG74/(CG75+CG74)</f>
        <v>2.735042735042735E-2</v>
      </c>
      <c r="CH76" s="426">
        <f t="shared" si="238"/>
        <v>2.9010238907849831E-2</v>
      </c>
      <c r="CI76" s="426">
        <f t="shared" ref="CI76:CK76" si="239">CI74/(CI75+CI74)</f>
        <v>2.8911564625850341E-2</v>
      </c>
      <c r="CJ76" s="426">
        <f t="shared" si="239"/>
        <v>2.8911564625850341E-2</v>
      </c>
      <c r="CK76" s="426">
        <f t="shared" si="239"/>
        <v>3.0560271646859084E-2</v>
      </c>
      <c r="CL76" s="426">
        <f t="shared" ref="CL76" si="240">CL74/(CL75+CL74)</f>
        <v>2.3002421307506054E-2</v>
      </c>
      <c r="CM76" s="426">
        <f t="shared" ref="CM76" si="241">CM74/(CM75+CM74)</f>
        <v>2.3869346733668341E-2</v>
      </c>
      <c r="CN76" s="426"/>
      <c r="CO76" s="425">
        <v>2.3E-2</v>
      </c>
      <c r="CP76" s="425">
        <f t="shared" ref="CP76:CT76" si="242">CO76+0.1%</f>
        <v>2.4E-2</v>
      </c>
      <c r="CQ76" s="425">
        <f t="shared" si="242"/>
        <v>2.5000000000000001E-2</v>
      </c>
      <c r="CR76" s="425">
        <f t="shared" si="242"/>
        <v>2.6000000000000002E-2</v>
      </c>
      <c r="CS76" s="425">
        <f t="shared" si="242"/>
        <v>2.7000000000000003E-2</v>
      </c>
      <c r="CT76" s="425">
        <f t="shared" si="242"/>
        <v>2.8000000000000004E-2</v>
      </c>
      <c r="CV76" s="1366"/>
      <c r="CY76" s="555"/>
      <c r="CZ76" s="402"/>
      <c r="DA76" s="402"/>
      <c r="DB76" s="402"/>
      <c r="DC76" s="402"/>
      <c r="DD76" s="402"/>
      <c r="DE76" s="402"/>
      <c r="DF76" s="402"/>
    </row>
    <row r="77" spans="1:110" s="356" customFormat="1">
      <c r="A77" s="794"/>
      <c r="B77" s="554" t="s">
        <v>17</v>
      </c>
      <c r="C77" s="426" t="e">
        <f>100%-C76</f>
        <v>#DIV/0!</v>
      </c>
      <c r="D77" s="426"/>
      <c r="E77" s="426"/>
      <c r="F77" s="426"/>
      <c r="G77" s="426"/>
      <c r="H77" s="426" t="e">
        <f>100%-H76</f>
        <v>#DIV/0!</v>
      </c>
      <c r="I77" s="426"/>
      <c r="J77" s="426"/>
      <c r="K77" s="426"/>
      <c r="L77" s="426"/>
      <c r="M77" s="426" t="e">
        <f>100%-M76</f>
        <v>#DIV/0!</v>
      </c>
      <c r="N77" s="426"/>
      <c r="O77" s="426"/>
      <c r="P77" s="426"/>
      <c r="Q77" s="426"/>
      <c r="R77" s="426" t="e">
        <f>100%-R76</f>
        <v>#DIV/0!</v>
      </c>
      <c r="S77" s="426"/>
      <c r="T77" s="426"/>
      <c r="U77" s="426"/>
      <c r="V77" s="426"/>
      <c r="W77" s="426" t="e">
        <f>100%-W76</f>
        <v>#DIV/0!</v>
      </c>
      <c r="X77" s="426"/>
      <c r="Y77" s="426"/>
      <c r="Z77" s="426"/>
      <c r="AA77" s="426"/>
      <c r="AB77" s="426" t="e">
        <f>100%-AB76</f>
        <v>#DIV/0!</v>
      </c>
      <c r="AC77" s="426"/>
      <c r="AD77" s="426"/>
      <c r="AE77" s="426"/>
      <c r="AF77" s="426"/>
      <c r="AG77" s="426" t="e">
        <f>100%-AG76</f>
        <v>#DIV/0!</v>
      </c>
      <c r="AH77" s="426">
        <f>100%-AH76</f>
        <v>0.99442335766423362</v>
      </c>
      <c r="AI77" s="426">
        <f t="shared" ref="AI77" si="243">100%-AI76</f>
        <v>0.99378061971114084</v>
      </c>
      <c r="AJ77" s="426">
        <f t="shared" ref="AJ77" si="244">100%-AJ76</f>
        <v>0.99292776709695141</v>
      </c>
      <c r="AK77" s="426">
        <f t="shared" ref="AK77" si="245">100%-AK76</f>
        <v>0.99290268456375841</v>
      </c>
      <c r="AL77" s="426">
        <f>100%-AL76</f>
        <v>0.99290268456375841</v>
      </c>
      <c r="AM77" s="426">
        <f>100%-AM76</f>
        <v>0.99184261036468335</v>
      </c>
      <c r="AN77" s="426">
        <f t="shared" ref="AN77" si="246">100%-AN76</f>
        <v>0.99069565217391309</v>
      </c>
      <c r="AO77" s="426">
        <f t="shared" ref="AO77" si="247">100%-AO76</f>
        <v>0.98961445783132529</v>
      </c>
      <c r="AP77" s="426">
        <f t="shared" ref="AP77" si="248">100%-AP76</f>
        <v>0.98959523809523808</v>
      </c>
      <c r="AQ77" s="426">
        <f>100%-AQ76</f>
        <v>0.98959523809523808</v>
      </c>
      <c r="AR77" s="426">
        <f>100%-AR76</f>
        <v>0.98969411764705884</v>
      </c>
      <c r="AS77" s="426">
        <f t="shared" ref="AS77" si="249">100%-AS76</f>
        <v>0.98886363636363639</v>
      </c>
      <c r="AT77" s="426">
        <f t="shared" ref="AT77" si="250">100%-AT76</f>
        <v>0.98864444444444444</v>
      </c>
      <c r="AU77" s="426">
        <f t="shared" ref="AU77" si="251">100%-AU76</f>
        <v>0.98853763440860209</v>
      </c>
      <c r="AV77" s="426">
        <f>100%-AV76</f>
        <v>0.98853763440860209</v>
      </c>
      <c r="AW77" s="430"/>
      <c r="AX77" s="430"/>
      <c r="AY77" s="430"/>
      <c r="AZ77" s="430"/>
      <c r="BA77" s="426">
        <f>100%-BA76</f>
        <v>0.98685981308411219</v>
      </c>
      <c r="BB77" s="430"/>
      <c r="BC77" s="430"/>
      <c r="BD77" s="430"/>
      <c r="BE77" s="430"/>
      <c r="BF77" s="426">
        <f>100%-BF76</f>
        <v>0.98135605564052142</v>
      </c>
      <c r="BG77" s="430"/>
      <c r="BH77" s="430"/>
      <c r="BI77" s="430"/>
      <c r="BJ77" s="430"/>
      <c r="BK77" s="426">
        <f>100%-BK76</f>
        <v>0.98118801397663502</v>
      </c>
      <c r="BL77" s="430"/>
      <c r="BM77" s="430"/>
      <c r="BN77" s="430"/>
      <c r="BO77" s="430"/>
      <c r="BP77" s="426">
        <f>100%-BP76</f>
        <v>0.98013473829676978</v>
      </c>
      <c r="BQ77" s="426">
        <f>100%-BQ76</f>
        <v>0.97893233351187292</v>
      </c>
      <c r="BR77" s="426">
        <f t="shared" ref="BR77" si="252">100%-BR76</f>
        <v>0.97833362691562442</v>
      </c>
      <c r="BS77" s="426">
        <f t="shared" ref="BS77" si="253">100%-BS76</f>
        <v>0.97809589513625383</v>
      </c>
      <c r="BT77" s="426">
        <f t="shared" ref="BT77" si="254">100%-BT76</f>
        <v>0.97720600932481438</v>
      </c>
      <c r="BU77" s="426">
        <f>100%-BU76</f>
        <v>0.97720600932481438</v>
      </c>
      <c r="BV77" s="426">
        <f>100%-BV76</f>
        <v>0.97614035087719297</v>
      </c>
      <c r="BW77" s="426">
        <f t="shared" ref="BW77:BY77" si="255">100%-BW76</f>
        <v>0.97518783854621705</v>
      </c>
      <c r="BX77" s="426">
        <f t="shared" si="255"/>
        <v>0.97386759581881532</v>
      </c>
      <c r="BY77" s="426">
        <f t="shared" si="255"/>
        <v>0.97391304347826091</v>
      </c>
      <c r="BZ77" s="426">
        <f t="shared" ref="BZ77:CD77" si="256">100%-BZ76</f>
        <v>0.97391304347826091</v>
      </c>
      <c r="CA77" s="426">
        <f t="shared" si="256"/>
        <v>0.97409326424870468</v>
      </c>
      <c r="CB77" s="426">
        <f t="shared" si="256"/>
        <v>0.97413793103448276</v>
      </c>
      <c r="CC77" s="426">
        <f t="shared" si="256"/>
        <v>0.97217391304347822</v>
      </c>
      <c r="CD77" s="426">
        <f t="shared" si="256"/>
        <v>0.97217391304347822</v>
      </c>
      <c r="CE77" s="426">
        <f t="shared" ref="CE77:CF77" si="257">100%-CE76</f>
        <v>0.97217391304347822</v>
      </c>
      <c r="CF77" s="426">
        <f t="shared" si="257"/>
        <v>0.97222222222222221</v>
      </c>
      <c r="CG77" s="426">
        <f t="shared" ref="CG77:CH77" si="258">100%-CG76</f>
        <v>0.97264957264957264</v>
      </c>
      <c r="CH77" s="426">
        <f t="shared" si="258"/>
        <v>0.97098976109215018</v>
      </c>
      <c r="CI77" s="426">
        <f t="shared" ref="CI77:CK77" si="259">100%-CI76</f>
        <v>0.97108843537414968</v>
      </c>
      <c r="CJ77" s="426">
        <f t="shared" si="259"/>
        <v>0.97108843537414968</v>
      </c>
      <c r="CK77" s="426">
        <f t="shared" si="259"/>
        <v>0.96943972835314096</v>
      </c>
      <c r="CL77" s="426">
        <f t="shared" ref="CL77" si="260">100%-CL76</f>
        <v>0.97699757869249393</v>
      </c>
      <c r="CM77" s="426">
        <f t="shared" ref="CM77" si="261">100%-CM76</f>
        <v>0.97613065326633164</v>
      </c>
      <c r="CN77" s="426"/>
      <c r="CO77" s="425">
        <f t="shared" ref="CO77:CT77" si="262">1-CO76</f>
        <v>0.97699999999999998</v>
      </c>
      <c r="CP77" s="425">
        <f t="shared" si="262"/>
        <v>0.97599999999999998</v>
      </c>
      <c r="CQ77" s="425">
        <f t="shared" si="262"/>
        <v>0.97499999999999998</v>
      </c>
      <c r="CR77" s="425">
        <f t="shared" si="262"/>
        <v>0.97399999999999998</v>
      </c>
      <c r="CS77" s="425">
        <f t="shared" si="262"/>
        <v>0.97299999999999998</v>
      </c>
      <c r="CT77" s="425">
        <f t="shared" si="262"/>
        <v>0.97199999999999998</v>
      </c>
      <c r="CV77" s="1366"/>
    </row>
    <row r="78" spans="1:110">
      <c r="B78" s="347"/>
      <c r="C78" s="347"/>
      <c r="D78" s="347"/>
      <c r="E78" s="347"/>
      <c r="F78" s="347"/>
      <c r="G78" s="347"/>
      <c r="H78" s="347"/>
      <c r="I78" s="347"/>
      <c r="J78" s="347"/>
      <c r="K78" s="347"/>
      <c r="L78" s="347"/>
      <c r="M78" s="347"/>
      <c r="N78" s="347"/>
      <c r="O78" s="347"/>
      <c r="P78" s="347"/>
      <c r="Q78" s="347"/>
      <c r="R78" s="347"/>
      <c r="S78" s="347"/>
      <c r="T78" s="347"/>
      <c r="U78" s="347"/>
      <c r="V78" s="347"/>
      <c r="W78" s="347"/>
      <c r="X78" s="347"/>
      <c r="Y78" s="347"/>
      <c r="Z78" s="347"/>
      <c r="AA78" s="347"/>
      <c r="AB78" s="347"/>
      <c r="AC78" s="347"/>
      <c r="AD78" s="347"/>
      <c r="AE78" s="347"/>
      <c r="AF78" s="347"/>
      <c r="AG78" s="403"/>
      <c r="AH78" s="403"/>
      <c r="AI78" s="403"/>
      <c r="AJ78" s="403"/>
      <c r="AK78" s="403"/>
      <c r="AL78" s="403"/>
      <c r="AM78" s="403"/>
      <c r="AN78" s="403"/>
      <c r="AO78" s="403"/>
      <c r="AP78" s="403"/>
      <c r="AQ78" s="403"/>
      <c r="AR78" s="347"/>
      <c r="AS78" s="347"/>
      <c r="AT78" s="347"/>
      <c r="AU78" s="347"/>
      <c r="AV78" s="403"/>
      <c r="AW78" s="347"/>
      <c r="AX78" s="347"/>
      <c r="AY78" s="347"/>
      <c r="AZ78" s="347"/>
      <c r="BA78" s="403"/>
      <c r="BB78" s="347"/>
      <c r="BC78" s="347"/>
      <c r="BD78" s="347"/>
      <c r="BE78" s="347"/>
      <c r="BF78" s="403"/>
      <c r="BG78" s="347"/>
      <c r="BH78" s="347"/>
      <c r="BI78" s="347"/>
      <c r="BJ78" s="347"/>
      <c r="BK78" s="403"/>
      <c r="BL78" s="347"/>
      <c r="BM78" s="347"/>
      <c r="BN78" s="347"/>
      <c r="BO78" s="347"/>
      <c r="BP78" s="403"/>
      <c r="BQ78" s="347"/>
      <c r="BR78" s="347"/>
      <c r="BS78" s="347"/>
      <c r="BT78" s="347"/>
      <c r="BU78" s="403"/>
      <c r="BV78" s="347"/>
      <c r="BW78" s="347"/>
      <c r="BX78" s="347"/>
      <c r="BY78" s="347"/>
      <c r="BZ78" s="403"/>
      <c r="CA78" s="347"/>
      <c r="CB78" s="347"/>
      <c r="CC78" s="347"/>
      <c r="CD78" s="347"/>
      <c r="CE78" s="403"/>
      <c r="CF78" s="347"/>
      <c r="CG78" s="347"/>
      <c r="CH78" s="347"/>
      <c r="CI78" s="347"/>
      <c r="CJ78" s="403"/>
      <c r="CK78" s="347"/>
      <c r="CL78" s="347"/>
      <c r="CM78" s="347"/>
      <c r="CN78" s="347"/>
      <c r="CO78" s="403"/>
      <c r="CP78" s="347"/>
      <c r="CQ78" s="347"/>
      <c r="CR78" s="347"/>
      <c r="CS78" s="347"/>
      <c r="CT78" s="347"/>
      <c r="CU78" s="347"/>
      <c r="CV78" s="1363"/>
      <c r="CW78" s="347"/>
      <c r="CX78" s="347"/>
      <c r="CY78" s="347"/>
      <c r="CZ78" s="348"/>
      <c r="DA78" s="410"/>
    </row>
    <row r="79" spans="1:110">
      <c r="B79" s="383" t="s">
        <v>19</v>
      </c>
      <c r="C79" s="556">
        <f>C$4</f>
        <v>2007</v>
      </c>
      <c r="D79" s="556" t="str">
        <f t="shared" ref="D79:BO79" si="263">D$4</f>
        <v>Q1</v>
      </c>
      <c r="E79" s="556" t="str">
        <f t="shared" si="263"/>
        <v>Q2</v>
      </c>
      <c r="F79" s="556" t="str">
        <f t="shared" si="263"/>
        <v>Q3</v>
      </c>
      <c r="G79" s="556" t="str">
        <f t="shared" si="263"/>
        <v>Q4</v>
      </c>
      <c r="H79" s="556">
        <f t="shared" si="263"/>
        <v>2008</v>
      </c>
      <c r="I79" s="556" t="str">
        <f t="shared" si="263"/>
        <v>Q1</v>
      </c>
      <c r="J79" s="556" t="str">
        <f t="shared" si="263"/>
        <v>Q2</v>
      </c>
      <c r="K79" s="556" t="str">
        <f t="shared" si="263"/>
        <v>Q3</v>
      </c>
      <c r="L79" s="556" t="str">
        <f t="shared" si="263"/>
        <v>Q4</v>
      </c>
      <c r="M79" s="556">
        <f t="shared" si="263"/>
        <v>2009</v>
      </c>
      <c r="N79" s="556" t="str">
        <f t="shared" si="263"/>
        <v>Q1</v>
      </c>
      <c r="O79" s="556" t="str">
        <f t="shared" si="263"/>
        <v>Q2</v>
      </c>
      <c r="P79" s="556" t="str">
        <f t="shared" si="263"/>
        <v>Q3</v>
      </c>
      <c r="Q79" s="556" t="str">
        <f t="shared" si="263"/>
        <v>Q4</v>
      </c>
      <c r="R79" s="556">
        <f t="shared" si="263"/>
        <v>2010</v>
      </c>
      <c r="S79" s="556" t="str">
        <f t="shared" si="263"/>
        <v>Q1</v>
      </c>
      <c r="T79" s="556" t="str">
        <f t="shared" si="263"/>
        <v>Q2</v>
      </c>
      <c r="U79" s="556" t="str">
        <f t="shared" si="263"/>
        <v>Q3</v>
      </c>
      <c r="V79" s="556" t="str">
        <f t="shared" si="263"/>
        <v>Q4</v>
      </c>
      <c r="W79" s="556">
        <f t="shared" si="263"/>
        <v>2011</v>
      </c>
      <c r="X79" s="556" t="str">
        <f t="shared" si="263"/>
        <v>Q1</v>
      </c>
      <c r="Y79" s="556" t="str">
        <f t="shared" si="263"/>
        <v>Q2</v>
      </c>
      <c r="Z79" s="556" t="str">
        <f t="shared" si="263"/>
        <v>Q3</v>
      </c>
      <c r="AA79" s="556" t="str">
        <f t="shared" si="263"/>
        <v>Q4</v>
      </c>
      <c r="AB79" s="556">
        <f t="shared" si="263"/>
        <v>2012</v>
      </c>
      <c r="AC79" s="556" t="str">
        <f t="shared" si="263"/>
        <v>Q1</v>
      </c>
      <c r="AD79" s="556" t="str">
        <f t="shared" si="263"/>
        <v>Q2</v>
      </c>
      <c r="AE79" s="556" t="str">
        <f t="shared" si="263"/>
        <v>Q3</v>
      </c>
      <c r="AF79" s="556" t="str">
        <f t="shared" si="263"/>
        <v>Q4</v>
      </c>
      <c r="AG79" s="556">
        <f t="shared" si="263"/>
        <v>2013</v>
      </c>
      <c r="AH79" s="556" t="str">
        <f t="shared" si="263"/>
        <v>Q1</v>
      </c>
      <c r="AI79" s="556" t="str">
        <f t="shared" si="263"/>
        <v>Q2</v>
      </c>
      <c r="AJ79" s="556" t="str">
        <f t="shared" si="263"/>
        <v>Q3</v>
      </c>
      <c r="AK79" s="556" t="str">
        <f t="shared" si="263"/>
        <v>Q4</v>
      </c>
      <c r="AL79" s="556">
        <f t="shared" si="263"/>
        <v>2014</v>
      </c>
      <c r="AM79" s="556" t="str">
        <f t="shared" si="263"/>
        <v>Q1</v>
      </c>
      <c r="AN79" s="556" t="str">
        <f t="shared" si="263"/>
        <v>Q2</v>
      </c>
      <c r="AO79" s="556" t="str">
        <f t="shared" si="263"/>
        <v>Q3</v>
      </c>
      <c r="AP79" s="556" t="str">
        <f t="shared" si="263"/>
        <v>Q4</v>
      </c>
      <c r="AQ79" s="556">
        <f t="shared" si="263"/>
        <v>2015</v>
      </c>
      <c r="AR79" s="556" t="str">
        <f t="shared" si="263"/>
        <v>Q1</v>
      </c>
      <c r="AS79" s="556" t="str">
        <f t="shared" si="263"/>
        <v>Q2</v>
      </c>
      <c r="AT79" s="556" t="str">
        <f t="shared" si="263"/>
        <v>Q3</v>
      </c>
      <c r="AU79" s="556" t="str">
        <f t="shared" si="263"/>
        <v>Q4</v>
      </c>
      <c r="AV79" s="556">
        <f t="shared" si="263"/>
        <v>2016</v>
      </c>
      <c r="AW79" s="556" t="str">
        <f t="shared" si="263"/>
        <v>Q1</v>
      </c>
      <c r="AX79" s="556" t="str">
        <f t="shared" si="263"/>
        <v>Q2</v>
      </c>
      <c r="AY79" s="556" t="str">
        <f t="shared" si="263"/>
        <v>Q3</v>
      </c>
      <c r="AZ79" s="556" t="str">
        <f t="shared" si="263"/>
        <v>Q4</v>
      </c>
      <c r="BA79" s="556">
        <f t="shared" si="263"/>
        <v>2017</v>
      </c>
      <c r="BB79" s="556" t="str">
        <f t="shared" si="263"/>
        <v>Q1</v>
      </c>
      <c r="BC79" s="556" t="str">
        <f t="shared" si="263"/>
        <v>Q2</v>
      </c>
      <c r="BD79" s="556" t="str">
        <f t="shared" si="263"/>
        <v>Q3</v>
      </c>
      <c r="BE79" s="556" t="str">
        <f t="shared" si="263"/>
        <v>Q4</v>
      </c>
      <c r="BF79" s="556">
        <f t="shared" si="263"/>
        <v>2018</v>
      </c>
      <c r="BG79" s="556" t="str">
        <f t="shared" si="263"/>
        <v>Q1</v>
      </c>
      <c r="BH79" s="556" t="str">
        <f t="shared" si="263"/>
        <v>Q2</v>
      </c>
      <c r="BI79" s="556" t="str">
        <f t="shared" si="263"/>
        <v>Q3</v>
      </c>
      <c r="BJ79" s="556" t="str">
        <f t="shared" si="263"/>
        <v>Q4</v>
      </c>
      <c r="BK79" s="556">
        <f t="shared" si="263"/>
        <v>2019</v>
      </c>
      <c r="BL79" s="556" t="str">
        <f t="shared" si="263"/>
        <v>Q1</v>
      </c>
      <c r="BM79" s="556" t="str">
        <f t="shared" si="263"/>
        <v>Q2</v>
      </c>
      <c r="BN79" s="556" t="str">
        <f t="shared" si="263"/>
        <v>Q3</v>
      </c>
      <c r="BO79" s="556" t="str">
        <f t="shared" si="263"/>
        <v>Q4</v>
      </c>
      <c r="BP79" s="556">
        <f t="shared" ref="BP79:CT79" si="264">BP$4</f>
        <v>2020</v>
      </c>
      <c r="BQ79" s="556" t="str">
        <f t="shared" si="264"/>
        <v>Q1</v>
      </c>
      <c r="BR79" s="556" t="str">
        <f t="shared" si="264"/>
        <v>Q2</v>
      </c>
      <c r="BS79" s="556" t="str">
        <f t="shared" si="264"/>
        <v>Q3</v>
      </c>
      <c r="BT79" s="556" t="str">
        <f t="shared" si="264"/>
        <v>Q4</v>
      </c>
      <c r="BU79" s="556">
        <f t="shared" si="264"/>
        <v>2021</v>
      </c>
      <c r="BV79" s="556" t="str">
        <f t="shared" si="264"/>
        <v>Q1</v>
      </c>
      <c r="BW79" s="556" t="str">
        <f t="shared" si="264"/>
        <v>Q2</v>
      </c>
      <c r="BX79" s="556" t="str">
        <f t="shared" si="264"/>
        <v>Q3</v>
      </c>
      <c r="BY79" s="556" t="str">
        <f t="shared" si="264"/>
        <v>Q4</v>
      </c>
      <c r="BZ79" s="556">
        <f t="shared" si="264"/>
        <v>2022</v>
      </c>
      <c r="CA79" s="556" t="str">
        <f t="shared" si="264"/>
        <v>Q1</v>
      </c>
      <c r="CB79" s="556" t="str">
        <f t="shared" si="264"/>
        <v>Q2</v>
      </c>
      <c r="CC79" s="556" t="str">
        <f t="shared" si="264"/>
        <v>Q3</v>
      </c>
      <c r="CD79" s="556" t="str">
        <f t="shared" si="264"/>
        <v>Q4</v>
      </c>
      <c r="CE79" s="556">
        <f t="shared" si="264"/>
        <v>2023</v>
      </c>
      <c r="CF79" s="556" t="str">
        <f t="shared" si="264"/>
        <v>Q1</v>
      </c>
      <c r="CG79" s="556" t="str">
        <f t="shared" si="264"/>
        <v>Q2</v>
      </c>
      <c r="CH79" s="556" t="str">
        <f t="shared" si="264"/>
        <v>Q3</v>
      </c>
      <c r="CI79" s="556" t="str">
        <f t="shared" si="264"/>
        <v>Q4</v>
      </c>
      <c r="CJ79" s="556">
        <f t="shared" si="264"/>
        <v>2024</v>
      </c>
      <c r="CK79" s="556" t="str">
        <f t="shared" si="264"/>
        <v>Q1</v>
      </c>
      <c r="CL79" s="556" t="str">
        <f t="shared" si="264"/>
        <v>Q2</v>
      </c>
      <c r="CM79" s="556" t="str">
        <f t="shared" si="264"/>
        <v>Q3</v>
      </c>
      <c r="CN79" s="556"/>
      <c r="CO79" s="556">
        <f t="shared" si="264"/>
        <v>2025</v>
      </c>
      <c r="CP79" s="556">
        <f t="shared" si="264"/>
        <v>2026</v>
      </c>
      <c r="CQ79" s="556">
        <f t="shared" si="264"/>
        <v>2027</v>
      </c>
      <c r="CR79" s="556">
        <f t="shared" si="264"/>
        <v>2028</v>
      </c>
      <c r="CS79" s="556">
        <f t="shared" si="264"/>
        <v>2029</v>
      </c>
      <c r="CT79" s="556">
        <f t="shared" si="264"/>
        <v>2030</v>
      </c>
      <c r="CU79" s="347"/>
      <c r="CV79" s="1363"/>
      <c r="CW79" s="347"/>
      <c r="CX79" s="347"/>
      <c r="CY79" s="347"/>
      <c r="CZ79" s="347"/>
      <c r="DA79" s="347"/>
    </row>
    <row r="80" spans="1:110">
      <c r="B80" s="407" t="s">
        <v>20</v>
      </c>
      <c r="C80" s="348"/>
      <c r="D80" s="348"/>
      <c r="E80" s="348"/>
      <c r="F80" s="348"/>
      <c r="G80" s="348"/>
      <c r="H80" s="540">
        <f>C74</f>
        <v>0</v>
      </c>
      <c r="I80" s="540"/>
      <c r="J80" s="540"/>
      <c r="K80" s="540"/>
      <c r="L80" s="540"/>
      <c r="M80" s="540">
        <f>H74</f>
        <v>0</v>
      </c>
      <c r="N80" s="540"/>
      <c r="O80" s="540"/>
      <c r="P80" s="540"/>
      <c r="Q80" s="540"/>
      <c r="R80" s="540">
        <f>M74</f>
        <v>0</v>
      </c>
      <c r="S80" s="540"/>
      <c r="T80" s="540"/>
      <c r="U80" s="540"/>
      <c r="V80" s="540"/>
      <c r="W80" s="540">
        <f>R74</f>
        <v>0</v>
      </c>
      <c r="X80" s="540"/>
      <c r="Y80" s="540"/>
      <c r="Z80" s="540"/>
      <c r="AA80" s="540"/>
      <c r="AB80" s="540">
        <f>W74</f>
        <v>0</v>
      </c>
      <c r="AC80" s="540"/>
      <c r="AD80" s="540"/>
      <c r="AE80" s="540"/>
      <c r="AF80" s="540"/>
      <c r="AG80" s="540">
        <f>AB74</f>
        <v>0</v>
      </c>
      <c r="AH80" s="540">
        <f>AG82</f>
        <v>377</v>
      </c>
      <c r="AI80" s="540">
        <f t="shared" ref="AI80:AK80" si="265">AH82</f>
        <v>382</v>
      </c>
      <c r="AJ80" s="540">
        <f t="shared" si="265"/>
        <v>391</v>
      </c>
      <c r="AK80" s="540">
        <f t="shared" si="265"/>
        <v>412</v>
      </c>
      <c r="AL80" s="540">
        <f>AG82</f>
        <v>377</v>
      </c>
      <c r="AM80" s="540">
        <f>AL82</f>
        <v>423</v>
      </c>
      <c r="AN80" s="540">
        <f t="shared" ref="AN80:AP80" si="266">AM82</f>
        <v>425</v>
      </c>
      <c r="AO80" s="540">
        <f t="shared" si="266"/>
        <v>428</v>
      </c>
      <c r="AP80" s="540">
        <f t="shared" si="266"/>
        <v>431</v>
      </c>
      <c r="AQ80" s="540">
        <f>AL82</f>
        <v>423</v>
      </c>
      <c r="AR80" s="540">
        <f>AQ82</f>
        <v>437</v>
      </c>
      <c r="AS80" s="540">
        <f t="shared" ref="AS80:AU80" si="267">AR82</f>
        <v>438</v>
      </c>
      <c r="AT80" s="540">
        <f t="shared" si="267"/>
        <v>490</v>
      </c>
      <c r="AU80" s="540">
        <f t="shared" si="267"/>
        <v>511</v>
      </c>
      <c r="AV80" s="540">
        <f>AQ82</f>
        <v>437</v>
      </c>
      <c r="AW80" s="540">
        <f>AV82</f>
        <v>533</v>
      </c>
      <c r="AX80" s="540">
        <f t="shared" ref="AX80:AZ80" si="268">AW82</f>
        <v>540</v>
      </c>
      <c r="AY80" s="540">
        <f t="shared" si="268"/>
        <v>582</v>
      </c>
      <c r="AZ80" s="540">
        <f t="shared" si="268"/>
        <v>631</v>
      </c>
      <c r="BA80" s="540">
        <f>AV82</f>
        <v>533</v>
      </c>
      <c r="BB80" s="540">
        <f>BA82</f>
        <v>703</v>
      </c>
      <c r="BC80" s="540">
        <f t="shared" ref="BC80:BE80" si="269">BB82</f>
        <v>804</v>
      </c>
      <c r="BD80" s="540">
        <f t="shared" si="269"/>
        <v>891</v>
      </c>
      <c r="BE80" s="540">
        <f t="shared" si="269"/>
        <v>954</v>
      </c>
      <c r="BF80" s="540">
        <f>BA82</f>
        <v>703</v>
      </c>
      <c r="BG80" s="545">
        <f>BF82</f>
        <v>1024</v>
      </c>
      <c r="BH80" s="545">
        <f>BG82</f>
        <v>1048</v>
      </c>
      <c r="BI80" s="545">
        <f>BH82</f>
        <v>1051</v>
      </c>
      <c r="BJ80" s="545">
        <f>BI82</f>
        <v>1055</v>
      </c>
      <c r="BK80" s="540">
        <f>BF82</f>
        <v>1024</v>
      </c>
      <c r="BL80" s="545">
        <f>BK82</f>
        <v>1066</v>
      </c>
      <c r="BM80" s="545">
        <f>BL82</f>
        <v>1150</v>
      </c>
      <c r="BN80" s="545">
        <f>BM82</f>
        <v>1140</v>
      </c>
      <c r="BO80" s="545">
        <f>BN82</f>
        <v>1140</v>
      </c>
      <c r="BP80" s="540">
        <f>BK82</f>
        <v>1066</v>
      </c>
      <c r="BQ80" s="545">
        <f>BP82</f>
        <v>1150</v>
      </c>
      <c r="BR80" s="545">
        <f>BQ82</f>
        <v>1180</v>
      </c>
      <c r="BS80" s="545">
        <f>BR82</f>
        <v>1230</v>
      </c>
      <c r="BT80" s="545">
        <f>BS82</f>
        <v>1270</v>
      </c>
      <c r="BU80" s="540">
        <f>BP82</f>
        <v>1150</v>
      </c>
      <c r="BV80" s="545">
        <f>BU82</f>
        <v>1320</v>
      </c>
      <c r="BW80" s="545">
        <f t="shared" ref="BW80:BY80" si="270">BV82</f>
        <v>1360</v>
      </c>
      <c r="BX80" s="545">
        <f t="shared" si="270"/>
        <v>1420</v>
      </c>
      <c r="BY80" s="545">
        <f t="shared" si="270"/>
        <v>1500</v>
      </c>
      <c r="BZ80" s="540">
        <f>BU82</f>
        <v>1320</v>
      </c>
      <c r="CA80" s="545">
        <f>BZ82</f>
        <v>1500</v>
      </c>
      <c r="CB80" s="545">
        <f>CA82</f>
        <v>1500</v>
      </c>
      <c r="CC80" s="545">
        <f>CB82</f>
        <v>1500</v>
      </c>
      <c r="CD80" s="545">
        <f>CC82</f>
        <v>1600</v>
      </c>
      <c r="CE80" s="540">
        <f>BZ82</f>
        <v>1500</v>
      </c>
      <c r="CF80" s="545">
        <f>CE82</f>
        <v>1600</v>
      </c>
      <c r="CG80" s="545">
        <f>CF82</f>
        <v>1600</v>
      </c>
      <c r="CH80" s="545">
        <f>CG82</f>
        <v>1600</v>
      </c>
      <c r="CI80" s="545">
        <f>CH82</f>
        <v>1700</v>
      </c>
      <c r="CJ80" s="540">
        <f>CE82</f>
        <v>1600</v>
      </c>
      <c r="CK80" s="545">
        <f>CJ82</f>
        <v>1700</v>
      </c>
      <c r="CL80" s="545">
        <f>CK82</f>
        <v>1800</v>
      </c>
      <c r="CM80" s="545">
        <f>CL82</f>
        <v>1900</v>
      </c>
      <c r="CN80" s="545"/>
      <c r="CO80" s="540">
        <f>CJ82</f>
        <v>1700</v>
      </c>
      <c r="CP80" s="540">
        <f t="shared" ref="CP80:CT80" si="271">CO82</f>
        <v>1903.7392495656384</v>
      </c>
      <c r="CQ80" s="540">
        <f t="shared" si="271"/>
        <v>2015.2621719263691</v>
      </c>
      <c r="CR80" s="540">
        <f t="shared" si="271"/>
        <v>2129.5735728515479</v>
      </c>
      <c r="CS80" s="540">
        <f t="shared" si="271"/>
        <v>2246.7256072852324</v>
      </c>
      <c r="CT80" s="540">
        <f t="shared" si="271"/>
        <v>2366.7712703389766</v>
      </c>
      <c r="CU80" s="347"/>
      <c r="CV80" s="1363"/>
      <c r="CW80" s="347"/>
      <c r="CX80" s="347"/>
      <c r="CY80" s="347"/>
      <c r="CZ80" s="347"/>
      <c r="DA80" s="347"/>
    </row>
    <row r="81" spans="1:107">
      <c r="B81" s="407" t="s">
        <v>21</v>
      </c>
      <c r="C81" s="348"/>
      <c r="D81" s="348"/>
      <c r="E81" s="348"/>
      <c r="F81" s="348"/>
      <c r="G81" s="348"/>
      <c r="H81" s="540">
        <f>H82-H80</f>
        <v>0</v>
      </c>
      <c r="I81" s="540"/>
      <c r="J81" s="540"/>
      <c r="K81" s="540"/>
      <c r="L81" s="540"/>
      <c r="M81" s="540">
        <f>M82-M80</f>
        <v>0</v>
      </c>
      <c r="N81" s="540"/>
      <c r="O81" s="540"/>
      <c r="P81" s="540"/>
      <c r="Q81" s="540"/>
      <c r="R81" s="540">
        <f>R82-R80</f>
        <v>0</v>
      </c>
      <c r="S81" s="540"/>
      <c r="T81" s="540"/>
      <c r="U81" s="540"/>
      <c r="V81" s="540"/>
      <c r="W81" s="540">
        <f>W82-W80</f>
        <v>0</v>
      </c>
      <c r="X81" s="540"/>
      <c r="Y81" s="540"/>
      <c r="Z81" s="540"/>
      <c r="AA81" s="540"/>
      <c r="AB81" s="540">
        <f>AB82-AB80</f>
        <v>0</v>
      </c>
      <c r="AC81" s="540"/>
      <c r="AD81" s="540"/>
      <c r="AE81" s="540"/>
      <c r="AF81" s="540"/>
      <c r="AG81" s="540">
        <f>AG82-AG80</f>
        <v>377</v>
      </c>
      <c r="AH81" s="540">
        <f t="shared" ref="AH81" si="272">AH82-AH80</f>
        <v>5</v>
      </c>
      <c r="AI81" s="540">
        <f t="shared" ref="AI81" si="273">AI82-AI80</f>
        <v>9</v>
      </c>
      <c r="AJ81" s="540">
        <f t="shared" ref="AJ81" si="274">AJ82-AJ80</f>
        <v>21</v>
      </c>
      <c r="AK81" s="540">
        <f t="shared" ref="AK81" si="275">AK82-AK80</f>
        <v>11</v>
      </c>
      <c r="AL81" s="540">
        <f>AL82-AL80</f>
        <v>46</v>
      </c>
      <c r="AM81" s="540">
        <f t="shared" ref="AM81:AQ81" si="276">AM82-AM80</f>
        <v>2</v>
      </c>
      <c r="AN81" s="540">
        <f t="shared" si="276"/>
        <v>3</v>
      </c>
      <c r="AO81" s="540">
        <f t="shared" si="276"/>
        <v>3</v>
      </c>
      <c r="AP81" s="540">
        <f t="shared" si="276"/>
        <v>6</v>
      </c>
      <c r="AQ81" s="540">
        <f t="shared" si="276"/>
        <v>14</v>
      </c>
      <c r="AR81" s="540">
        <f t="shared" ref="AR81" si="277">AR82-AR80</f>
        <v>1</v>
      </c>
      <c r="AS81" s="540">
        <f t="shared" ref="AS81" si="278">AS82-AS80</f>
        <v>52</v>
      </c>
      <c r="AT81" s="540">
        <f t="shared" ref="AT81" si="279">AT82-AT80</f>
        <v>21</v>
      </c>
      <c r="AU81" s="540">
        <f t="shared" ref="AU81" si="280">AU82-AU80</f>
        <v>22</v>
      </c>
      <c r="AV81" s="540">
        <f>AV82-AV80</f>
        <v>96</v>
      </c>
      <c r="AW81" s="540">
        <f t="shared" ref="AW81" si="281">AW82-AW80</f>
        <v>7</v>
      </c>
      <c r="AX81" s="540">
        <f t="shared" ref="AX81" si="282">AX82-AX80</f>
        <v>42</v>
      </c>
      <c r="AY81" s="540">
        <f t="shared" ref="AY81" si="283">AY82-AY80</f>
        <v>49</v>
      </c>
      <c r="AZ81" s="540">
        <f t="shared" ref="AZ81" si="284">AZ82-AZ80</f>
        <v>72</v>
      </c>
      <c r="BA81" s="540">
        <f>BA82-BA80</f>
        <v>170</v>
      </c>
      <c r="BB81" s="540">
        <f t="shared" ref="BB81" si="285">BB82-BB80</f>
        <v>101</v>
      </c>
      <c r="BC81" s="540">
        <f t="shared" ref="BC81" si="286">BC82-BC80</f>
        <v>87</v>
      </c>
      <c r="BD81" s="540">
        <f t="shared" ref="BD81" si="287">BD82-BD80</f>
        <v>63</v>
      </c>
      <c r="BE81" s="540">
        <f t="shared" ref="BE81" si="288">BE82-BE80</f>
        <v>70</v>
      </c>
      <c r="BF81" s="540">
        <f>BF82-BF80</f>
        <v>321</v>
      </c>
      <c r="BG81" s="545">
        <f t="shared" ref="BG81" si="289">BG82-BG80</f>
        <v>24</v>
      </c>
      <c r="BH81" s="545">
        <f t="shared" ref="BH81:BJ81" si="290">BH82-BH80</f>
        <v>3</v>
      </c>
      <c r="BI81" s="545">
        <f t="shared" si="290"/>
        <v>4</v>
      </c>
      <c r="BJ81" s="545">
        <f t="shared" si="290"/>
        <v>11</v>
      </c>
      <c r="BK81" s="540">
        <f>BK82-BK80</f>
        <v>42</v>
      </c>
      <c r="BL81" s="545">
        <f t="shared" ref="BL81:BM81" si="291">BL82-BL80</f>
        <v>84</v>
      </c>
      <c r="BM81" s="545">
        <f t="shared" si="291"/>
        <v>-10</v>
      </c>
      <c r="BN81" s="545">
        <f t="shared" ref="BN81:BO81" si="292">BN82-BN80</f>
        <v>0</v>
      </c>
      <c r="BO81" s="545">
        <f t="shared" si="292"/>
        <v>10</v>
      </c>
      <c r="BP81" s="540">
        <f>BP82-BP80</f>
        <v>84</v>
      </c>
      <c r="BQ81" s="545">
        <f t="shared" ref="BQ81:BR81" si="293">BQ82-BQ80</f>
        <v>30</v>
      </c>
      <c r="BR81" s="545">
        <f t="shared" si="293"/>
        <v>50</v>
      </c>
      <c r="BS81" s="545">
        <f t="shared" ref="BS81:BT81" si="294">BS82-BS80</f>
        <v>40</v>
      </c>
      <c r="BT81" s="545">
        <f t="shared" si="294"/>
        <v>50</v>
      </c>
      <c r="BU81" s="540">
        <f>BU82-BU80</f>
        <v>170</v>
      </c>
      <c r="BV81" s="545">
        <f t="shared" ref="BV81:BW81" si="295">BV82-BV80</f>
        <v>40</v>
      </c>
      <c r="BW81" s="545">
        <f t="shared" si="295"/>
        <v>60</v>
      </c>
      <c r="BX81" s="545">
        <f t="shared" ref="BX81" si="296">BX82-BX80</f>
        <v>80</v>
      </c>
      <c r="BY81" s="545">
        <f t="shared" ref="BY81" si="297">BY82-BY80</f>
        <v>0</v>
      </c>
      <c r="BZ81" s="540">
        <f>BZ82-BZ80</f>
        <v>180</v>
      </c>
      <c r="CA81" s="545">
        <f t="shared" ref="CA81:CB81" si="298">CA82-CA80</f>
        <v>0</v>
      </c>
      <c r="CB81" s="545">
        <f t="shared" si="298"/>
        <v>0</v>
      </c>
      <c r="CC81" s="545">
        <f t="shared" ref="CC81:CD81" si="299">CC82-CC80</f>
        <v>100</v>
      </c>
      <c r="CD81" s="545">
        <f t="shared" si="299"/>
        <v>0</v>
      </c>
      <c r="CE81" s="540">
        <f>CE82-CE80</f>
        <v>100</v>
      </c>
      <c r="CF81" s="545">
        <f t="shared" ref="CF81:CG81" si="300">CF82-CF80</f>
        <v>0</v>
      </c>
      <c r="CG81" s="545">
        <f t="shared" si="300"/>
        <v>0</v>
      </c>
      <c r="CH81" s="545">
        <f t="shared" ref="CH81:CI81" si="301">CH82-CH80</f>
        <v>100</v>
      </c>
      <c r="CI81" s="545">
        <f t="shared" si="301"/>
        <v>0</v>
      </c>
      <c r="CJ81" s="540">
        <f>CJ82-CJ80</f>
        <v>100</v>
      </c>
      <c r="CK81" s="545">
        <f t="shared" ref="CK81:CL81" si="302">CK82-CK80</f>
        <v>100</v>
      </c>
      <c r="CL81" s="545">
        <f t="shared" si="302"/>
        <v>100</v>
      </c>
      <c r="CM81" s="545">
        <f t="shared" ref="CM81" si="303">CM82-CM80</f>
        <v>0</v>
      </c>
      <c r="CN81" s="545"/>
      <c r="CO81" s="540">
        <f t="shared" ref="CO81:CT81" si="304">CO82-CO80</f>
        <v>203.73924956563837</v>
      </c>
      <c r="CP81" s="540">
        <f t="shared" si="304"/>
        <v>111.52292236073072</v>
      </c>
      <c r="CQ81" s="540">
        <f t="shared" si="304"/>
        <v>114.31140092517876</v>
      </c>
      <c r="CR81" s="540">
        <f t="shared" si="304"/>
        <v>117.15203443368455</v>
      </c>
      <c r="CS81" s="540">
        <f t="shared" si="304"/>
        <v>120.04566305374419</v>
      </c>
      <c r="CT81" s="540">
        <f t="shared" si="304"/>
        <v>122.99313930529797</v>
      </c>
      <c r="CU81" s="347"/>
      <c r="CV81" s="1363"/>
      <c r="CW81" s="347"/>
      <c r="CX81" s="347"/>
      <c r="CY81" s="347"/>
      <c r="CZ81" s="347"/>
      <c r="DA81" s="347"/>
    </row>
    <row r="82" spans="1:107">
      <c r="B82" s="462" t="s">
        <v>22</v>
      </c>
      <c r="C82" s="1329"/>
      <c r="D82" s="1329"/>
      <c r="E82" s="1329"/>
      <c r="F82" s="1329"/>
      <c r="G82" s="1329"/>
      <c r="H82" s="1330">
        <f>H74</f>
        <v>0</v>
      </c>
      <c r="I82" s="1330"/>
      <c r="J82" s="1330"/>
      <c r="K82" s="1330"/>
      <c r="L82" s="1330"/>
      <c r="M82" s="1330">
        <f>M74</f>
        <v>0</v>
      </c>
      <c r="N82" s="1330"/>
      <c r="O82" s="1330"/>
      <c r="P82" s="1330"/>
      <c r="Q82" s="1330"/>
      <c r="R82" s="1330">
        <f>R74</f>
        <v>0</v>
      </c>
      <c r="S82" s="1330"/>
      <c r="T82" s="1330"/>
      <c r="U82" s="1330"/>
      <c r="V82" s="1330"/>
      <c r="W82" s="1330">
        <f>W74</f>
        <v>0</v>
      </c>
      <c r="X82" s="1330"/>
      <c r="Y82" s="1330"/>
      <c r="Z82" s="1330"/>
      <c r="AA82" s="1330"/>
      <c r="AB82" s="1330">
        <f>AB74</f>
        <v>0</v>
      </c>
      <c r="AC82" s="563">
        <f>'[16]Domestic Mobile Operations'!D$16</f>
        <v>354</v>
      </c>
      <c r="AD82" s="563">
        <f>'[16]Domestic Mobile Operations'!E$16</f>
        <v>328</v>
      </c>
      <c r="AE82" s="563">
        <f>'[16]Domestic Mobile Operations'!F$16</f>
        <v>332</v>
      </c>
      <c r="AF82" s="563">
        <f>'[16]Domestic Mobile Operations'!G$16</f>
        <v>377</v>
      </c>
      <c r="AG82" s="879">
        <f>AF82</f>
        <v>377</v>
      </c>
      <c r="AH82" s="563">
        <f>'[16]Domestic Mobile Operations'!H$16</f>
        <v>382</v>
      </c>
      <c r="AI82" s="563">
        <f>'[16]Domestic Mobile Operations'!I$16</f>
        <v>391</v>
      </c>
      <c r="AJ82" s="563">
        <f>'[16]Domestic Mobile Operations'!J$16</f>
        <v>412</v>
      </c>
      <c r="AK82" s="563">
        <f>'[16]Domestic Mobile Operations'!K$16</f>
        <v>423</v>
      </c>
      <c r="AL82" s="879">
        <f>AK82</f>
        <v>423</v>
      </c>
      <c r="AM82" s="563">
        <f>'[16]Domestic Mobile Operations'!L$16</f>
        <v>425</v>
      </c>
      <c r="AN82" s="563">
        <f>'[16]Domestic Mobile Operations'!M$16</f>
        <v>428</v>
      </c>
      <c r="AO82" s="563">
        <f>'[16]Domestic Mobile Operations'!N$16</f>
        <v>431</v>
      </c>
      <c r="AP82" s="563">
        <f>'[16]Domestic Mobile Operations'!O$16</f>
        <v>437</v>
      </c>
      <c r="AQ82" s="879">
        <f>AP82</f>
        <v>437</v>
      </c>
      <c r="AR82" s="563">
        <f>'[16]Domestic Mobile Operations'!P$16</f>
        <v>438</v>
      </c>
      <c r="AS82" s="563">
        <f>'[16]Domestic Mobile Operations'!Q$16</f>
        <v>490</v>
      </c>
      <c r="AT82" s="563">
        <f>'[16]Domestic Mobile Operations'!R$16</f>
        <v>511</v>
      </c>
      <c r="AU82" s="563">
        <f>'[16]Domestic Mobile Operations'!S$16</f>
        <v>533</v>
      </c>
      <c r="AV82" s="879">
        <f>AU82</f>
        <v>533</v>
      </c>
      <c r="AW82" s="563">
        <f>'[16]Domestic Mobile Operations'!T$16</f>
        <v>540</v>
      </c>
      <c r="AX82" s="563">
        <f>'[16]Domestic Mobile Operations'!U$16</f>
        <v>582</v>
      </c>
      <c r="AY82" s="563">
        <f>'[16]Domestic Mobile Operations'!V$16</f>
        <v>631</v>
      </c>
      <c r="AZ82" s="563">
        <f>'[16]Domestic Mobile Operations'!W$16</f>
        <v>703</v>
      </c>
      <c r="BA82" s="879">
        <f>AZ82</f>
        <v>703</v>
      </c>
      <c r="BB82" s="563">
        <f>'[16]Domestic Mobile Operations'!X16</f>
        <v>804</v>
      </c>
      <c r="BC82" s="563">
        <f>'[16]Domestic Mobile Operations'!Y16</f>
        <v>891</v>
      </c>
      <c r="BD82" s="563">
        <f>'[16]Domestic Mobile Operations'!Z16</f>
        <v>954</v>
      </c>
      <c r="BE82" s="563">
        <f>'[16]Domestic Mobile Operations'!AA16</f>
        <v>1024</v>
      </c>
      <c r="BF82" s="879">
        <f>BE82</f>
        <v>1024</v>
      </c>
      <c r="BG82" s="563">
        <f>'[16]Domestic Mobile Operations'!AB16</f>
        <v>1048</v>
      </c>
      <c r="BH82" s="563">
        <f>'[16]Domestic Mobile Operations'!AC16</f>
        <v>1051</v>
      </c>
      <c r="BI82" s="563">
        <f>'[16]Domestic Mobile Operations'!AD16</f>
        <v>1055</v>
      </c>
      <c r="BJ82" s="563">
        <f>'[16]Domestic Mobile Operations'!AE16</f>
        <v>1066</v>
      </c>
      <c r="BK82" s="879">
        <f>BJ82</f>
        <v>1066</v>
      </c>
      <c r="BL82" s="563">
        <f>'[16]Domestic Mobile Operations'!AF16</f>
        <v>1150</v>
      </c>
      <c r="BM82" s="563">
        <f>'[16]Domestic Mobile Operations'!AG16</f>
        <v>1140</v>
      </c>
      <c r="BN82" s="563">
        <f>'[16]Domestic Mobile Operations'!AH16</f>
        <v>1140</v>
      </c>
      <c r="BO82" s="563">
        <f>'[16]Domestic Mobile Operations'!AI16</f>
        <v>1150</v>
      </c>
      <c r="BP82" s="879">
        <f>BO82</f>
        <v>1150</v>
      </c>
      <c r="BQ82" s="563">
        <f>'[16]Domestic Mobile Operations'!AJ16</f>
        <v>1180</v>
      </c>
      <c r="BR82" s="563">
        <f>'[16]Domestic Mobile Operations'!AK16</f>
        <v>1230</v>
      </c>
      <c r="BS82" s="563">
        <f>'[16]Domestic Mobile Operations'!AL16</f>
        <v>1270</v>
      </c>
      <c r="BT82" s="563">
        <f>'[16]Domestic Mobile Operations'!AM16</f>
        <v>1320</v>
      </c>
      <c r="BU82" s="879">
        <f>BT82</f>
        <v>1320</v>
      </c>
      <c r="BV82" s="563">
        <f>'[16]Domestic Mobile Operations'!AN16</f>
        <v>1360</v>
      </c>
      <c r="BW82" s="563">
        <f>'[16]Domestic Mobile Operations'!AO16</f>
        <v>1420</v>
      </c>
      <c r="BX82" s="563">
        <f>'[16]Domestic Mobile Operations'!AP16</f>
        <v>1500</v>
      </c>
      <c r="BY82" s="563">
        <f>'[16]Domestic Mobile Operations'!AQ16</f>
        <v>1500</v>
      </c>
      <c r="BZ82" s="879">
        <f>BY82</f>
        <v>1500</v>
      </c>
      <c r="CA82" s="563">
        <f>'[16]Domestic Mobile Operations'!AR16</f>
        <v>1500</v>
      </c>
      <c r="CB82" s="563">
        <f>'[16]Domestic Mobile Operations'!AS16</f>
        <v>1500</v>
      </c>
      <c r="CC82" s="563">
        <f>'[16]Domestic Mobile Operations'!AT16</f>
        <v>1600</v>
      </c>
      <c r="CD82" s="563">
        <f>'[16]Domestic Mobile Operations'!AU16</f>
        <v>1600</v>
      </c>
      <c r="CE82" s="879">
        <f>CD82</f>
        <v>1600</v>
      </c>
      <c r="CF82" s="563">
        <f>'[16]Domestic Mobile Operations'!AV16</f>
        <v>1600</v>
      </c>
      <c r="CG82" s="563">
        <f>'[16]Domestic Mobile Operations'!AW16</f>
        <v>1600</v>
      </c>
      <c r="CH82" s="563">
        <f>'[16]Domestic Mobile Operations'!AX16</f>
        <v>1700</v>
      </c>
      <c r="CI82" s="563">
        <f>'[16]Domestic Mobile Operations'!AY16</f>
        <v>1700</v>
      </c>
      <c r="CJ82" s="879">
        <f>CI82</f>
        <v>1700</v>
      </c>
      <c r="CK82" s="563">
        <f>'[16]Domestic Mobile Operations'!AZ16</f>
        <v>1800</v>
      </c>
      <c r="CL82" s="563">
        <f>'[16]Domestic Mobile Operations'!BA16</f>
        <v>1900</v>
      </c>
      <c r="CM82" s="563">
        <f>'[16]Domestic Mobile Operations'!BB16</f>
        <v>1900</v>
      </c>
      <c r="CN82" s="563"/>
      <c r="CO82" s="879">
        <f t="shared" ref="CO82:CT82" si="305">CO76*CO$96</f>
        <v>1903.7392495656384</v>
      </c>
      <c r="CP82" s="879">
        <f t="shared" si="305"/>
        <v>2015.2621719263691</v>
      </c>
      <c r="CQ82" s="879">
        <f t="shared" si="305"/>
        <v>2129.5735728515479</v>
      </c>
      <c r="CR82" s="879">
        <f t="shared" si="305"/>
        <v>2246.7256072852324</v>
      </c>
      <c r="CS82" s="879">
        <f t="shared" si="305"/>
        <v>2366.7712703389766</v>
      </c>
      <c r="CT82" s="879">
        <f t="shared" si="305"/>
        <v>2489.7644096442746</v>
      </c>
      <c r="CU82" s="347"/>
      <c r="CV82" s="1363"/>
      <c r="CW82" s="347"/>
      <c r="CX82" s="347"/>
      <c r="CY82" s="347"/>
      <c r="CZ82" s="347"/>
      <c r="DA82" s="347"/>
    </row>
    <row r="83" spans="1:107">
      <c r="B83" s="407" t="s">
        <v>23</v>
      </c>
      <c r="C83" s="348"/>
      <c r="D83" s="348"/>
      <c r="E83" s="348"/>
      <c r="F83" s="348"/>
      <c r="G83" s="348"/>
      <c r="H83" s="540">
        <f>(H80+H82)/2</f>
        <v>0</v>
      </c>
      <c r="I83" s="540"/>
      <c r="J83" s="540"/>
      <c r="K83" s="540"/>
      <c r="L83" s="540"/>
      <c r="M83" s="540">
        <f>(M80+M82)/2</f>
        <v>0</v>
      </c>
      <c r="N83" s="540"/>
      <c r="O83" s="540"/>
      <c r="P83" s="540"/>
      <c r="Q83" s="540"/>
      <c r="R83" s="540">
        <f>(R80+R82)/2</f>
        <v>0</v>
      </c>
      <c r="S83" s="540"/>
      <c r="T83" s="540"/>
      <c r="U83" s="540"/>
      <c r="V83" s="540"/>
      <c r="W83" s="540">
        <f>(W80+W82)/2</f>
        <v>0</v>
      </c>
      <c r="X83" s="540"/>
      <c r="Y83" s="540"/>
      <c r="Z83" s="540"/>
      <c r="AA83" s="540"/>
      <c r="AB83" s="540">
        <f>(AB80+AB82)/2</f>
        <v>0</v>
      </c>
      <c r="AC83" s="540"/>
      <c r="AD83" s="540"/>
      <c r="AE83" s="540"/>
      <c r="AF83" s="540"/>
      <c r="AG83" s="540"/>
      <c r="AH83" s="540">
        <f>(AH80+AH82)/2</f>
        <v>379.5</v>
      </c>
      <c r="AI83" s="540">
        <f t="shared" ref="AI83:BA83" si="306">(AI80+AI82)/2</f>
        <v>386.5</v>
      </c>
      <c r="AJ83" s="540">
        <f t="shared" si="306"/>
        <v>401.5</v>
      </c>
      <c r="AK83" s="540">
        <f t="shared" si="306"/>
        <v>417.5</v>
      </c>
      <c r="AL83" s="540">
        <f t="shared" si="306"/>
        <v>400</v>
      </c>
      <c r="AM83" s="540">
        <f t="shared" si="306"/>
        <v>424</v>
      </c>
      <c r="AN83" s="540">
        <f t="shared" si="306"/>
        <v>426.5</v>
      </c>
      <c r="AO83" s="540">
        <f t="shared" si="306"/>
        <v>429.5</v>
      </c>
      <c r="AP83" s="540">
        <f t="shared" si="306"/>
        <v>434</v>
      </c>
      <c r="AQ83" s="540">
        <f t="shared" si="306"/>
        <v>430</v>
      </c>
      <c r="AR83" s="540">
        <f t="shared" si="306"/>
        <v>437.5</v>
      </c>
      <c r="AS83" s="540">
        <f t="shared" si="306"/>
        <v>464</v>
      </c>
      <c r="AT83" s="540">
        <f t="shared" si="306"/>
        <v>500.5</v>
      </c>
      <c r="AU83" s="540">
        <f t="shared" si="306"/>
        <v>522</v>
      </c>
      <c r="AV83" s="540">
        <f t="shared" si="306"/>
        <v>485</v>
      </c>
      <c r="AW83" s="540">
        <f t="shared" si="306"/>
        <v>536.5</v>
      </c>
      <c r="AX83" s="540">
        <f t="shared" si="306"/>
        <v>561</v>
      </c>
      <c r="AY83" s="540">
        <f t="shared" si="306"/>
        <v>606.5</v>
      </c>
      <c r="AZ83" s="540">
        <f t="shared" si="306"/>
        <v>667</v>
      </c>
      <c r="BA83" s="540">
        <f t="shared" si="306"/>
        <v>618</v>
      </c>
      <c r="BB83" s="545">
        <f t="shared" ref="BB83:BD83" si="307">(BB80+BB82)/2</f>
        <v>753.5</v>
      </c>
      <c r="BC83" s="545">
        <f t="shared" si="307"/>
        <v>847.5</v>
      </c>
      <c r="BD83" s="545">
        <f t="shared" si="307"/>
        <v>922.5</v>
      </c>
      <c r="BE83" s="545">
        <f t="shared" ref="BE83" si="308">(BE80+BE82)/2</f>
        <v>989</v>
      </c>
      <c r="BF83" s="540">
        <f>(BF80+BF82)/2</f>
        <v>863.5</v>
      </c>
      <c r="BG83" s="545">
        <f>(BG80+BG82)/2</f>
        <v>1036</v>
      </c>
      <c r="BH83" s="545">
        <f>(BH80+BH82)/2</f>
        <v>1049.5</v>
      </c>
      <c r="BI83" s="545">
        <f>(BI80+BI82)/2</f>
        <v>1053</v>
      </c>
      <c r="BJ83" s="545">
        <f t="shared" ref="BJ83" si="309">(BJ80+BJ82)/2</f>
        <v>1060.5</v>
      </c>
      <c r="BK83" s="540">
        <f t="shared" ref="BK83:BV83" si="310">(BK80+BK82)/2</f>
        <v>1045</v>
      </c>
      <c r="BL83" s="545">
        <f t="shared" si="310"/>
        <v>1108</v>
      </c>
      <c r="BM83" s="545">
        <f t="shared" si="310"/>
        <v>1145</v>
      </c>
      <c r="BN83" s="545">
        <f t="shared" si="310"/>
        <v>1140</v>
      </c>
      <c r="BO83" s="545">
        <f t="shared" si="310"/>
        <v>1145</v>
      </c>
      <c r="BP83" s="540">
        <f t="shared" si="310"/>
        <v>1108</v>
      </c>
      <c r="BQ83" s="545">
        <f t="shared" si="310"/>
        <v>1165</v>
      </c>
      <c r="BR83" s="545">
        <f t="shared" si="310"/>
        <v>1205</v>
      </c>
      <c r="BS83" s="545">
        <f t="shared" si="310"/>
        <v>1250</v>
      </c>
      <c r="BT83" s="545">
        <f t="shared" si="310"/>
        <v>1295</v>
      </c>
      <c r="BU83" s="540">
        <f t="shared" si="310"/>
        <v>1235</v>
      </c>
      <c r="BV83" s="545">
        <f t="shared" si="310"/>
        <v>1340</v>
      </c>
      <c r="BW83" s="545">
        <f t="shared" ref="BW83:BX83" si="311">(BW80+BW82)/2</f>
        <v>1390</v>
      </c>
      <c r="BX83" s="545">
        <f t="shared" si="311"/>
        <v>1460</v>
      </c>
      <c r="BY83" s="545">
        <f t="shared" ref="BY83" si="312">(BY80+BY82)/2</f>
        <v>1500</v>
      </c>
      <c r="BZ83" s="540">
        <f t="shared" ref="BZ83:CB83" si="313">(BZ80+BZ82)/2</f>
        <v>1410</v>
      </c>
      <c r="CA83" s="545">
        <f t="shared" si="313"/>
        <v>1500</v>
      </c>
      <c r="CB83" s="545">
        <f t="shared" si="313"/>
        <v>1500</v>
      </c>
      <c r="CC83" s="545">
        <f t="shared" ref="CC83:CE83" si="314">(CC80+CC82)/2</f>
        <v>1550</v>
      </c>
      <c r="CD83" s="545">
        <f t="shared" si="314"/>
        <v>1600</v>
      </c>
      <c r="CE83" s="540">
        <f t="shared" si="314"/>
        <v>1550</v>
      </c>
      <c r="CF83" s="545">
        <f t="shared" ref="CF83:CG83" si="315">(CF80+CF82)/2</f>
        <v>1600</v>
      </c>
      <c r="CG83" s="545">
        <f t="shared" si="315"/>
        <v>1600</v>
      </c>
      <c r="CH83" s="545">
        <f t="shared" ref="CH83:CK83" si="316">(CH80+CH82)/2</f>
        <v>1650</v>
      </c>
      <c r="CI83" s="545">
        <f t="shared" si="316"/>
        <v>1700</v>
      </c>
      <c r="CJ83" s="540">
        <f t="shared" si="316"/>
        <v>1650</v>
      </c>
      <c r="CK83" s="545">
        <f t="shared" si="316"/>
        <v>1750</v>
      </c>
      <c r="CL83" s="545">
        <f t="shared" ref="CL83" si="317">(CL80+CL82)/2</f>
        <v>1850</v>
      </c>
      <c r="CM83" s="545">
        <f t="shared" ref="CM83" si="318">(CM80+CM82)/2</f>
        <v>1900</v>
      </c>
      <c r="CN83" s="545"/>
      <c r="CO83" s="1338">
        <f>AVERAGE(CO82,CL82)</f>
        <v>1901.8696247828193</v>
      </c>
      <c r="CP83" s="540">
        <f t="shared" ref="CP83:CT83" si="319">(CP80+CP82)/2</f>
        <v>1959.5007107460037</v>
      </c>
      <c r="CQ83" s="540">
        <f t="shared" si="319"/>
        <v>2072.4178723889586</v>
      </c>
      <c r="CR83" s="540">
        <f t="shared" si="319"/>
        <v>2188.1495900683904</v>
      </c>
      <c r="CS83" s="540">
        <f t="shared" si="319"/>
        <v>2306.7484388121047</v>
      </c>
      <c r="CT83" s="540">
        <f t="shared" si="319"/>
        <v>2428.2678399916258</v>
      </c>
      <c r="CU83" s="347"/>
      <c r="CV83" s="1363"/>
      <c r="CW83" s="347"/>
      <c r="CX83" s="347"/>
      <c r="CY83" s="347"/>
      <c r="CZ83" s="347"/>
      <c r="DA83" s="347"/>
    </row>
    <row r="84" spans="1:107">
      <c r="B84" s="407"/>
      <c r="C84" s="411"/>
      <c r="D84" s="411"/>
      <c r="E84" s="411"/>
      <c r="F84" s="411"/>
      <c r="G84" s="411"/>
      <c r="H84" s="411"/>
      <c r="I84" s="411"/>
      <c r="J84" s="411"/>
      <c r="K84" s="411"/>
      <c r="L84" s="411"/>
      <c r="M84" s="411"/>
      <c r="N84" s="411"/>
      <c r="O84" s="411"/>
      <c r="P84" s="411"/>
      <c r="Q84" s="411"/>
      <c r="R84" s="411"/>
      <c r="S84" s="411"/>
      <c r="T84" s="411"/>
      <c r="U84" s="411"/>
      <c r="V84" s="411"/>
      <c r="W84" s="411"/>
      <c r="X84" s="411"/>
      <c r="Y84" s="411"/>
      <c r="Z84" s="411"/>
      <c r="AA84" s="411"/>
      <c r="AB84" s="411"/>
      <c r="AC84" s="411"/>
      <c r="AD84" s="411"/>
      <c r="AE84" s="411"/>
      <c r="AF84" s="411"/>
      <c r="AG84" s="411"/>
      <c r="AH84" s="411"/>
      <c r="AI84" s="411"/>
      <c r="AJ84" s="411"/>
      <c r="AK84" s="411"/>
      <c r="AL84" s="411"/>
      <c r="AM84" s="411"/>
      <c r="AN84" s="411"/>
      <c r="AO84" s="411"/>
      <c r="AP84" s="411"/>
      <c r="AQ84" s="411"/>
      <c r="AR84" s="411"/>
      <c r="AS84" s="411"/>
      <c r="AT84" s="411"/>
      <c r="AU84" s="411"/>
      <c r="AV84" s="411"/>
      <c r="AW84" s="411"/>
      <c r="AX84" s="411"/>
      <c r="AY84" s="411"/>
      <c r="AZ84" s="411"/>
      <c r="BA84" s="411"/>
      <c r="BB84" s="411"/>
      <c r="BC84" s="411"/>
      <c r="BD84" s="411"/>
      <c r="BE84" s="411"/>
      <c r="BF84" s="411"/>
      <c r="BG84" s="411"/>
      <c r="BH84" s="411"/>
      <c r="BI84" s="411"/>
      <c r="BJ84" s="411"/>
      <c r="BK84" s="411"/>
      <c r="BL84" s="411"/>
      <c r="BM84" s="411"/>
      <c r="BN84" s="411"/>
      <c r="BO84" s="411"/>
      <c r="BP84" s="411"/>
      <c r="BQ84" s="411"/>
      <c r="BR84" s="411"/>
      <c r="BS84" s="411"/>
      <c r="BT84" s="411"/>
      <c r="BU84" s="411"/>
      <c r="BV84" s="411"/>
      <c r="BW84" s="411"/>
      <c r="BX84" s="411"/>
      <c r="BY84" s="411"/>
      <c r="BZ84" s="411"/>
      <c r="CA84" s="411"/>
      <c r="CB84" s="411"/>
      <c r="CC84" s="411"/>
      <c r="CD84" s="411"/>
      <c r="CE84" s="353"/>
      <c r="CF84" s="411"/>
      <c r="CG84" s="411"/>
      <c r="CH84" s="411"/>
      <c r="CI84" s="411"/>
      <c r="CJ84" s="353"/>
      <c r="CK84" s="411"/>
      <c r="CL84" s="411"/>
      <c r="CM84" s="411"/>
      <c r="CN84" s="411"/>
      <c r="CO84" s="353">
        <f>CO83/CJ83-1</f>
        <v>0.15264825744413302</v>
      </c>
      <c r="CP84" s="353">
        <f>CP83/CO83-1</f>
        <v>3.0302332616393368E-2</v>
      </c>
      <c r="CQ84" s="353">
        <f t="shared" ref="CQ84" si="320">CQ83/CP83-1</f>
        <v>5.7625476236732753E-2</v>
      </c>
      <c r="CR84" s="353">
        <f t="shared" ref="CR84" si="321">CR83/CQ83-1</f>
        <v>5.5843813750758198E-2</v>
      </c>
      <c r="CS84" s="353">
        <f t="shared" ref="CS84" si="322">CS83/CR83-1</f>
        <v>5.4200521427791193E-2</v>
      </c>
      <c r="CT84" s="353">
        <f t="shared" ref="CT84" si="323">CT83/CS83-1</f>
        <v>5.2679953797692525E-2</v>
      </c>
      <c r="CU84" s="347"/>
      <c r="CV84" s="1363"/>
      <c r="CW84" s="347"/>
      <c r="CX84" s="347"/>
      <c r="CY84" s="347"/>
      <c r="CZ84" s="347"/>
      <c r="DA84" s="347"/>
    </row>
    <row r="85" spans="1:107">
      <c r="B85" s="407"/>
      <c r="C85" s="411"/>
      <c r="D85" s="411"/>
      <c r="E85" s="411"/>
      <c r="F85" s="411"/>
      <c r="G85" s="411"/>
      <c r="H85" s="411"/>
      <c r="I85" s="411"/>
      <c r="J85" s="411"/>
      <c r="K85" s="411"/>
      <c r="L85" s="411"/>
      <c r="M85" s="411"/>
      <c r="N85" s="411"/>
      <c r="O85" s="411"/>
      <c r="P85" s="411"/>
      <c r="Q85" s="411"/>
      <c r="R85" s="411"/>
      <c r="S85" s="411"/>
      <c r="T85" s="411"/>
      <c r="U85" s="411"/>
      <c r="V85" s="411"/>
      <c r="W85" s="411"/>
      <c r="X85" s="411"/>
      <c r="Y85" s="411"/>
      <c r="Z85" s="411"/>
      <c r="AA85" s="411"/>
      <c r="AB85" s="411"/>
      <c r="AC85" s="411"/>
      <c r="AD85" s="411"/>
      <c r="AE85" s="411"/>
      <c r="AF85" s="411"/>
      <c r="AG85" s="411"/>
      <c r="AH85" s="411"/>
      <c r="AI85" s="411"/>
      <c r="AJ85" s="411"/>
      <c r="AK85" s="411"/>
      <c r="AL85" s="411"/>
      <c r="AM85" s="411"/>
      <c r="AN85" s="411"/>
      <c r="AO85" s="411"/>
      <c r="AP85" s="411"/>
      <c r="AQ85" s="411"/>
      <c r="AR85" s="411"/>
      <c r="AS85" s="411"/>
      <c r="AT85" s="411"/>
      <c r="AU85" s="411"/>
      <c r="AV85" s="411"/>
      <c r="AW85" s="411"/>
      <c r="AX85" s="411"/>
      <c r="AY85" s="411"/>
      <c r="AZ85" s="411"/>
      <c r="BA85" s="411"/>
      <c r="BB85" s="411"/>
      <c r="BC85" s="411"/>
      <c r="BD85" s="411"/>
      <c r="BE85" s="411"/>
      <c r="BF85" s="411"/>
      <c r="BG85" s="411"/>
      <c r="BH85" s="411"/>
      <c r="BI85" s="411"/>
      <c r="BJ85" s="411"/>
      <c r="BK85" s="411"/>
      <c r="BL85" s="411"/>
      <c r="BM85" s="411"/>
      <c r="BN85" s="411"/>
      <c r="BO85" s="411"/>
      <c r="BP85" s="411"/>
      <c r="BQ85" s="411"/>
      <c r="BR85" s="411"/>
      <c r="BS85" s="411"/>
      <c r="BT85" s="411"/>
      <c r="BU85" s="411"/>
      <c r="BV85" s="411"/>
      <c r="BW85" s="411"/>
      <c r="BX85" s="411"/>
      <c r="BY85" s="411"/>
      <c r="BZ85" s="411"/>
      <c r="CA85" s="411"/>
      <c r="CB85" s="411"/>
      <c r="CC85" s="411"/>
      <c r="CD85" s="411"/>
      <c r="CE85" s="353"/>
      <c r="CF85" s="411"/>
      <c r="CG85" s="411"/>
      <c r="CH85" s="411"/>
      <c r="CI85" s="411"/>
      <c r="CJ85" s="353"/>
      <c r="CK85" s="411"/>
      <c r="CL85" s="411"/>
      <c r="CM85" s="411"/>
      <c r="CN85" s="411"/>
      <c r="CO85" s="353"/>
      <c r="CP85" s="353"/>
      <c r="CQ85" s="353"/>
      <c r="CR85" s="353"/>
      <c r="CS85" s="353"/>
      <c r="CT85" s="353"/>
      <c r="CU85" s="347"/>
      <c r="CV85" s="1363"/>
      <c r="CW85" s="347"/>
      <c r="CX85" s="347"/>
      <c r="CY85" s="347"/>
      <c r="CZ85" s="347"/>
      <c r="DA85" s="347"/>
    </row>
    <row r="86" spans="1:107">
      <c r="B86" s="383" t="s">
        <v>30</v>
      </c>
      <c r="C86" s="556">
        <f>C$4</f>
        <v>2007</v>
      </c>
      <c r="D86" s="556" t="str">
        <f t="shared" ref="D86:BO86" si="324">D$4</f>
        <v>Q1</v>
      </c>
      <c r="E86" s="556" t="str">
        <f t="shared" si="324"/>
        <v>Q2</v>
      </c>
      <c r="F86" s="556" t="str">
        <f t="shared" si="324"/>
        <v>Q3</v>
      </c>
      <c r="G86" s="556" t="str">
        <f t="shared" si="324"/>
        <v>Q4</v>
      </c>
      <c r="H86" s="556">
        <f t="shared" si="324"/>
        <v>2008</v>
      </c>
      <c r="I86" s="556" t="str">
        <f t="shared" si="324"/>
        <v>Q1</v>
      </c>
      <c r="J86" s="556" t="str">
        <f t="shared" si="324"/>
        <v>Q2</v>
      </c>
      <c r="K86" s="556" t="str">
        <f t="shared" si="324"/>
        <v>Q3</v>
      </c>
      <c r="L86" s="556" t="str">
        <f t="shared" si="324"/>
        <v>Q4</v>
      </c>
      <c r="M86" s="556">
        <f t="shared" si="324"/>
        <v>2009</v>
      </c>
      <c r="N86" s="556" t="str">
        <f t="shared" si="324"/>
        <v>Q1</v>
      </c>
      <c r="O86" s="556" t="str">
        <f t="shared" si="324"/>
        <v>Q2</v>
      </c>
      <c r="P86" s="556" t="str">
        <f t="shared" si="324"/>
        <v>Q3</v>
      </c>
      <c r="Q86" s="556" t="str">
        <f t="shared" si="324"/>
        <v>Q4</v>
      </c>
      <c r="R86" s="556">
        <f t="shared" si="324"/>
        <v>2010</v>
      </c>
      <c r="S86" s="556" t="str">
        <f t="shared" si="324"/>
        <v>Q1</v>
      </c>
      <c r="T86" s="556" t="str">
        <f t="shared" si="324"/>
        <v>Q2</v>
      </c>
      <c r="U86" s="556" t="str">
        <f t="shared" si="324"/>
        <v>Q3</v>
      </c>
      <c r="V86" s="556" t="str">
        <f t="shared" si="324"/>
        <v>Q4</v>
      </c>
      <c r="W86" s="556">
        <f t="shared" si="324"/>
        <v>2011</v>
      </c>
      <c r="X86" s="556" t="str">
        <f t="shared" si="324"/>
        <v>Q1</v>
      </c>
      <c r="Y86" s="556" t="str">
        <f t="shared" si="324"/>
        <v>Q2</v>
      </c>
      <c r="Z86" s="556" t="str">
        <f t="shared" si="324"/>
        <v>Q3</v>
      </c>
      <c r="AA86" s="556" t="str">
        <f t="shared" si="324"/>
        <v>Q4</v>
      </c>
      <c r="AB86" s="556">
        <f t="shared" si="324"/>
        <v>2012</v>
      </c>
      <c r="AC86" s="556" t="str">
        <f t="shared" si="324"/>
        <v>Q1</v>
      </c>
      <c r="AD86" s="556" t="str">
        <f t="shared" si="324"/>
        <v>Q2</v>
      </c>
      <c r="AE86" s="556" t="str">
        <f t="shared" si="324"/>
        <v>Q3</v>
      </c>
      <c r="AF86" s="556" t="str">
        <f t="shared" si="324"/>
        <v>Q4</v>
      </c>
      <c r="AG86" s="556">
        <f t="shared" si="324"/>
        <v>2013</v>
      </c>
      <c r="AH86" s="556" t="str">
        <f t="shared" si="324"/>
        <v>Q1</v>
      </c>
      <c r="AI86" s="556" t="str">
        <f t="shared" si="324"/>
        <v>Q2</v>
      </c>
      <c r="AJ86" s="556" t="str">
        <f t="shared" si="324"/>
        <v>Q3</v>
      </c>
      <c r="AK86" s="556" t="str">
        <f t="shared" si="324"/>
        <v>Q4</v>
      </c>
      <c r="AL86" s="556">
        <f t="shared" si="324"/>
        <v>2014</v>
      </c>
      <c r="AM86" s="556" t="str">
        <f t="shared" si="324"/>
        <v>Q1</v>
      </c>
      <c r="AN86" s="556" t="str">
        <f t="shared" si="324"/>
        <v>Q2</v>
      </c>
      <c r="AO86" s="556" t="str">
        <f t="shared" si="324"/>
        <v>Q3</v>
      </c>
      <c r="AP86" s="556" t="str">
        <f t="shared" si="324"/>
        <v>Q4</v>
      </c>
      <c r="AQ86" s="556">
        <f t="shared" si="324"/>
        <v>2015</v>
      </c>
      <c r="AR86" s="556" t="str">
        <f t="shared" si="324"/>
        <v>Q1</v>
      </c>
      <c r="AS86" s="556" t="str">
        <f t="shared" si="324"/>
        <v>Q2</v>
      </c>
      <c r="AT86" s="556" t="str">
        <f t="shared" si="324"/>
        <v>Q3</v>
      </c>
      <c r="AU86" s="556" t="str">
        <f t="shared" si="324"/>
        <v>Q4</v>
      </c>
      <c r="AV86" s="556">
        <f t="shared" si="324"/>
        <v>2016</v>
      </c>
      <c r="AW86" s="556" t="str">
        <f t="shared" si="324"/>
        <v>Q1</v>
      </c>
      <c r="AX86" s="556" t="str">
        <f t="shared" si="324"/>
        <v>Q2</v>
      </c>
      <c r="AY86" s="556" t="str">
        <f t="shared" si="324"/>
        <v>Q3</v>
      </c>
      <c r="AZ86" s="556" t="str">
        <f t="shared" si="324"/>
        <v>Q4</v>
      </c>
      <c r="BA86" s="556">
        <f t="shared" si="324"/>
        <v>2017</v>
      </c>
      <c r="BB86" s="556" t="str">
        <f t="shared" si="324"/>
        <v>Q1</v>
      </c>
      <c r="BC86" s="556" t="str">
        <f t="shared" si="324"/>
        <v>Q2</v>
      </c>
      <c r="BD86" s="556" t="str">
        <f t="shared" si="324"/>
        <v>Q3</v>
      </c>
      <c r="BE86" s="556" t="str">
        <f t="shared" si="324"/>
        <v>Q4</v>
      </c>
      <c r="BF86" s="556">
        <f t="shared" si="324"/>
        <v>2018</v>
      </c>
      <c r="BG86" s="556" t="str">
        <f t="shared" si="324"/>
        <v>Q1</v>
      </c>
      <c r="BH86" s="556" t="str">
        <f t="shared" si="324"/>
        <v>Q2</v>
      </c>
      <c r="BI86" s="556" t="str">
        <f t="shared" si="324"/>
        <v>Q3</v>
      </c>
      <c r="BJ86" s="556" t="str">
        <f t="shared" si="324"/>
        <v>Q4</v>
      </c>
      <c r="BK86" s="556">
        <f t="shared" si="324"/>
        <v>2019</v>
      </c>
      <c r="BL86" s="556" t="str">
        <f t="shared" si="324"/>
        <v>Q1</v>
      </c>
      <c r="BM86" s="556" t="str">
        <f t="shared" si="324"/>
        <v>Q2</v>
      </c>
      <c r="BN86" s="556" t="str">
        <f t="shared" si="324"/>
        <v>Q3</v>
      </c>
      <c r="BO86" s="556" t="str">
        <f t="shared" si="324"/>
        <v>Q4</v>
      </c>
      <c r="BP86" s="556">
        <f t="shared" ref="BP86:CT86" si="325">BP$4</f>
        <v>2020</v>
      </c>
      <c r="BQ86" s="556" t="str">
        <f t="shared" si="325"/>
        <v>Q1</v>
      </c>
      <c r="BR86" s="556" t="str">
        <f t="shared" si="325"/>
        <v>Q2</v>
      </c>
      <c r="BS86" s="556" t="str">
        <f t="shared" si="325"/>
        <v>Q3</v>
      </c>
      <c r="BT86" s="556" t="str">
        <f t="shared" si="325"/>
        <v>Q4</v>
      </c>
      <c r="BU86" s="556">
        <f t="shared" si="325"/>
        <v>2021</v>
      </c>
      <c r="BV86" s="556" t="str">
        <f t="shared" si="325"/>
        <v>Q1</v>
      </c>
      <c r="BW86" s="556" t="str">
        <f t="shared" si="325"/>
        <v>Q2</v>
      </c>
      <c r="BX86" s="556" t="str">
        <f t="shared" si="325"/>
        <v>Q3</v>
      </c>
      <c r="BY86" s="556" t="str">
        <f t="shared" si="325"/>
        <v>Q4</v>
      </c>
      <c r="BZ86" s="556">
        <f t="shared" si="325"/>
        <v>2022</v>
      </c>
      <c r="CA86" s="556" t="str">
        <f t="shared" si="325"/>
        <v>Q1</v>
      </c>
      <c r="CB86" s="556" t="str">
        <f t="shared" si="325"/>
        <v>Q2</v>
      </c>
      <c r="CC86" s="556" t="str">
        <f t="shared" si="325"/>
        <v>Q3</v>
      </c>
      <c r="CD86" s="556" t="str">
        <f t="shared" si="325"/>
        <v>Q4</v>
      </c>
      <c r="CE86" s="556">
        <f t="shared" si="325"/>
        <v>2023</v>
      </c>
      <c r="CF86" s="556" t="str">
        <f t="shared" si="325"/>
        <v>Q1</v>
      </c>
      <c r="CG86" s="556" t="str">
        <f t="shared" si="325"/>
        <v>Q2</v>
      </c>
      <c r="CH86" s="556" t="str">
        <f t="shared" si="325"/>
        <v>Q3</v>
      </c>
      <c r="CI86" s="556" t="str">
        <f t="shared" si="325"/>
        <v>Q4</v>
      </c>
      <c r="CJ86" s="556">
        <f t="shared" si="325"/>
        <v>2024</v>
      </c>
      <c r="CK86" s="556" t="str">
        <f t="shared" si="325"/>
        <v>Q1</v>
      </c>
      <c r="CL86" s="556" t="str">
        <f t="shared" si="325"/>
        <v>Q2</v>
      </c>
      <c r="CM86" s="556" t="str">
        <f t="shared" si="325"/>
        <v>Q3</v>
      </c>
      <c r="CN86" s="556"/>
      <c r="CO86" s="556">
        <f t="shared" si="325"/>
        <v>2025</v>
      </c>
      <c r="CP86" s="556">
        <f t="shared" si="325"/>
        <v>2026</v>
      </c>
      <c r="CQ86" s="556">
        <f t="shared" si="325"/>
        <v>2027</v>
      </c>
      <c r="CR86" s="556">
        <f t="shared" si="325"/>
        <v>2028</v>
      </c>
      <c r="CS86" s="556">
        <f t="shared" si="325"/>
        <v>2029</v>
      </c>
      <c r="CT86" s="556">
        <f t="shared" si="325"/>
        <v>2030</v>
      </c>
      <c r="CU86" s="347"/>
      <c r="CV86" s="1363"/>
      <c r="CW86" s="347"/>
      <c r="CX86" s="347"/>
      <c r="CY86" s="347"/>
      <c r="CZ86" s="347"/>
      <c r="DA86" s="347"/>
    </row>
    <row r="87" spans="1:107" s="540" customFormat="1">
      <c r="A87" s="880"/>
      <c r="B87" s="407" t="s">
        <v>20</v>
      </c>
      <c r="C87" s="351"/>
      <c r="D87" s="351"/>
      <c r="E87" s="351"/>
      <c r="F87" s="351"/>
      <c r="G87" s="351"/>
      <c r="H87" s="545">
        <f>C75</f>
        <v>0</v>
      </c>
      <c r="I87" s="545"/>
      <c r="J87" s="545"/>
      <c r="K87" s="545"/>
      <c r="L87" s="545"/>
      <c r="M87" s="545">
        <f>H75</f>
        <v>0</v>
      </c>
      <c r="N87" s="545"/>
      <c r="O87" s="545"/>
      <c r="P87" s="545"/>
      <c r="Q87" s="545"/>
      <c r="R87" s="545">
        <f>M75</f>
        <v>0</v>
      </c>
      <c r="S87" s="545"/>
      <c r="T87" s="545"/>
      <c r="U87" s="545"/>
      <c r="V87" s="545"/>
      <c r="W87" s="545">
        <f>R75</f>
        <v>0</v>
      </c>
      <c r="X87" s="545"/>
      <c r="Y87" s="545"/>
      <c r="Z87" s="545"/>
      <c r="AA87" s="545"/>
      <c r="AB87" s="545">
        <f>W75</f>
        <v>0</v>
      </c>
      <c r="AC87" s="545"/>
      <c r="AD87" s="545"/>
      <c r="AE87" s="545"/>
      <c r="AF87" s="545"/>
      <c r="AG87" s="545">
        <f>AB75</f>
        <v>0</v>
      </c>
      <c r="AH87" s="545">
        <f>AG89</f>
        <v>60123</v>
      </c>
      <c r="AI87" s="545">
        <f>AH89</f>
        <v>68118</v>
      </c>
      <c r="AJ87" s="545">
        <f>AI89</f>
        <v>62477</v>
      </c>
      <c r="AK87" s="545">
        <f>AJ89</f>
        <v>57844</v>
      </c>
      <c r="AL87" s="540">
        <f>AG89</f>
        <v>60123</v>
      </c>
      <c r="AM87" s="545">
        <f>AL89</f>
        <v>59177</v>
      </c>
      <c r="AN87" s="545">
        <f>AM89</f>
        <v>51675</v>
      </c>
      <c r="AO87" s="545">
        <f>AN89</f>
        <v>45572</v>
      </c>
      <c r="AP87" s="545">
        <f>AO89</f>
        <v>41069</v>
      </c>
      <c r="AQ87" s="540">
        <f>AL89</f>
        <v>59177</v>
      </c>
      <c r="AR87" s="545">
        <f>AQ89</f>
        <v>41563</v>
      </c>
      <c r="AS87" s="545">
        <f>AR89</f>
        <v>42062</v>
      </c>
      <c r="AT87" s="545">
        <f>AS89</f>
        <v>43510</v>
      </c>
      <c r="AU87" s="545">
        <f>AT89</f>
        <v>44489</v>
      </c>
      <c r="AV87" s="540">
        <f>AQ89</f>
        <v>41563</v>
      </c>
      <c r="AW87" s="545">
        <f>AV89</f>
        <v>45967</v>
      </c>
      <c r="AX87" s="545">
        <f>AW89</f>
        <v>47460</v>
      </c>
      <c r="AY87" s="545">
        <f>AX89</f>
        <v>49918</v>
      </c>
      <c r="AZ87" s="545">
        <f>AY89</f>
        <v>51869</v>
      </c>
      <c r="BA87" s="540">
        <f>AV89</f>
        <v>45967</v>
      </c>
      <c r="BB87" s="545">
        <f>BA89</f>
        <v>52797</v>
      </c>
      <c r="BC87" s="545">
        <f>BB89</f>
        <v>53700</v>
      </c>
      <c r="BD87" s="545">
        <f>BC89</f>
        <v>52000</v>
      </c>
      <c r="BE87" s="545">
        <f>BD89</f>
        <v>52900</v>
      </c>
      <c r="BF87" s="540">
        <f>BA89</f>
        <v>52797</v>
      </c>
      <c r="BG87" s="545">
        <f>BF89</f>
        <v>53900</v>
      </c>
      <c r="BH87" s="545">
        <f>BG89</f>
        <v>54000</v>
      </c>
      <c r="BI87" s="545">
        <f>BH89</f>
        <v>55500</v>
      </c>
      <c r="BJ87" s="545">
        <f>BI89</f>
        <v>54400</v>
      </c>
      <c r="BK87" s="540">
        <f>BF89</f>
        <v>53900</v>
      </c>
      <c r="BL87" s="545">
        <f>BK89</f>
        <v>55600</v>
      </c>
      <c r="BM87" s="545">
        <f>BL89</f>
        <v>54340</v>
      </c>
      <c r="BN87" s="545">
        <f>BM89</f>
        <v>54540</v>
      </c>
      <c r="BO87" s="545">
        <f>BN89</f>
        <v>55740</v>
      </c>
      <c r="BP87" s="540">
        <f>BK89</f>
        <v>55600</v>
      </c>
      <c r="BQ87" s="545">
        <f>BP89</f>
        <v>56740</v>
      </c>
      <c r="BR87" s="545">
        <f>BQ89</f>
        <v>54830</v>
      </c>
      <c r="BS87" s="545">
        <f>BR89</f>
        <v>55540</v>
      </c>
      <c r="BT87" s="545">
        <f>BS89</f>
        <v>56710</v>
      </c>
      <c r="BU87" s="540">
        <f>BP89</f>
        <v>56740</v>
      </c>
      <c r="BV87" s="545">
        <f>BU89</f>
        <v>56590</v>
      </c>
      <c r="BW87" s="545">
        <f t="shared" ref="BW87:BY87" si="326">BV89</f>
        <v>55640</v>
      </c>
      <c r="BX87" s="545">
        <f t="shared" si="326"/>
        <v>55810</v>
      </c>
      <c r="BY87" s="545">
        <f t="shared" si="326"/>
        <v>55900</v>
      </c>
      <c r="BZ87" s="540">
        <f>BU89</f>
        <v>56590</v>
      </c>
      <c r="CA87" s="545">
        <f>BZ89</f>
        <v>56000</v>
      </c>
      <c r="CB87" s="545">
        <f>CA89</f>
        <v>56400</v>
      </c>
      <c r="CC87" s="545">
        <f>CB89</f>
        <v>56500</v>
      </c>
      <c r="CD87" s="545">
        <f>CC89</f>
        <v>55900</v>
      </c>
      <c r="CE87" s="540">
        <f>BZ89</f>
        <v>56000</v>
      </c>
      <c r="CF87" s="545">
        <f>CE89</f>
        <v>55900</v>
      </c>
      <c r="CG87" s="545">
        <f>CF89</f>
        <v>56000</v>
      </c>
      <c r="CH87" s="545">
        <f>CG89</f>
        <v>56900</v>
      </c>
      <c r="CI87" s="545">
        <f>CH89</f>
        <v>56900</v>
      </c>
      <c r="CJ87" s="540">
        <f>CE89</f>
        <v>55900</v>
      </c>
      <c r="CK87" s="545">
        <f>CJ89</f>
        <v>57100</v>
      </c>
      <c r="CL87" s="545">
        <f>CK89</f>
        <v>57100</v>
      </c>
      <c r="CM87" s="545">
        <f>CL89</f>
        <v>80700</v>
      </c>
      <c r="CN87" s="545"/>
      <c r="CO87" s="545">
        <f t="shared" ref="CO87" si="327">CJ89</f>
        <v>57100</v>
      </c>
      <c r="CP87" s="545">
        <f t="shared" ref="CP87" si="328">CO89</f>
        <v>80867.532470679507</v>
      </c>
      <c r="CQ87" s="545">
        <f t="shared" ref="CQ87" si="329">CP89</f>
        <v>81953.994991672342</v>
      </c>
      <c r="CR87" s="545">
        <f t="shared" ref="CR87" si="330">CQ89</f>
        <v>83053.369341210375</v>
      </c>
      <c r="CS87" s="545">
        <f t="shared" ref="CS87" si="331">CR89</f>
        <v>84165.797749839083</v>
      </c>
      <c r="CT87" s="545">
        <f t="shared" ref="CT87" si="332">CS89</f>
        <v>85291.423927400872</v>
      </c>
      <c r="CV87" s="1368"/>
    </row>
    <row r="88" spans="1:107" s="540" customFormat="1">
      <c r="A88" s="880"/>
      <c r="B88" s="407" t="s">
        <v>21</v>
      </c>
      <c r="C88" s="351"/>
      <c r="D88" s="351"/>
      <c r="E88" s="351"/>
      <c r="F88" s="351"/>
      <c r="G88" s="351"/>
      <c r="H88" s="545">
        <f>H89-H87</f>
        <v>0</v>
      </c>
      <c r="I88" s="545"/>
      <c r="J88" s="545"/>
      <c r="K88" s="545"/>
      <c r="L88" s="545"/>
      <c r="M88" s="545">
        <f>M89-M87</f>
        <v>0</v>
      </c>
      <c r="N88" s="545"/>
      <c r="O88" s="545"/>
      <c r="P88" s="545"/>
      <c r="Q88" s="545"/>
      <c r="R88" s="545">
        <f>R89-R87</f>
        <v>0</v>
      </c>
      <c r="S88" s="545"/>
      <c r="T88" s="545"/>
      <c r="U88" s="545"/>
      <c r="V88" s="545"/>
      <c r="W88" s="545">
        <f>W89-W87</f>
        <v>0</v>
      </c>
      <c r="X88" s="545"/>
      <c r="Y88" s="545"/>
      <c r="Z88" s="545"/>
      <c r="AA88" s="545"/>
      <c r="AB88" s="545">
        <f>AB89-AB87</f>
        <v>0</v>
      </c>
      <c r="AC88" s="545"/>
      <c r="AD88" s="545"/>
      <c r="AE88" s="545"/>
      <c r="AF88" s="545"/>
      <c r="AG88" s="545">
        <f>AG89-AG87</f>
        <v>60123</v>
      </c>
      <c r="AH88" s="545">
        <f t="shared" ref="AH88:AK88" si="333">AH89-AH87</f>
        <v>7995</v>
      </c>
      <c r="AI88" s="545">
        <f t="shared" si="333"/>
        <v>-5641</v>
      </c>
      <c r="AJ88" s="545">
        <f t="shared" si="333"/>
        <v>-4633</v>
      </c>
      <c r="AK88" s="545">
        <f t="shared" si="333"/>
        <v>1333</v>
      </c>
      <c r="AL88" s="540">
        <f>AL89-AL87</f>
        <v>-946</v>
      </c>
      <c r="AM88" s="545">
        <f t="shared" ref="AM88:AP88" si="334">AM89-AM87</f>
        <v>-7502</v>
      </c>
      <c r="AN88" s="545">
        <f t="shared" si="334"/>
        <v>-6103</v>
      </c>
      <c r="AO88" s="545">
        <f t="shared" si="334"/>
        <v>-4503</v>
      </c>
      <c r="AP88" s="545">
        <f t="shared" si="334"/>
        <v>494</v>
      </c>
      <c r="AQ88" s="540">
        <f>AQ89-AQ87</f>
        <v>-17614</v>
      </c>
      <c r="AR88" s="545">
        <f t="shared" ref="AR88:AU88" si="335">AR89-AR87</f>
        <v>499</v>
      </c>
      <c r="AS88" s="545">
        <f t="shared" si="335"/>
        <v>1448</v>
      </c>
      <c r="AT88" s="545">
        <f t="shared" si="335"/>
        <v>979</v>
      </c>
      <c r="AU88" s="545">
        <f t="shared" si="335"/>
        <v>1478</v>
      </c>
      <c r="AV88" s="540">
        <f>AV89-AV87</f>
        <v>4404</v>
      </c>
      <c r="AW88" s="545">
        <f t="shared" ref="AW88:AZ88" si="336">AW89-AW87</f>
        <v>1493</v>
      </c>
      <c r="AX88" s="545">
        <f t="shared" si="336"/>
        <v>2458</v>
      </c>
      <c r="AY88" s="545">
        <f t="shared" si="336"/>
        <v>1951</v>
      </c>
      <c r="AZ88" s="545">
        <f t="shared" si="336"/>
        <v>928</v>
      </c>
      <c r="BA88" s="540">
        <f>BA89-BA87</f>
        <v>6830</v>
      </c>
      <c r="BB88" s="545">
        <f t="shared" ref="BB88" si="337">BB89-BB87</f>
        <v>903</v>
      </c>
      <c r="BC88" s="545">
        <f t="shared" ref="BC88:BE88" si="338">BC89-BC87</f>
        <v>-1700</v>
      </c>
      <c r="BD88" s="545">
        <f t="shared" si="338"/>
        <v>900</v>
      </c>
      <c r="BE88" s="545">
        <f t="shared" si="338"/>
        <v>1000</v>
      </c>
      <c r="BF88" s="540">
        <f>BF89-BF87</f>
        <v>1103</v>
      </c>
      <c r="BG88" s="545">
        <f t="shared" ref="BG88" si="339">BG89-BG87</f>
        <v>100</v>
      </c>
      <c r="BH88" s="545">
        <f t="shared" ref="BH88:BJ88" si="340">BH89-BH87</f>
        <v>1500</v>
      </c>
      <c r="BI88" s="545">
        <f t="shared" si="340"/>
        <v>-1100</v>
      </c>
      <c r="BJ88" s="545">
        <f t="shared" si="340"/>
        <v>1200</v>
      </c>
      <c r="BK88" s="540">
        <f>BK89-BK87</f>
        <v>1700</v>
      </c>
      <c r="BL88" s="545">
        <f t="shared" ref="BL88:BM88" si="341">BL89-BL87</f>
        <v>-1260</v>
      </c>
      <c r="BM88" s="545">
        <f t="shared" si="341"/>
        <v>200</v>
      </c>
      <c r="BN88" s="545">
        <f t="shared" ref="BN88:BO88" si="342">BN89-BN87</f>
        <v>1200</v>
      </c>
      <c r="BO88" s="545">
        <f t="shared" si="342"/>
        <v>1000</v>
      </c>
      <c r="BP88" s="540">
        <f>BP89-BP87</f>
        <v>1140</v>
      </c>
      <c r="BQ88" s="545">
        <f t="shared" ref="BQ88:BR88" si="343">BQ89-BQ87</f>
        <v>-1910</v>
      </c>
      <c r="BR88" s="545">
        <f t="shared" si="343"/>
        <v>710</v>
      </c>
      <c r="BS88" s="545">
        <f t="shared" ref="BS88:BT88" si="344">BS89-BS87</f>
        <v>1170</v>
      </c>
      <c r="BT88" s="545">
        <f t="shared" si="344"/>
        <v>-120</v>
      </c>
      <c r="BU88" s="540">
        <f>BU89-BU87</f>
        <v>-150</v>
      </c>
      <c r="BV88" s="545">
        <f t="shared" ref="BV88:BW88" si="345">BV89-BV87</f>
        <v>-950</v>
      </c>
      <c r="BW88" s="545">
        <f t="shared" si="345"/>
        <v>170</v>
      </c>
      <c r="BX88" s="545">
        <f t="shared" ref="BX88" si="346">BX89-BX87</f>
        <v>90</v>
      </c>
      <c r="BY88" s="545">
        <f t="shared" ref="BY88" si="347">BY89-BY87</f>
        <v>100</v>
      </c>
      <c r="BZ88" s="540">
        <f>BZ89-BZ87</f>
        <v>-590</v>
      </c>
      <c r="CA88" s="545">
        <f t="shared" ref="CA88:CB88" si="348">CA89-CA87</f>
        <v>400</v>
      </c>
      <c r="CB88" s="545">
        <f t="shared" si="348"/>
        <v>100</v>
      </c>
      <c r="CC88" s="545">
        <f t="shared" ref="CC88:CD88" si="349">CC89-CC87</f>
        <v>-600</v>
      </c>
      <c r="CD88" s="545">
        <f t="shared" si="349"/>
        <v>0</v>
      </c>
      <c r="CE88" s="540">
        <f>CE89-CE87</f>
        <v>-100</v>
      </c>
      <c r="CF88" s="545">
        <f t="shared" ref="CF88:CG88" si="350">CF89-CF87</f>
        <v>100</v>
      </c>
      <c r="CG88" s="545">
        <f t="shared" si="350"/>
        <v>900</v>
      </c>
      <c r="CH88" s="545">
        <f t="shared" ref="CH88:CI88" si="351">CH89-CH87</f>
        <v>0</v>
      </c>
      <c r="CI88" s="545">
        <f t="shared" si="351"/>
        <v>200</v>
      </c>
      <c r="CJ88" s="540">
        <f>CJ89-CJ87</f>
        <v>1200</v>
      </c>
      <c r="CK88" s="545">
        <f t="shared" ref="CK88:CL88" si="352">CK89-CK87</f>
        <v>0</v>
      </c>
      <c r="CL88" s="545">
        <f t="shared" si="352"/>
        <v>23600</v>
      </c>
      <c r="CM88" s="545">
        <f t="shared" ref="CM88" si="353">CM89-CM87</f>
        <v>-3000</v>
      </c>
      <c r="CN88" s="545"/>
      <c r="CO88" s="540">
        <f t="shared" ref="CO88:CT88" si="354">CO89-CO87</f>
        <v>23767.532470679507</v>
      </c>
      <c r="CP88" s="540">
        <f t="shared" si="354"/>
        <v>1086.4625209928345</v>
      </c>
      <c r="CQ88" s="540">
        <f t="shared" si="354"/>
        <v>1099.3743495380331</v>
      </c>
      <c r="CR88" s="540">
        <f t="shared" si="354"/>
        <v>1112.428408628708</v>
      </c>
      <c r="CS88" s="540">
        <f t="shared" si="354"/>
        <v>1125.6261775617895</v>
      </c>
      <c r="CT88" s="540">
        <f t="shared" si="354"/>
        <v>1138.9691502503556</v>
      </c>
      <c r="CV88" s="1368"/>
    </row>
    <row r="89" spans="1:107" s="540" customFormat="1">
      <c r="A89" s="880"/>
      <c r="B89" s="462" t="s">
        <v>22</v>
      </c>
      <c r="C89" s="1328"/>
      <c r="D89" s="1328"/>
      <c r="E89" s="1328"/>
      <c r="F89" s="1328"/>
      <c r="G89" s="1328"/>
      <c r="H89" s="879">
        <f>H75</f>
        <v>0</v>
      </c>
      <c r="I89" s="879"/>
      <c r="J89" s="879"/>
      <c r="K89" s="879"/>
      <c r="L89" s="879"/>
      <c r="M89" s="879">
        <f>M75</f>
        <v>0</v>
      </c>
      <c r="N89" s="879"/>
      <c r="O89" s="879"/>
      <c r="P89" s="879"/>
      <c r="Q89" s="879"/>
      <c r="R89" s="879">
        <f>R75</f>
        <v>0</v>
      </c>
      <c r="S89" s="879"/>
      <c r="T89" s="879"/>
      <c r="U89" s="879"/>
      <c r="V89" s="879"/>
      <c r="W89" s="879">
        <f>W75</f>
        <v>0</v>
      </c>
      <c r="X89" s="879"/>
      <c r="Y89" s="879"/>
      <c r="Z89" s="879"/>
      <c r="AA89" s="879"/>
      <c r="AB89" s="879">
        <f>AB75</f>
        <v>0</v>
      </c>
      <c r="AC89" s="563">
        <f>'[16]Domestic Mobile Operations'!D$17</f>
        <v>48746</v>
      </c>
      <c r="AD89" s="563">
        <f>'[16]Domestic Mobile Operations'!E$17</f>
        <v>53872</v>
      </c>
      <c r="AE89" s="563">
        <f>'[16]Domestic Mobile Operations'!F$17</f>
        <v>57768</v>
      </c>
      <c r="AF89" s="563">
        <f>'[16]Domestic Mobile Operations'!G$17</f>
        <v>60123</v>
      </c>
      <c r="AG89" s="879">
        <f>AF89</f>
        <v>60123</v>
      </c>
      <c r="AH89" s="563">
        <f>'[16]Domestic Mobile Operations'!H$17</f>
        <v>68118</v>
      </c>
      <c r="AI89" s="563">
        <f>'[16]Domestic Mobile Operations'!I$17</f>
        <v>62477</v>
      </c>
      <c r="AJ89" s="563">
        <f>'[16]Domestic Mobile Operations'!J$17</f>
        <v>57844</v>
      </c>
      <c r="AK89" s="563">
        <f>'[16]Domestic Mobile Operations'!K$17</f>
        <v>59177</v>
      </c>
      <c r="AL89" s="879">
        <f>AK89</f>
        <v>59177</v>
      </c>
      <c r="AM89" s="563">
        <f>'[16]Domestic Mobile Operations'!L$17</f>
        <v>51675</v>
      </c>
      <c r="AN89" s="563">
        <f>'[16]Domestic Mobile Operations'!M$17</f>
        <v>45572</v>
      </c>
      <c r="AO89" s="563">
        <f>'[16]Domestic Mobile Operations'!N$17</f>
        <v>41069</v>
      </c>
      <c r="AP89" s="563">
        <f>'[16]Domestic Mobile Operations'!O$17</f>
        <v>41563</v>
      </c>
      <c r="AQ89" s="879">
        <f>AP89</f>
        <v>41563</v>
      </c>
      <c r="AR89" s="563">
        <f>'[16]Domestic Mobile Operations'!P$17</f>
        <v>42062</v>
      </c>
      <c r="AS89" s="563">
        <f>'[16]Domestic Mobile Operations'!Q$17</f>
        <v>43510</v>
      </c>
      <c r="AT89" s="563">
        <f>'[16]Domestic Mobile Operations'!R$17</f>
        <v>44489</v>
      </c>
      <c r="AU89" s="563">
        <f>'[16]Domestic Mobile Operations'!S$17</f>
        <v>45967</v>
      </c>
      <c r="AV89" s="879">
        <f>AU89</f>
        <v>45967</v>
      </c>
      <c r="AW89" s="563">
        <f>'[16]Domestic Mobile Operations'!T$17</f>
        <v>47460</v>
      </c>
      <c r="AX89" s="563">
        <f>'[16]Domestic Mobile Operations'!U$17</f>
        <v>49918</v>
      </c>
      <c r="AY89" s="563">
        <f>'[16]Domestic Mobile Operations'!V$17</f>
        <v>51869</v>
      </c>
      <c r="AZ89" s="563">
        <f>'[16]Domestic Mobile Operations'!W$17</f>
        <v>52797</v>
      </c>
      <c r="BA89" s="879">
        <f>AZ89</f>
        <v>52797</v>
      </c>
      <c r="BB89" s="563">
        <f>'[16]Domestic Mobile Operations'!X17</f>
        <v>53700</v>
      </c>
      <c r="BC89" s="563">
        <f>'[16]Domestic Mobile Operations'!Y17</f>
        <v>52000</v>
      </c>
      <c r="BD89" s="563">
        <f>'[16]Domestic Mobile Operations'!Z17</f>
        <v>52900</v>
      </c>
      <c r="BE89" s="563">
        <f>'[16]Domestic Mobile Operations'!AA17</f>
        <v>53900</v>
      </c>
      <c r="BF89" s="879">
        <f>BE89</f>
        <v>53900</v>
      </c>
      <c r="BG89" s="563">
        <f>'[16]Domestic Mobile Operations'!AB17</f>
        <v>54000</v>
      </c>
      <c r="BH89" s="563">
        <f>'[16]Domestic Mobile Operations'!AC17</f>
        <v>55500</v>
      </c>
      <c r="BI89" s="563">
        <f>'[16]Domestic Mobile Operations'!AD17</f>
        <v>54400</v>
      </c>
      <c r="BJ89" s="563">
        <f>'[16]Domestic Mobile Operations'!AE17</f>
        <v>55600</v>
      </c>
      <c r="BK89" s="879">
        <f>BJ89</f>
        <v>55600</v>
      </c>
      <c r="BL89" s="563">
        <f>'[16]Domestic Mobile Operations'!AF17</f>
        <v>54340</v>
      </c>
      <c r="BM89" s="563">
        <f>'[16]Domestic Mobile Operations'!AG17</f>
        <v>54540</v>
      </c>
      <c r="BN89" s="563">
        <f>'[16]Domestic Mobile Operations'!AH17</f>
        <v>55740</v>
      </c>
      <c r="BO89" s="563">
        <f>'[16]Domestic Mobile Operations'!AI17</f>
        <v>56740</v>
      </c>
      <c r="BP89" s="879">
        <f>BO89</f>
        <v>56740</v>
      </c>
      <c r="BQ89" s="563">
        <f>'[16]Domestic Mobile Operations'!AJ17</f>
        <v>54830</v>
      </c>
      <c r="BR89" s="563">
        <f>'[16]Domestic Mobile Operations'!AK17</f>
        <v>55540</v>
      </c>
      <c r="BS89" s="563">
        <f>'[16]Domestic Mobile Operations'!AL17</f>
        <v>56710</v>
      </c>
      <c r="BT89" s="563">
        <f>'[16]Domestic Mobile Operations'!AM17</f>
        <v>56590</v>
      </c>
      <c r="BU89" s="879">
        <f>BT89</f>
        <v>56590</v>
      </c>
      <c r="BV89" s="563">
        <f>'[16]Domestic Mobile Operations'!AN17</f>
        <v>55640</v>
      </c>
      <c r="BW89" s="563">
        <f>'[16]Domestic Mobile Operations'!AO17</f>
        <v>55810</v>
      </c>
      <c r="BX89" s="563">
        <f>'[16]Domestic Mobile Operations'!AP17</f>
        <v>55900</v>
      </c>
      <c r="BY89" s="563">
        <f>'[16]Domestic Mobile Operations'!AQ17</f>
        <v>56000</v>
      </c>
      <c r="BZ89" s="879">
        <f>BY89</f>
        <v>56000</v>
      </c>
      <c r="CA89" s="563">
        <f>'[16]Domestic Mobile Operations'!AR17</f>
        <v>56400</v>
      </c>
      <c r="CB89" s="563">
        <f>'[16]Domestic Mobile Operations'!AS17</f>
        <v>56500</v>
      </c>
      <c r="CC89" s="563">
        <f>'[16]Domestic Mobile Operations'!AT17</f>
        <v>55900</v>
      </c>
      <c r="CD89" s="563">
        <f>'[16]Domestic Mobile Operations'!AU17</f>
        <v>55900</v>
      </c>
      <c r="CE89" s="879">
        <f>CD89</f>
        <v>55900</v>
      </c>
      <c r="CF89" s="563">
        <f>'[16]Domestic Mobile Operations'!AV17</f>
        <v>56000</v>
      </c>
      <c r="CG89" s="563">
        <f>'[16]Domestic Mobile Operations'!AW17</f>
        <v>56900</v>
      </c>
      <c r="CH89" s="563">
        <f>'[16]Domestic Mobile Operations'!AX17</f>
        <v>56900</v>
      </c>
      <c r="CI89" s="563">
        <f>'[16]Domestic Mobile Operations'!AY17</f>
        <v>57100</v>
      </c>
      <c r="CJ89" s="879">
        <f>CI89</f>
        <v>57100</v>
      </c>
      <c r="CK89" s="563">
        <f>'[16]Domestic Mobile Operations'!AZ17</f>
        <v>57100</v>
      </c>
      <c r="CL89" s="563">
        <f>'[16]Domestic Mobile Operations'!BA17</f>
        <v>80700</v>
      </c>
      <c r="CM89" s="563">
        <f>'[16]Domestic Mobile Operations'!BB17</f>
        <v>77700</v>
      </c>
      <c r="CN89" s="563"/>
      <c r="CO89" s="879">
        <f t="shared" ref="CO89:CT89" si="355">CO77*CO$96</f>
        <v>80867.532470679507</v>
      </c>
      <c r="CP89" s="879">
        <f t="shared" si="355"/>
        <v>81953.994991672342</v>
      </c>
      <c r="CQ89" s="879">
        <f t="shared" si="355"/>
        <v>83053.369341210375</v>
      </c>
      <c r="CR89" s="879">
        <f t="shared" si="355"/>
        <v>84165.797749839083</v>
      </c>
      <c r="CS89" s="879">
        <f t="shared" si="355"/>
        <v>85291.423927400872</v>
      </c>
      <c r="CT89" s="879">
        <f t="shared" si="355"/>
        <v>86430.393077651228</v>
      </c>
      <c r="CV89" s="1368"/>
    </row>
    <row r="90" spans="1:107" s="540" customFormat="1">
      <c r="A90" s="880"/>
      <c r="B90" s="407" t="s">
        <v>23</v>
      </c>
      <c r="C90" s="351"/>
      <c r="D90" s="351"/>
      <c r="E90" s="351"/>
      <c r="F90" s="351"/>
      <c r="G90" s="351"/>
      <c r="H90" s="545">
        <f>(C89+H89)/2</f>
        <v>0</v>
      </c>
      <c r="I90" s="545"/>
      <c r="J90" s="545"/>
      <c r="K90" s="545"/>
      <c r="L90" s="545"/>
      <c r="M90" s="545">
        <f>(H89+M89)/2</f>
        <v>0</v>
      </c>
      <c r="N90" s="545"/>
      <c r="O90" s="545"/>
      <c r="P90" s="545"/>
      <c r="Q90" s="545"/>
      <c r="R90" s="545">
        <f>(M89+R89)/2</f>
        <v>0</v>
      </c>
      <c r="S90" s="545"/>
      <c r="T90" s="545"/>
      <c r="U90" s="545"/>
      <c r="V90" s="545"/>
      <c r="W90" s="545">
        <f>(R89+W89)/2</f>
        <v>0</v>
      </c>
      <c r="X90" s="545"/>
      <c r="Y90" s="545"/>
      <c r="Z90" s="545"/>
      <c r="AA90" s="545"/>
      <c r="AB90" s="545">
        <f>(W89+AB89)/2</f>
        <v>0</v>
      </c>
      <c r="AC90" s="545"/>
      <c r="AD90" s="545"/>
      <c r="AE90" s="545"/>
      <c r="AF90" s="545"/>
      <c r="AG90" s="545"/>
      <c r="AH90" s="540">
        <f>(AH87+AH89)/2</f>
        <v>64120.5</v>
      </c>
      <c r="AI90" s="540">
        <f t="shared" ref="AI90:BE90" si="356">(AI87+AI89)/2</f>
        <v>65297.5</v>
      </c>
      <c r="AJ90" s="540">
        <f t="shared" si="356"/>
        <v>60160.5</v>
      </c>
      <c r="AK90" s="540">
        <f t="shared" si="356"/>
        <v>58510.5</v>
      </c>
      <c r="AL90" s="540">
        <f t="shared" si="356"/>
        <v>59650</v>
      </c>
      <c r="AM90" s="540">
        <f t="shared" si="356"/>
        <v>55426</v>
      </c>
      <c r="AN90" s="540">
        <f t="shared" si="356"/>
        <v>48623.5</v>
      </c>
      <c r="AO90" s="540">
        <f t="shared" si="356"/>
        <v>43320.5</v>
      </c>
      <c r="AP90" s="540">
        <f t="shared" si="356"/>
        <v>41316</v>
      </c>
      <c r="AQ90" s="540">
        <f t="shared" si="356"/>
        <v>50370</v>
      </c>
      <c r="AR90" s="540">
        <f t="shared" si="356"/>
        <v>41812.5</v>
      </c>
      <c r="AS90" s="540">
        <f t="shared" si="356"/>
        <v>42786</v>
      </c>
      <c r="AT90" s="540">
        <f t="shared" si="356"/>
        <v>43999.5</v>
      </c>
      <c r="AU90" s="540">
        <f t="shared" si="356"/>
        <v>45228</v>
      </c>
      <c r="AV90" s="540">
        <f t="shared" si="356"/>
        <v>43765</v>
      </c>
      <c r="AW90" s="540">
        <f t="shared" si="356"/>
        <v>46713.5</v>
      </c>
      <c r="AX90" s="540">
        <f t="shared" si="356"/>
        <v>48689</v>
      </c>
      <c r="AY90" s="540">
        <f t="shared" si="356"/>
        <v>50893.5</v>
      </c>
      <c r="AZ90" s="540">
        <f t="shared" si="356"/>
        <v>52333</v>
      </c>
      <c r="BA90" s="540">
        <f t="shared" si="356"/>
        <v>49382</v>
      </c>
      <c r="BB90" s="540">
        <f t="shared" si="356"/>
        <v>53248.5</v>
      </c>
      <c r="BC90" s="540">
        <f t="shared" si="356"/>
        <v>52850</v>
      </c>
      <c r="BD90" s="540">
        <f t="shared" si="356"/>
        <v>52450</v>
      </c>
      <c r="BE90" s="540">
        <f t="shared" si="356"/>
        <v>53400</v>
      </c>
      <c r="BF90" s="540">
        <f>(BF87+BF89)/2</f>
        <v>53348.5</v>
      </c>
      <c r="BG90" s="545">
        <f>(BG87+BG89)/2</f>
        <v>53950</v>
      </c>
      <c r="BH90" s="545">
        <f>(BH87+BH89)/2</f>
        <v>54750</v>
      </c>
      <c r="BI90" s="545">
        <f>(BI87+BI89)/2</f>
        <v>54950</v>
      </c>
      <c r="BJ90" s="545">
        <f t="shared" ref="BJ90" si="357">(BJ87+BJ89)/2</f>
        <v>55000</v>
      </c>
      <c r="BK90" s="540">
        <f t="shared" ref="BK90:BV90" si="358">(BK87+BK89)/2</f>
        <v>54750</v>
      </c>
      <c r="BL90" s="545">
        <f t="shared" si="358"/>
        <v>54970</v>
      </c>
      <c r="BM90" s="545">
        <f t="shared" si="358"/>
        <v>54440</v>
      </c>
      <c r="BN90" s="545">
        <f t="shared" si="358"/>
        <v>55140</v>
      </c>
      <c r="BO90" s="545">
        <f t="shared" si="358"/>
        <v>56240</v>
      </c>
      <c r="BP90" s="540">
        <f t="shared" si="358"/>
        <v>56170</v>
      </c>
      <c r="BQ90" s="545">
        <f t="shared" si="358"/>
        <v>55785</v>
      </c>
      <c r="BR90" s="545">
        <f t="shared" si="358"/>
        <v>55185</v>
      </c>
      <c r="BS90" s="545">
        <f t="shared" si="358"/>
        <v>56125</v>
      </c>
      <c r="BT90" s="545">
        <f t="shared" si="358"/>
        <v>56650</v>
      </c>
      <c r="BU90" s="540">
        <f t="shared" si="358"/>
        <v>56665</v>
      </c>
      <c r="BV90" s="545">
        <f t="shared" si="358"/>
        <v>56115</v>
      </c>
      <c r="BW90" s="545">
        <f t="shared" ref="BW90:BX90" si="359">(BW87+BW89)/2</f>
        <v>55725</v>
      </c>
      <c r="BX90" s="545">
        <f t="shared" si="359"/>
        <v>55855</v>
      </c>
      <c r="BY90" s="545">
        <f t="shared" ref="BY90" si="360">(BY87+BY89)/2</f>
        <v>55950</v>
      </c>
      <c r="BZ90" s="540">
        <f t="shared" ref="BZ90:CD90" si="361">(BZ87+BZ89)/2</f>
        <v>56295</v>
      </c>
      <c r="CA90" s="545">
        <f t="shared" si="361"/>
        <v>56200</v>
      </c>
      <c r="CB90" s="545">
        <f t="shared" si="361"/>
        <v>56450</v>
      </c>
      <c r="CC90" s="545">
        <f t="shared" si="361"/>
        <v>56200</v>
      </c>
      <c r="CD90" s="545">
        <f t="shared" si="361"/>
        <v>55900</v>
      </c>
      <c r="CE90" s="540">
        <f t="shared" ref="CE90:CF90" si="362">(CE87+CE89)/2</f>
        <v>55950</v>
      </c>
      <c r="CF90" s="545">
        <f t="shared" si="362"/>
        <v>55950</v>
      </c>
      <c r="CG90" s="545">
        <f t="shared" ref="CG90:CH90" si="363">(CG87+CG89)/2</f>
        <v>56450</v>
      </c>
      <c r="CH90" s="545">
        <f t="shared" si="363"/>
        <v>56900</v>
      </c>
      <c r="CI90" s="545">
        <f t="shared" ref="CI90:CK90" si="364">(CI87+CI89)/2</f>
        <v>57000</v>
      </c>
      <c r="CJ90" s="540">
        <f t="shared" si="364"/>
        <v>56500</v>
      </c>
      <c r="CK90" s="545">
        <f t="shared" si="364"/>
        <v>57100</v>
      </c>
      <c r="CL90" s="545">
        <f>CL89</f>
        <v>80700</v>
      </c>
      <c r="CM90" s="545">
        <f>CM89</f>
        <v>77700</v>
      </c>
      <c r="CN90" s="545"/>
      <c r="CO90" s="1338">
        <f>3/4*AVERAGE(CO89,CL89)+(1/4*CO87)</f>
        <v>74862.82467650481</v>
      </c>
      <c r="CP90" s="540">
        <f t="shared" ref="CP90:CT90" si="365">(CP87+CP89)/2</f>
        <v>81410.763731175917</v>
      </c>
      <c r="CQ90" s="540">
        <f t="shared" si="365"/>
        <v>82503.682166441358</v>
      </c>
      <c r="CR90" s="540">
        <f t="shared" si="365"/>
        <v>83609.583545524729</v>
      </c>
      <c r="CS90" s="540">
        <f t="shared" si="365"/>
        <v>84728.610838619978</v>
      </c>
      <c r="CT90" s="540">
        <f t="shared" si="365"/>
        <v>85860.908502526057</v>
      </c>
      <c r="CV90" s="1368"/>
    </row>
    <row r="91" spans="1:107">
      <c r="B91" s="347"/>
      <c r="C91" s="347"/>
      <c r="D91" s="347"/>
      <c r="E91" s="347"/>
      <c r="F91" s="347"/>
      <c r="G91" s="347"/>
      <c r="H91" s="347"/>
      <c r="I91" s="347"/>
      <c r="J91" s="347"/>
      <c r="K91" s="347"/>
      <c r="L91" s="347"/>
      <c r="M91" s="347"/>
      <c r="N91" s="347"/>
      <c r="O91" s="347"/>
      <c r="P91" s="347"/>
      <c r="Q91" s="347"/>
      <c r="R91" s="347"/>
      <c r="S91" s="347"/>
      <c r="T91" s="347"/>
      <c r="U91" s="347"/>
      <c r="V91" s="347"/>
      <c r="W91" s="347"/>
      <c r="X91" s="347"/>
      <c r="Y91" s="347"/>
      <c r="Z91" s="347"/>
      <c r="AA91" s="347"/>
      <c r="AB91" s="347"/>
      <c r="AC91" s="347"/>
      <c r="AD91" s="347"/>
      <c r="AE91" s="347"/>
      <c r="AF91" s="347"/>
      <c r="AG91" s="403"/>
      <c r="AH91" s="403"/>
      <c r="AI91" s="403"/>
      <c r="AJ91" s="403"/>
      <c r="AK91" s="403"/>
      <c r="AL91" s="412"/>
      <c r="AM91" s="412"/>
      <c r="AN91" s="412"/>
      <c r="AO91" s="412"/>
      <c r="AP91" s="412"/>
      <c r="AQ91" s="412"/>
      <c r="AR91" s="412"/>
      <c r="AS91" s="412"/>
      <c r="AT91" s="412"/>
      <c r="AU91" s="412"/>
      <c r="AV91" s="412"/>
      <c r="AW91" s="412"/>
      <c r="AX91" s="412"/>
      <c r="AY91" s="412"/>
      <c r="AZ91" s="412"/>
      <c r="BA91" s="412"/>
      <c r="BB91" s="412"/>
      <c r="BC91" s="412"/>
      <c r="BD91" s="412"/>
      <c r="BE91" s="412"/>
      <c r="BF91" s="412"/>
      <c r="BG91" s="412"/>
      <c r="BH91" s="412"/>
      <c r="BI91" s="412"/>
      <c r="BJ91" s="412"/>
      <c r="BK91" s="412"/>
      <c r="BL91" s="412"/>
      <c r="BM91" s="412"/>
      <c r="BN91" s="412"/>
      <c r="BO91" s="412"/>
      <c r="BP91" s="412"/>
      <c r="BQ91" s="412"/>
      <c r="BR91" s="412"/>
      <c r="BS91" s="412"/>
      <c r="BT91" s="412"/>
      <c r="BU91" s="412"/>
      <c r="BV91" s="412"/>
      <c r="BW91" s="412"/>
      <c r="BX91" s="412"/>
      <c r="BY91" s="412"/>
      <c r="BZ91" s="412"/>
      <c r="CA91" s="412"/>
      <c r="CB91" s="412"/>
      <c r="CC91" s="412"/>
      <c r="CD91" s="412"/>
      <c r="CE91" s="412"/>
      <c r="CF91" s="412"/>
      <c r="CG91" s="412"/>
      <c r="CH91" s="412"/>
      <c r="CI91" s="412"/>
      <c r="CJ91" s="412"/>
      <c r="CK91" s="412"/>
      <c r="CL91" s="412"/>
      <c r="CM91" s="412"/>
      <c r="CN91" s="412"/>
      <c r="CO91" s="353">
        <f>CO90/CJ90-1</f>
        <v>0.3250057464868108</v>
      </c>
      <c r="CP91" s="353">
        <f>CP90/CO90-1</f>
        <v>8.7465829441593756E-2</v>
      </c>
      <c r="CQ91" s="353">
        <f t="shared" ref="CQ91:CT91" si="366">CQ90/CP90-1</f>
        <v>1.3424741215723346E-2</v>
      </c>
      <c r="CR91" s="353">
        <f t="shared" si="366"/>
        <v>1.3404266937472542E-2</v>
      </c>
      <c r="CS91" s="353">
        <f t="shared" si="366"/>
        <v>1.3383959656801059E-2</v>
      </c>
      <c r="CT91" s="353">
        <f t="shared" si="366"/>
        <v>1.3363817165169101E-2</v>
      </c>
      <c r="CU91" s="347"/>
      <c r="CV91" s="1363"/>
      <c r="CW91" s="347"/>
      <c r="CX91" s="347"/>
      <c r="CY91" s="347"/>
      <c r="CZ91" s="356"/>
      <c r="DA91" s="356"/>
      <c r="DB91" s="356"/>
      <c r="DC91" s="356"/>
    </row>
    <row r="92" spans="1:107">
      <c r="B92" s="347"/>
      <c r="C92" s="347"/>
      <c r="D92" s="347"/>
      <c r="E92" s="347"/>
      <c r="F92" s="347"/>
      <c r="G92" s="347"/>
      <c r="H92" s="347"/>
      <c r="I92" s="347"/>
      <c r="J92" s="347"/>
      <c r="K92" s="347"/>
      <c r="L92" s="347"/>
      <c r="M92" s="347"/>
      <c r="N92" s="347"/>
      <c r="O92" s="347"/>
      <c r="P92" s="347"/>
      <c r="Q92" s="347"/>
      <c r="R92" s="347"/>
      <c r="S92" s="347"/>
      <c r="T92" s="347"/>
      <c r="U92" s="347"/>
      <c r="V92" s="347"/>
      <c r="W92" s="347"/>
      <c r="X92" s="347"/>
      <c r="Y92" s="347"/>
      <c r="Z92" s="347"/>
      <c r="AA92" s="347"/>
      <c r="AB92" s="347"/>
      <c r="AC92" s="347"/>
      <c r="AD92" s="347"/>
      <c r="AE92" s="347"/>
      <c r="AF92" s="347"/>
      <c r="AG92" s="403"/>
      <c r="AH92" s="403"/>
      <c r="AI92" s="403"/>
      <c r="AJ92" s="403"/>
      <c r="AK92" s="403"/>
      <c r="AL92" s="412"/>
      <c r="AM92" s="412"/>
      <c r="AN92" s="412"/>
      <c r="AO92" s="412"/>
      <c r="AP92" s="412"/>
      <c r="AQ92" s="412"/>
      <c r="AR92" s="412"/>
      <c r="AS92" s="412"/>
      <c r="AT92" s="412"/>
      <c r="AU92" s="412"/>
      <c r="AV92" s="412"/>
      <c r="AW92" s="412"/>
      <c r="AX92" s="412"/>
      <c r="AY92" s="412"/>
      <c r="AZ92" s="412"/>
      <c r="BA92" s="412"/>
      <c r="BB92" s="412"/>
      <c r="BC92" s="412"/>
      <c r="BD92" s="412"/>
      <c r="BE92" s="412"/>
      <c r="BF92" s="412"/>
      <c r="BG92" s="412"/>
      <c r="BH92" s="412"/>
      <c r="BI92" s="412"/>
      <c r="BJ92" s="412"/>
      <c r="BK92" s="412"/>
      <c r="BL92" s="412"/>
      <c r="BM92" s="412"/>
      <c r="BN92" s="412"/>
      <c r="BO92" s="412"/>
      <c r="BP92" s="412"/>
      <c r="BQ92" s="412"/>
      <c r="BR92" s="412"/>
      <c r="BS92" s="412"/>
      <c r="BT92" s="412"/>
      <c r="BU92" s="412"/>
      <c r="BV92" s="412"/>
      <c r="BW92" s="412"/>
      <c r="BX92" s="412"/>
      <c r="BY92" s="412"/>
      <c r="BZ92" s="412"/>
      <c r="CA92" s="412"/>
      <c r="CB92" s="412"/>
      <c r="CC92" s="412"/>
      <c r="CD92" s="412"/>
      <c r="CE92" s="412"/>
      <c r="CF92" s="412"/>
      <c r="CG92" s="412"/>
      <c r="CH92" s="412"/>
      <c r="CI92" s="412"/>
      <c r="CJ92" s="412"/>
      <c r="CK92" s="412"/>
      <c r="CL92" s="412"/>
      <c r="CM92" s="412"/>
      <c r="CN92" s="412"/>
      <c r="CO92" s="353"/>
      <c r="CP92" s="353"/>
      <c r="CQ92" s="353"/>
      <c r="CR92" s="353"/>
      <c r="CS92" s="353"/>
      <c r="CT92" s="353"/>
      <c r="CU92" s="347"/>
      <c r="CV92" s="1363"/>
      <c r="CW92" s="347"/>
      <c r="CX92" s="347"/>
      <c r="CY92" s="347"/>
      <c r="CZ92" s="356"/>
      <c r="DA92" s="356"/>
      <c r="DB92" s="356"/>
      <c r="DC92" s="356"/>
    </row>
    <row r="93" spans="1:107">
      <c r="B93" s="383" t="s">
        <v>265</v>
      </c>
      <c r="C93" s="556">
        <f>C$4</f>
        <v>2007</v>
      </c>
      <c r="D93" s="556" t="str">
        <f t="shared" ref="D93:BO93" si="367">D$4</f>
        <v>Q1</v>
      </c>
      <c r="E93" s="556" t="str">
        <f t="shared" si="367"/>
        <v>Q2</v>
      </c>
      <c r="F93" s="556" t="str">
        <f t="shared" si="367"/>
        <v>Q3</v>
      </c>
      <c r="G93" s="556" t="str">
        <f t="shared" si="367"/>
        <v>Q4</v>
      </c>
      <c r="H93" s="556">
        <f t="shared" si="367"/>
        <v>2008</v>
      </c>
      <c r="I93" s="556" t="str">
        <f t="shared" si="367"/>
        <v>Q1</v>
      </c>
      <c r="J93" s="556" t="str">
        <f t="shared" si="367"/>
        <v>Q2</v>
      </c>
      <c r="K93" s="556" t="str">
        <f t="shared" si="367"/>
        <v>Q3</v>
      </c>
      <c r="L93" s="556" t="str">
        <f t="shared" si="367"/>
        <v>Q4</v>
      </c>
      <c r="M93" s="556">
        <f t="shared" si="367"/>
        <v>2009</v>
      </c>
      <c r="N93" s="556" t="str">
        <f t="shared" si="367"/>
        <v>Q1</v>
      </c>
      <c r="O93" s="556" t="str">
        <f t="shared" si="367"/>
        <v>Q2</v>
      </c>
      <c r="P93" s="556" t="str">
        <f t="shared" si="367"/>
        <v>Q3</v>
      </c>
      <c r="Q93" s="556" t="str">
        <f t="shared" si="367"/>
        <v>Q4</v>
      </c>
      <c r="R93" s="556">
        <f t="shared" si="367"/>
        <v>2010</v>
      </c>
      <c r="S93" s="556" t="str">
        <f t="shared" si="367"/>
        <v>Q1</v>
      </c>
      <c r="T93" s="556" t="str">
        <f t="shared" si="367"/>
        <v>Q2</v>
      </c>
      <c r="U93" s="556" t="str">
        <f t="shared" si="367"/>
        <v>Q3</v>
      </c>
      <c r="V93" s="556" t="str">
        <f t="shared" si="367"/>
        <v>Q4</v>
      </c>
      <c r="W93" s="556">
        <f t="shared" si="367"/>
        <v>2011</v>
      </c>
      <c r="X93" s="556" t="str">
        <f t="shared" si="367"/>
        <v>Q1</v>
      </c>
      <c r="Y93" s="556" t="str">
        <f t="shared" si="367"/>
        <v>Q2</v>
      </c>
      <c r="Z93" s="556" t="str">
        <f t="shared" si="367"/>
        <v>Q3</v>
      </c>
      <c r="AA93" s="556" t="str">
        <f t="shared" si="367"/>
        <v>Q4</v>
      </c>
      <c r="AB93" s="556">
        <f t="shared" si="367"/>
        <v>2012</v>
      </c>
      <c r="AC93" s="556" t="str">
        <f t="shared" si="367"/>
        <v>Q1</v>
      </c>
      <c r="AD93" s="556" t="str">
        <f t="shared" si="367"/>
        <v>Q2</v>
      </c>
      <c r="AE93" s="556" t="str">
        <f t="shared" si="367"/>
        <v>Q3</v>
      </c>
      <c r="AF93" s="556" t="str">
        <f t="shared" si="367"/>
        <v>Q4</v>
      </c>
      <c r="AG93" s="556">
        <f t="shared" si="367"/>
        <v>2013</v>
      </c>
      <c r="AH93" s="556" t="str">
        <f t="shared" si="367"/>
        <v>Q1</v>
      </c>
      <c r="AI93" s="556" t="str">
        <f t="shared" si="367"/>
        <v>Q2</v>
      </c>
      <c r="AJ93" s="556" t="str">
        <f t="shared" si="367"/>
        <v>Q3</v>
      </c>
      <c r="AK93" s="556" t="str">
        <f t="shared" si="367"/>
        <v>Q4</v>
      </c>
      <c r="AL93" s="556">
        <f t="shared" si="367"/>
        <v>2014</v>
      </c>
      <c r="AM93" s="556" t="str">
        <f t="shared" si="367"/>
        <v>Q1</v>
      </c>
      <c r="AN93" s="556" t="str">
        <f t="shared" si="367"/>
        <v>Q2</v>
      </c>
      <c r="AO93" s="556" t="str">
        <f t="shared" si="367"/>
        <v>Q3</v>
      </c>
      <c r="AP93" s="556" t="str">
        <f t="shared" si="367"/>
        <v>Q4</v>
      </c>
      <c r="AQ93" s="556">
        <f t="shared" si="367"/>
        <v>2015</v>
      </c>
      <c r="AR93" s="556" t="str">
        <f t="shared" si="367"/>
        <v>Q1</v>
      </c>
      <c r="AS93" s="556" t="str">
        <f t="shared" si="367"/>
        <v>Q2</v>
      </c>
      <c r="AT93" s="556" t="str">
        <f t="shared" si="367"/>
        <v>Q3</v>
      </c>
      <c r="AU93" s="556" t="str">
        <f t="shared" si="367"/>
        <v>Q4</v>
      </c>
      <c r="AV93" s="556">
        <f t="shared" si="367"/>
        <v>2016</v>
      </c>
      <c r="AW93" s="556" t="str">
        <f t="shared" si="367"/>
        <v>Q1</v>
      </c>
      <c r="AX93" s="556" t="str">
        <f t="shared" si="367"/>
        <v>Q2</v>
      </c>
      <c r="AY93" s="556" t="str">
        <f t="shared" si="367"/>
        <v>Q3</v>
      </c>
      <c r="AZ93" s="556" t="str">
        <f t="shared" si="367"/>
        <v>Q4</v>
      </c>
      <c r="BA93" s="556">
        <f t="shared" si="367"/>
        <v>2017</v>
      </c>
      <c r="BB93" s="556" t="str">
        <f t="shared" si="367"/>
        <v>Q1</v>
      </c>
      <c r="BC93" s="556" t="str">
        <f t="shared" si="367"/>
        <v>Q2</v>
      </c>
      <c r="BD93" s="556" t="str">
        <f t="shared" si="367"/>
        <v>Q3</v>
      </c>
      <c r="BE93" s="556" t="str">
        <f t="shared" si="367"/>
        <v>Q4</v>
      </c>
      <c r="BF93" s="556">
        <f t="shared" si="367"/>
        <v>2018</v>
      </c>
      <c r="BG93" s="556" t="str">
        <f t="shared" si="367"/>
        <v>Q1</v>
      </c>
      <c r="BH93" s="556" t="str">
        <f t="shared" si="367"/>
        <v>Q2</v>
      </c>
      <c r="BI93" s="556" t="str">
        <f t="shared" si="367"/>
        <v>Q3</v>
      </c>
      <c r="BJ93" s="556" t="str">
        <f t="shared" si="367"/>
        <v>Q4</v>
      </c>
      <c r="BK93" s="556">
        <f t="shared" si="367"/>
        <v>2019</v>
      </c>
      <c r="BL93" s="556" t="str">
        <f t="shared" si="367"/>
        <v>Q1</v>
      </c>
      <c r="BM93" s="556" t="str">
        <f t="shared" si="367"/>
        <v>Q2</v>
      </c>
      <c r="BN93" s="556" t="str">
        <f t="shared" si="367"/>
        <v>Q3</v>
      </c>
      <c r="BO93" s="556" t="str">
        <f t="shared" si="367"/>
        <v>Q4</v>
      </c>
      <c r="BP93" s="556">
        <f t="shared" ref="BP93:CT93" si="368">BP$4</f>
        <v>2020</v>
      </c>
      <c r="BQ93" s="556" t="str">
        <f t="shared" si="368"/>
        <v>Q1</v>
      </c>
      <c r="BR93" s="556" t="str">
        <f t="shared" si="368"/>
        <v>Q2</v>
      </c>
      <c r="BS93" s="556" t="str">
        <f t="shared" si="368"/>
        <v>Q3</v>
      </c>
      <c r="BT93" s="556" t="str">
        <f t="shared" si="368"/>
        <v>Q4</v>
      </c>
      <c r="BU93" s="556">
        <f t="shared" si="368"/>
        <v>2021</v>
      </c>
      <c r="BV93" s="556" t="str">
        <f t="shared" si="368"/>
        <v>Q1</v>
      </c>
      <c r="BW93" s="556" t="str">
        <f t="shared" si="368"/>
        <v>Q2</v>
      </c>
      <c r="BX93" s="556" t="str">
        <f t="shared" si="368"/>
        <v>Q3</v>
      </c>
      <c r="BY93" s="556" t="str">
        <f t="shared" si="368"/>
        <v>Q4</v>
      </c>
      <c r="BZ93" s="556">
        <f t="shared" si="368"/>
        <v>2022</v>
      </c>
      <c r="CA93" s="556" t="str">
        <f t="shared" si="368"/>
        <v>Q1</v>
      </c>
      <c r="CB93" s="556" t="str">
        <f t="shared" si="368"/>
        <v>Q2</v>
      </c>
      <c r="CC93" s="556" t="str">
        <f t="shared" si="368"/>
        <v>Q3</v>
      </c>
      <c r="CD93" s="556" t="str">
        <f t="shared" si="368"/>
        <v>Q4</v>
      </c>
      <c r="CE93" s="556">
        <f t="shared" si="368"/>
        <v>2023</v>
      </c>
      <c r="CF93" s="556" t="str">
        <f t="shared" si="368"/>
        <v>Q1</v>
      </c>
      <c r="CG93" s="556" t="str">
        <f t="shared" si="368"/>
        <v>Q2</v>
      </c>
      <c r="CH93" s="556" t="str">
        <f t="shared" si="368"/>
        <v>Q3</v>
      </c>
      <c r="CI93" s="556" t="str">
        <f t="shared" si="368"/>
        <v>Q4</v>
      </c>
      <c r="CJ93" s="556">
        <f t="shared" si="368"/>
        <v>2024</v>
      </c>
      <c r="CK93" s="556" t="str">
        <f t="shared" si="368"/>
        <v>Q1</v>
      </c>
      <c r="CL93" s="556" t="str">
        <f t="shared" si="368"/>
        <v>Q2</v>
      </c>
      <c r="CM93" s="556" t="str">
        <f t="shared" si="368"/>
        <v>Q3</v>
      </c>
      <c r="CN93" s="556"/>
      <c r="CO93" s="556">
        <f t="shared" si="368"/>
        <v>2025</v>
      </c>
      <c r="CP93" s="556">
        <f t="shared" si="368"/>
        <v>2026</v>
      </c>
      <c r="CQ93" s="556">
        <f t="shared" si="368"/>
        <v>2027</v>
      </c>
      <c r="CR93" s="556">
        <f t="shared" si="368"/>
        <v>2028</v>
      </c>
      <c r="CS93" s="556">
        <f t="shared" si="368"/>
        <v>2029</v>
      </c>
      <c r="CT93" s="556">
        <f t="shared" si="368"/>
        <v>2030</v>
      </c>
      <c r="CU93" s="347"/>
      <c r="CV93" s="1363"/>
      <c r="CW93" s="347"/>
      <c r="CX93" s="347"/>
      <c r="CY93" s="347"/>
      <c r="CZ93" s="347"/>
      <c r="DA93" s="347"/>
    </row>
    <row r="94" spans="1:107" s="540" customFormat="1">
      <c r="A94" s="880"/>
      <c r="B94" s="407" t="s">
        <v>20</v>
      </c>
      <c r="C94" s="549">
        <v>9528</v>
      </c>
      <c r="D94" s="545">
        <f>C96</f>
        <v>15469</v>
      </c>
      <c r="E94" s="545">
        <f>D96</f>
        <v>18398</v>
      </c>
      <c r="F94" s="545">
        <f>E96</f>
        <v>22899</v>
      </c>
      <c r="G94" s="545">
        <f>F96</f>
        <v>25087</v>
      </c>
      <c r="H94" s="545">
        <f>C96</f>
        <v>15469</v>
      </c>
      <c r="I94" s="545">
        <f>H96</f>
        <v>26016</v>
      </c>
      <c r="J94" s="545">
        <f>I96</f>
        <v>24892</v>
      </c>
      <c r="K94" s="545">
        <f>J96</f>
        <v>24672</v>
      </c>
      <c r="L94" s="545">
        <f>K96</f>
        <v>26600</v>
      </c>
      <c r="M94" s="545">
        <f>H96</f>
        <v>26016</v>
      </c>
      <c r="N94" s="545">
        <f>M96</f>
        <v>31100</v>
      </c>
      <c r="O94" s="545">
        <f>N96</f>
        <v>32600</v>
      </c>
      <c r="P94" s="545">
        <f>O96</f>
        <v>35232</v>
      </c>
      <c r="Q94" s="545">
        <f>P96</f>
        <v>38500</v>
      </c>
      <c r="R94" s="545">
        <f>M96</f>
        <v>31100</v>
      </c>
      <c r="S94" s="545">
        <f>R96</f>
        <v>40400</v>
      </c>
      <c r="T94" s="545">
        <f>S96</f>
        <v>39300</v>
      </c>
      <c r="U94" s="545">
        <f>T96</f>
        <v>38900</v>
      </c>
      <c r="V94" s="545">
        <f>U96</f>
        <v>43400</v>
      </c>
      <c r="W94" s="545">
        <f>R96</f>
        <v>40400</v>
      </c>
      <c r="X94" s="545">
        <f>W96</f>
        <v>46400</v>
      </c>
      <c r="Y94" s="545">
        <f>X96</f>
        <v>46400</v>
      </c>
      <c r="Z94" s="545">
        <f>Y96</f>
        <v>45900</v>
      </c>
      <c r="AA94" s="545">
        <f>Z96</f>
        <v>42300</v>
      </c>
      <c r="AB94" s="545">
        <f>W96</f>
        <v>46400</v>
      </c>
      <c r="AC94" s="545">
        <f>AB96</f>
        <v>45800</v>
      </c>
      <c r="AD94" s="545">
        <f>AC96</f>
        <v>49100</v>
      </c>
      <c r="AE94" s="545">
        <f>AD96</f>
        <v>54200</v>
      </c>
      <c r="AF94" s="545">
        <f>AE96</f>
        <v>58100</v>
      </c>
      <c r="AG94" s="545">
        <f>AB96</f>
        <v>45800</v>
      </c>
      <c r="AH94" s="545">
        <f>AG96</f>
        <v>60500</v>
      </c>
      <c r="AI94" s="545">
        <f>AH96</f>
        <v>68500</v>
      </c>
      <c r="AJ94" s="545">
        <f>AI96</f>
        <v>62868</v>
      </c>
      <c r="AK94" s="545">
        <f>AJ96</f>
        <v>58256</v>
      </c>
      <c r="AL94" s="545">
        <f>AG96</f>
        <v>60500</v>
      </c>
      <c r="AM94" s="545">
        <f>AL96</f>
        <v>59600</v>
      </c>
      <c r="AN94" s="545">
        <f>AM96</f>
        <v>52100</v>
      </c>
      <c r="AO94" s="545">
        <f>AN96</f>
        <v>46000</v>
      </c>
      <c r="AP94" s="545">
        <f>AO96</f>
        <v>41500</v>
      </c>
      <c r="AQ94" s="545">
        <f t="shared" ref="AQ94:AV94" si="369">AL96</f>
        <v>59600</v>
      </c>
      <c r="AR94" s="545">
        <f>AQ96</f>
        <v>42000</v>
      </c>
      <c r="AS94" s="545">
        <f>AR96</f>
        <v>42500</v>
      </c>
      <c r="AT94" s="545">
        <f>AS96</f>
        <v>44000</v>
      </c>
      <c r="AU94" s="548">
        <f t="shared" si="369"/>
        <v>42000</v>
      </c>
      <c r="AV94" s="545">
        <f t="shared" si="369"/>
        <v>42000</v>
      </c>
      <c r="AW94" s="545">
        <f>AV96</f>
        <v>46500</v>
      </c>
      <c r="AX94" s="545">
        <f>AW96</f>
        <v>48000</v>
      </c>
      <c r="AY94" s="545">
        <f>AX96</f>
        <v>50500</v>
      </c>
      <c r="AZ94" s="545">
        <f>AY96</f>
        <v>52500</v>
      </c>
      <c r="BA94" s="545">
        <f>AV96</f>
        <v>46500</v>
      </c>
      <c r="BB94" s="545">
        <f>BA96</f>
        <v>53500</v>
      </c>
      <c r="BC94" s="545">
        <f>BB96</f>
        <v>54500</v>
      </c>
      <c r="BD94" s="545">
        <f>BC96</f>
        <v>52900</v>
      </c>
      <c r="BE94" s="545">
        <f>BD96</f>
        <v>53900</v>
      </c>
      <c r="BF94" s="545">
        <f>BA96</f>
        <v>53500</v>
      </c>
      <c r="BG94" s="545">
        <f>BF96</f>
        <v>54900</v>
      </c>
      <c r="BH94" s="545">
        <f>BG96</f>
        <v>55100</v>
      </c>
      <c r="BI94" s="545">
        <f>BH96</f>
        <v>56600</v>
      </c>
      <c r="BJ94" s="545">
        <f>BI96</f>
        <v>55500</v>
      </c>
      <c r="BK94" s="545">
        <f>BF96</f>
        <v>54900</v>
      </c>
      <c r="BL94" s="545">
        <f>BK96</f>
        <v>56700</v>
      </c>
      <c r="BM94" s="545">
        <f>BL96</f>
        <v>55490</v>
      </c>
      <c r="BN94" s="545">
        <f>BM96</f>
        <v>55670</v>
      </c>
      <c r="BO94" s="545">
        <f>BN96</f>
        <v>56880</v>
      </c>
      <c r="BP94" s="545">
        <f>BK96</f>
        <v>56700</v>
      </c>
      <c r="BQ94" s="545">
        <f>BP96</f>
        <v>57890</v>
      </c>
      <c r="BR94" s="545">
        <f>BQ96</f>
        <v>56010</v>
      </c>
      <c r="BS94" s="545">
        <f>BR96</f>
        <v>56770</v>
      </c>
      <c r="BT94" s="545">
        <f>BS96</f>
        <v>57980</v>
      </c>
      <c r="BU94" s="545">
        <f>BP96</f>
        <v>57890</v>
      </c>
      <c r="BV94" s="545">
        <f>BU96</f>
        <v>57910</v>
      </c>
      <c r="BW94" s="545">
        <f t="shared" ref="BW94:BY94" si="370">BV96</f>
        <v>57000</v>
      </c>
      <c r="BX94" s="545">
        <f t="shared" si="370"/>
        <v>57230</v>
      </c>
      <c r="BY94" s="545">
        <f t="shared" si="370"/>
        <v>57400</v>
      </c>
      <c r="BZ94" s="545">
        <f>BU96</f>
        <v>57910</v>
      </c>
      <c r="CA94" s="545">
        <f>BZ96</f>
        <v>57500</v>
      </c>
      <c r="CB94" s="545">
        <f>CA96</f>
        <v>57900</v>
      </c>
      <c r="CC94" s="545">
        <f>CB96</f>
        <v>58000</v>
      </c>
      <c r="CD94" s="545">
        <f>CC96</f>
        <v>57500</v>
      </c>
      <c r="CE94" s="545">
        <f>BZ96</f>
        <v>57500</v>
      </c>
      <c r="CF94" s="545">
        <f>CE96</f>
        <v>57500</v>
      </c>
      <c r="CG94" s="545">
        <f>CF96</f>
        <v>57600</v>
      </c>
      <c r="CH94" s="545">
        <f>CG96</f>
        <v>58500</v>
      </c>
      <c r="CI94" s="545">
        <f>CH96</f>
        <v>58600</v>
      </c>
      <c r="CJ94" s="545">
        <f>CE96</f>
        <v>57500</v>
      </c>
      <c r="CK94" s="545">
        <f>CJ96</f>
        <v>58800</v>
      </c>
      <c r="CL94" s="545">
        <f>CK96</f>
        <v>58900</v>
      </c>
      <c r="CM94" s="545">
        <f>CL96</f>
        <v>82600</v>
      </c>
      <c r="CN94" s="545"/>
      <c r="CO94" s="545">
        <f>CJ96</f>
        <v>58800</v>
      </c>
      <c r="CP94" s="545">
        <f t="shared" ref="CP94:CR94" si="371">CO96</f>
        <v>82771.271720245146</v>
      </c>
      <c r="CQ94" s="545">
        <f t="shared" si="371"/>
        <v>83969.257163598711</v>
      </c>
      <c r="CR94" s="545">
        <f t="shared" si="371"/>
        <v>85182.942914061918</v>
      </c>
      <c r="CS94" s="545">
        <f t="shared" ref="CS94" si="372">CR96</f>
        <v>86412.523357124315</v>
      </c>
      <c r="CT94" s="545">
        <f t="shared" ref="CT94" si="373">CS96</f>
        <v>87658.195197739857</v>
      </c>
      <c r="CV94" s="1368"/>
    </row>
    <row r="95" spans="1:107" s="540" customFormat="1">
      <c r="A95" s="880"/>
      <c r="B95" s="407" t="s">
        <v>21</v>
      </c>
      <c r="C95" s="545">
        <f t="shared" ref="C95:AS95" si="374">C96-C94</f>
        <v>5941</v>
      </c>
      <c r="D95" s="545">
        <f t="shared" si="374"/>
        <v>2929</v>
      </c>
      <c r="E95" s="545">
        <f t="shared" si="374"/>
        <v>4501</v>
      </c>
      <c r="F95" s="545">
        <f t="shared" si="374"/>
        <v>2188</v>
      </c>
      <c r="G95" s="545">
        <f t="shared" si="374"/>
        <v>929</v>
      </c>
      <c r="H95" s="545">
        <f t="shared" si="374"/>
        <v>10547</v>
      </c>
      <c r="I95" s="545">
        <f t="shared" si="374"/>
        <v>-1124</v>
      </c>
      <c r="J95" s="545">
        <f t="shared" si="374"/>
        <v>-220</v>
      </c>
      <c r="K95" s="545">
        <f t="shared" si="374"/>
        <v>1928</v>
      </c>
      <c r="L95" s="545">
        <f t="shared" si="374"/>
        <v>4500</v>
      </c>
      <c r="M95" s="545">
        <f t="shared" si="374"/>
        <v>5084</v>
      </c>
      <c r="N95" s="545">
        <f t="shared" si="374"/>
        <v>1500</v>
      </c>
      <c r="O95" s="545">
        <f t="shared" si="374"/>
        <v>2632</v>
      </c>
      <c r="P95" s="545">
        <f t="shared" si="374"/>
        <v>3268</v>
      </c>
      <c r="Q95" s="545">
        <f t="shared" si="374"/>
        <v>1900</v>
      </c>
      <c r="R95" s="545">
        <f t="shared" si="374"/>
        <v>9300</v>
      </c>
      <c r="S95" s="545">
        <f t="shared" si="374"/>
        <v>-1100</v>
      </c>
      <c r="T95" s="545">
        <f t="shared" si="374"/>
        <v>-400</v>
      </c>
      <c r="U95" s="545">
        <f t="shared" si="374"/>
        <v>4500</v>
      </c>
      <c r="V95" s="545">
        <f t="shared" si="374"/>
        <v>3000</v>
      </c>
      <c r="W95" s="545">
        <f t="shared" si="374"/>
        <v>6000</v>
      </c>
      <c r="X95" s="545">
        <f t="shared" si="374"/>
        <v>0</v>
      </c>
      <c r="Y95" s="545">
        <f t="shared" si="374"/>
        <v>-500</v>
      </c>
      <c r="Z95" s="545">
        <f t="shared" si="374"/>
        <v>-3600</v>
      </c>
      <c r="AA95" s="545">
        <f t="shared" si="374"/>
        <v>3500</v>
      </c>
      <c r="AB95" s="545">
        <f t="shared" si="374"/>
        <v>-600</v>
      </c>
      <c r="AC95" s="545">
        <f t="shared" si="374"/>
        <v>3300</v>
      </c>
      <c r="AD95" s="545">
        <f t="shared" si="374"/>
        <v>5100</v>
      </c>
      <c r="AE95" s="545">
        <f t="shared" si="374"/>
        <v>3900</v>
      </c>
      <c r="AF95" s="545">
        <f t="shared" si="374"/>
        <v>2400</v>
      </c>
      <c r="AG95" s="545">
        <f t="shared" si="374"/>
        <v>14700</v>
      </c>
      <c r="AH95" s="545">
        <f t="shared" si="374"/>
        <v>8000</v>
      </c>
      <c r="AI95" s="545">
        <f t="shared" si="374"/>
        <v>-5632</v>
      </c>
      <c r="AJ95" s="545">
        <f t="shared" si="374"/>
        <v>-4612</v>
      </c>
      <c r="AK95" s="545">
        <f t="shared" si="374"/>
        <v>1344</v>
      </c>
      <c r="AL95" s="545">
        <f t="shared" si="374"/>
        <v>-900</v>
      </c>
      <c r="AM95" s="545">
        <f t="shared" si="374"/>
        <v>-7500</v>
      </c>
      <c r="AN95" s="545">
        <f t="shared" si="374"/>
        <v>-6100</v>
      </c>
      <c r="AO95" s="545">
        <f t="shared" si="374"/>
        <v>-4500</v>
      </c>
      <c r="AP95" s="545">
        <f t="shared" si="374"/>
        <v>500</v>
      </c>
      <c r="AQ95" s="545">
        <f t="shared" si="374"/>
        <v>-17600</v>
      </c>
      <c r="AR95" s="545">
        <f t="shared" si="374"/>
        <v>500</v>
      </c>
      <c r="AS95" s="545">
        <f t="shared" si="374"/>
        <v>1500</v>
      </c>
      <c r="AT95" s="545">
        <f t="shared" ref="AT95:BQ95" si="375">AT96-AT94</f>
        <v>1000</v>
      </c>
      <c r="AU95" s="545">
        <f t="shared" si="375"/>
        <v>4500</v>
      </c>
      <c r="AV95" s="545">
        <f t="shared" si="375"/>
        <v>4500</v>
      </c>
      <c r="AW95" s="545">
        <f t="shared" si="375"/>
        <v>1500</v>
      </c>
      <c r="AX95" s="545">
        <f t="shared" si="375"/>
        <v>2500</v>
      </c>
      <c r="AY95" s="545">
        <f t="shared" si="375"/>
        <v>2000</v>
      </c>
      <c r="AZ95" s="545">
        <f t="shared" si="375"/>
        <v>1000</v>
      </c>
      <c r="BA95" s="545">
        <f t="shared" si="375"/>
        <v>7000</v>
      </c>
      <c r="BB95" s="545">
        <f t="shared" si="375"/>
        <v>1000</v>
      </c>
      <c r="BC95" s="545">
        <f t="shared" ref="BC95:BD95" si="376">BC96-BC94</f>
        <v>-1600</v>
      </c>
      <c r="BD95" s="545">
        <f t="shared" si="376"/>
        <v>1000</v>
      </c>
      <c r="BE95" s="545">
        <f t="shared" si="375"/>
        <v>1000</v>
      </c>
      <c r="BF95" s="545">
        <f t="shared" si="375"/>
        <v>1400</v>
      </c>
      <c r="BG95" s="545">
        <f t="shared" si="375"/>
        <v>200</v>
      </c>
      <c r="BH95" s="545">
        <f t="shared" ref="BH95:BI95" si="377">BH96-BH94</f>
        <v>1500</v>
      </c>
      <c r="BI95" s="545">
        <f t="shared" si="377"/>
        <v>-1100</v>
      </c>
      <c r="BJ95" s="545">
        <f t="shared" si="375"/>
        <v>1200</v>
      </c>
      <c r="BK95" s="545">
        <f t="shared" ref="BK95:BL95" si="378">BK96-BK94</f>
        <v>1800</v>
      </c>
      <c r="BL95" s="545">
        <f t="shared" si="378"/>
        <v>-1210</v>
      </c>
      <c r="BM95" s="545">
        <f t="shared" ref="BM95" si="379">BM96-BM94</f>
        <v>180</v>
      </c>
      <c r="BN95" s="545">
        <f t="shared" ref="BN95:BP95" si="380">BN96-BN94</f>
        <v>1210</v>
      </c>
      <c r="BO95" s="545">
        <f t="shared" si="380"/>
        <v>1010</v>
      </c>
      <c r="BP95" s="545">
        <f t="shared" si="380"/>
        <v>1190</v>
      </c>
      <c r="BQ95" s="545">
        <f t="shared" si="375"/>
        <v>-1880</v>
      </c>
      <c r="BR95" s="545">
        <f t="shared" ref="BR95:BS95" si="381">BR96-BR94</f>
        <v>760</v>
      </c>
      <c r="BS95" s="545">
        <f t="shared" si="381"/>
        <v>1210</v>
      </c>
      <c r="BT95" s="545">
        <f t="shared" ref="BT95:BU95" si="382">BT96-BT94</f>
        <v>-70</v>
      </c>
      <c r="BU95" s="545">
        <f t="shared" si="382"/>
        <v>20</v>
      </c>
      <c r="BV95" s="545">
        <f t="shared" ref="BV95:BW95" si="383">BV96-BV94</f>
        <v>-910</v>
      </c>
      <c r="BW95" s="545">
        <f t="shared" si="383"/>
        <v>230</v>
      </c>
      <c r="BX95" s="545">
        <f t="shared" ref="BX95" si="384">BX96-BX94</f>
        <v>170</v>
      </c>
      <c r="BY95" s="545">
        <f t="shared" ref="BY95:CA95" si="385">BY96-BY94</f>
        <v>100</v>
      </c>
      <c r="BZ95" s="545">
        <f t="shared" si="385"/>
        <v>-410</v>
      </c>
      <c r="CA95" s="545">
        <f t="shared" si="385"/>
        <v>400</v>
      </c>
      <c r="CB95" s="545">
        <f t="shared" ref="CB95:CC95" si="386">CB96-CB94</f>
        <v>100</v>
      </c>
      <c r="CC95" s="545">
        <f t="shared" si="386"/>
        <v>-500</v>
      </c>
      <c r="CD95" s="545">
        <f t="shared" ref="CD95:CE95" si="387">CD96-CD94</f>
        <v>0</v>
      </c>
      <c r="CE95" s="545">
        <f t="shared" si="387"/>
        <v>0</v>
      </c>
      <c r="CF95" s="545">
        <f t="shared" ref="CF95:CG95" si="388">CF96-CF94</f>
        <v>100</v>
      </c>
      <c r="CG95" s="545">
        <f t="shared" si="388"/>
        <v>900</v>
      </c>
      <c r="CH95" s="545">
        <f t="shared" ref="CH95:CK95" si="389">CH96-CH94</f>
        <v>100</v>
      </c>
      <c r="CI95" s="545">
        <f t="shared" si="389"/>
        <v>200</v>
      </c>
      <c r="CJ95" s="545">
        <f t="shared" si="389"/>
        <v>1300</v>
      </c>
      <c r="CK95" s="545">
        <f t="shared" si="389"/>
        <v>100</v>
      </c>
      <c r="CL95" s="545">
        <f t="shared" ref="CL95" si="390">CL96-CL94</f>
        <v>23700</v>
      </c>
      <c r="CM95" s="545">
        <f t="shared" ref="CM95" si="391">CM96-CM94</f>
        <v>-3000</v>
      </c>
      <c r="CN95" s="545"/>
      <c r="CO95" s="545">
        <f t="shared" ref="CO95:CR95" si="392">CO96-CO94</f>
        <v>23971.271720245146</v>
      </c>
      <c r="CP95" s="545">
        <f t="shared" si="392"/>
        <v>1197.9854433535656</v>
      </c>
      <c r="CQ95" s="545">
        <f t="shared" si="392"/>
        <v>1213.6857504632062</v>
      </c>
      <c r="CR95" s="545">
        <f t="shared" si="392"/>
        <v>1229.5804430623975</v>
      </c>
      <c r="CS95" s="545">
        <f t="shared" ref="CS95:CT95" si="393">CS96-CS94</f>
        <v>1245.6718406155414</v>
      </c>
      <c r="CT95" s="545">
        <f t="shared" si="393"/>
        <v>1261.9622895556531</v>
      </c>
      <c r="CV95" s="1368"/>
    </row>
    <row r="96" spans="1:107" s="540" customFormat="1">
      <c r="A96" s="880"/>
      <c r="B96" s="462" t="s">
        <v>22</v>
      </c>
      <c r="C96" s="568">
        <v>15469</v>
      </c>
      <c r="D96" s="568">
        <v>18398</v>
      </c>
      <c r="E96" s="568">
        <v>22899</v>
      </c>
      <c r="F96" s="568">
        <v>25087</v>
      </c>
      <c r="G96" s="568">
        <v>26016</v>
      </c>
      <c r="H96" s="568">
        <v>26016</v>
      </c>
      <c r="I96" s="568">
        <v>24892</v>
      </c>
      <c r="J96" s="568">
        <v>24672</v>
      </c>
      <c r="K96" s="568">
        <v>26600</v>
      </c>
      <c r="L96" s="568">
        <v>31100</v>
      </c>
      <c r="M96" s="568">
        <v>31100</v>
      </c>
      <c r="N96" s="568">
        <v>32600</v>
      </c>
      <c r="O96" s="568">
        <v>35232</v>
      </c>
      <c r="P96" s="568">
        <v>38500</v>
      </c>
      <c r="Q96" s="568">
        <v>40400</v>
      </c>
      <c r="R96" s="568">
        <v>40400</v>
      </c>
      <c r="S96" s="568">
        <v>39300</v>
      </c>
      <c r="T96" s="568">
        <v>38900</v>
      </c>
      <c r="U96" s="568">
        <v>43400</v>
      </c>
      <c r="V96" s="568">
        <v>46400</v>
      </c>
      <c r="W96" s="568">
        <v>46400</v>
      </c>
      <c r="X96" s="568">
        <v>46400</v>
      </c>
      <c r="Y96" s="568">
        <v>45900</v>
      </c>
      <c r="Z96" s="568">
        <v>42300</v>
      </c>
      <c r="AA96" s="568">
        <v>45800</v>
      </c>
      <c r="AB96" s="568">
        <v>45800</v>
      </c>
      <c r="AC96" s="568">
        <v>49100</v>
      </c>
      <c r="AD96" s="568">
        <v>54200</v>
      </c>
      <c r="AE96" s="568">
        <v>58100</v>
      </c>
      <c r="AF96" s="568">
        <v>60500</v>
      </c>
      <c r="AG96" s="568">
        <v>60500</v>
      </c>
      <c r="AH96" s="568">
        <v>68500</v>
      </c>
      <c r="AI96" s="568">
        <v>62868</v>
      </c>
      <c r="AJ96" s="568">
        <v>58256</v>
      </c>
      <c r="AK96" s="568">
        <v>59600</v>
      </c>
      <c r="AL96" s="568">
        <v>59600</v>
      </c>
      <c r="AM96" s="568">
        <v>52100</v>
      </c>
      <c r="AN96" s="568">
        <v>46000</v>
      </c>
      <c r="AO96" s="568">
        <v>41500</v>
      </c>
      <c r="AP96" s="568">
        <v>42000</v>
      </c>
      <c r="AQ96" s="568">
        <v>42000</v>
      </c>
      <c r="AR96" s="568">
        <v>42500</v>
      </c>
      <c r="AS96" s="568">
        <v>44000</v>
      </c>
      <c r="AT96" s="568">
        <v>45000</v>
      </c>
      <c r="AU96" s="568">
        <v>46500</v>
      </c>
      <c r="AV96" s="568">
        <v>46500</v>
      </c>
      <c r="AW96" s="563">
        <f>'[16]Domestic Mobile Operations'!T$18</f>
        <v>48000</v>
      </c>
      <c r="AX96" s="563">
        <f>'[16]Domestic Mobile Operations'!U$18</f>
        <v>50500</v>
      </c>
      <c r="AY96" s="563">
        <f>'[16]Domestic Mobile Operations'!V$18</f>
        <v>52500</v>
      </c>
      <c r="AZ96" s="563">
        <f>'[16]Domestic Mobile Operations'!W$18</f>
        <v>53500</v>
      </c>
      <c r="BA96" s="564">
        <f>AZ96</f>
        <v>53500</v>
      </c>
      <c r="BB96" s="563">
        <f>'[16]Domestic Mobile Operations'!X$18</f>
        <v>54500</v>
      </c>
      <c r="BC96" s="563">
        <f>'[16]Domestic Mobile Operations'!Y$18</f>
        <v>52900</v>
      </c>
      <c r="BD96" s="563">
        <f>'[16]Domestic Mobile Operations'!Z$18</f>
        <v>53900</v>
      </c>
      <c r="BE96" s="563">
        <f>'[16]Domestic Mobile Operations'!AA$18</f>
        <v>54900</v>
      </c>
      <c r="BF96" s="879">
        <f>BE96</f>
        <v>54900</v>
      </c>
      <c r="BG96" s="563">
        <f>'[16]Domestic Mobile Operations'!AB$18</f>
        <v>55100</v>
      </c>
      <c r="BH96" s="563">
        <f>'[16]Domestic Mobile Operations'!AC$18</f>
        <v>56600</v>
      </c>
      <c r="BI96" s="563">
        <f>'[16]Domestic Mobile Operations'!AD$18</f>
        <v>55500</v>
      </c>
      <c r="BJ96" s="563">
        <f>'[16]Domestic Mobile Operations'!AE$18</f>
        <v>56700</v>
      </c>
      <c r="BK96" s="879">
        <f>BJ96</f>
        <v>56700</v>
      </c>
      <c r="BL96" s="563">
        <f>'[16]Domestic Mobile Operations'!AF$18</f>
        <v>55490</v>
      </c>
      <c r="BM96" s="563">
        <f>'[16]Domestic Mobile Operations'!AG$18</f>
        <v>55670</v>
      </c>
      <c r="BN96" s="563">
        <f>'[16]Domestic Mobile Operations'!AH$18</f>
        <v>56880</v>
      </c>
      <c r="BO96" s="563">
        <f>'[16]Domestic Mobile Operations'!AI$18</f>
        <v>57890</v>
      </c>
      <c r="BP96" s="879">
        <f>BO96</f>
        <v>57890</v>
      </c>
      <c r="BQ96" s="563">
        <f>'[16]Domestic Mobile Operations'!AJ$18</f>
        <v>56010</v>
      </c>
      <c r="BR96" s="563">
        <f>'[16]Domestic Mobile Operations'!AK$18</f>
        <v>56770</v>
      </c>
      <c r="BS96" s="563">
        <f>'[16]Domestic Mobile Operations'!AL$18</f>
        <v>57980</v>
      </c>
      <c r="BT96" s="563">
        <f>'[16]Domestic Mobile Operations'!AM$18</f>
        <v>57910</v>
      </c>
      <c r="BU96" s="879">
        <f>BT96</f>
        <v>57910</v>
      </c>
      <c r="BV96" s="563">
        <f>'[16]Domestic Mobile Operations'!AN$18</f>
        <v>57000</v>
      </c>
      <c r="BW96" s="563">
        <f>'[16]Domestic Mobile Operations'!AO$18</f>
        <v>57230</v>
      </c>
      <c r="BX96" s="563">
        <f>'[16]Domestic Mobile Operations'!AP$18</f>
        <v>57400</v>
      </c>
      <c r="BY96" s="563">
        <f>'[16]Domestic Mobile Operations'!AQ$18</f>
        <v>57500</v>
      </c>
      <c r="BZ96" s="879">
        <f>BY96</f>
        <v>57500</v>
      </c>
      <c r="CA96" s="563">
        <f>'[16]Domestic Mobile Operations'!AR$18</f>
        <v>57900</v>
      </c>
      <c r="CB96" s="563">
        <f>'[16]Domestic Mobile Operations'!AS$18</f>
        <v>58000</v>
      </c>
      <c r="CC96" s="563">
        <f>'[16]Domestic Mobile Operations'!AT$18</f>
        <v>57500</v>
      </c>
      <c r="CD96" s="563">
        <f>'[16]Domestic Mobile Operations'!AU$18</f>
        <v>57500</v>
      </c>
      <c r="CE96" s="879">
        <f>CD96</f>
        <v>57500</v>
      </c>
      <c r="CF96" s="563">
        <f>'[16]Domestic Mobile Operations'!AV$18</f>
        <v>57600</v>
      </c>
      <c r="CG96" s="563">
        <f>'[16]Domestic Mobile Operations'!AW$18</f>
        <v>58500</v>
      </c>
      <c r="CH96" s="563">
        <f>'[16]Domestic Mobile Operations'!AX$18</f>
        <v>58600</v>
      </c>
      <c r="CI96" s="563">
        <f>'[16]Domestic Mobile Operations'!AY$18</f>
        <v>58800</v>
      </c>
      <c r="CJ96" s="879">
        <f>CI96</f>
        <v>58800</v>
      </c>
      <c r="CK96" s="563">
        <f>'[16]Domestic Mobile Operations'!AZ$18</f>
        <v>58900</v>
      </c>
      <c r="CL96" s="563">
        <f>'[16]Domestic Mobile Operations'!BA$18</f>
        <v>82600</v>
      </c>
      <c r="CM96" s="563">
        <f>'[16]Domestic Mobile Operations'!BB$18</f>
        <v>79600</v>
      </c>
      <c r="CN96" s="563"/>
      <c r="CO96" s="879">
        <f t="shared" ref="CO96:CT96" si="394">CO53</f>
        <v>82771.271720245146</v>
      </c>
      <c r="CP96" s="879">
        <f t="shared" si="394"/>
        <v>83969.257163598711</v>
      </c>
      <c r="CQ96" s="879">
        <f t="shared" si="394"/>
        <v>85182.942914061918</v>
      </c>
      <c r="CR96" s="879">
        <f t="shared" si="394"/>
        <v>86412.523357124315</v>
      </c>
      <c r="CS96" s="879">
        <f t="shared" si="394"/>
        <v>87658.195197739857</v>
      </c>
      <c r="CT96" s="879">
        <f t="shared" si="394"/>
        <v>88920.15748729551</v>
      </c>
      <c r="CV96" s="1368"/>
    </row>
    <row r="97" spans="1:107" s="540" customFormat="1">
      <c r="A97" s="880"/>
      <c r="B97" s="414" t="s">
        <v>23</v>
      </c>
      <c r="C97" s="551">
        <f>(C94+C96)/2</f>
        <v>12498.5</v>
      </c>
      <c r="D97" s="551">
        <f t="shared" ref="D97:AU97" si="395">(D94+D96)/2</f>
        <v>16933.5</v>
      </c>
      <c r="E97" s="551">
        <f t="shared" si="395"/>
        <v>20648.5</v>
      </c>
      <c r="F97" s="551">
        <f t="shared" si="395"/>
        <v>23993</v>
      </c>
      <c r="G97" s="551">
        <f t="shared" si="395"/>
        <v>25551.5</v>
      </c>
      <c r="H97" s="551">
        <f t="shared" si="395"/>
        <v>20742.5</v>
      </c>
      <c r="I97" s="551">
        <f t="shared" si="395"/>
        <v>25454</v>
      </c>
      <c r="J97" s="551">
        <f t="shared" si="395"/>
        <v>24782</v>
      </c>
      <c r="K97" s="551">
        <f t="shared" si="395"/>
        <v>25636</v>
      </c>
      <c r="L97" s="551">
        <f t="shared" si="395"/>
        <v>28850</v>
      </c>
      <c r="M97" s="551">
        <f t="shared" si="395"/>
        <v>28558</v>
      </c>
      <c r="N97" s="551">
        <f t="shared" si="395"/>
        <v>31850</v>
      </c>
      <c r="O97" s="551">
        <f t="shared" si="395"/>
        <v>33916</v>
      </c>
      <c r="P97" s="551">
        <f t="shared" si="395"/>
        <v>36866</v>
      </c>
      <c r="Q97" s="551">
        <f t="shared" si="395"/>
        <v>39450</v>
      </c>
      <c r="R97" s="551">
        <f t="shared" si="395"/>
        <v>35750</v>
      </c>
      <c r="S97" s="551">
        <f t="shared" si="395"/>
        <v>39850</v>
      </c>
      <c r="T97" s="551">
        <f t="shared" si="395"/>
        <v>39100</v>
      </c>
      <c r="U97" s="551">
        <f t="shared" si="395"/>
        <v>41150</v>
      </c>
      <c r="V97" s="551">
        <f t="shared" si="395"/>
        <v>44900</v>
      </c>
      <c r="W97" s="551">
        <f t="shared" si="395"/>
        <v>43400</v>
      </c>
      <c r="X97" s="551">
        <f t="shared" si="395"/>
        <v>46400</v>
      </c>
      <c r="Y97" s="551">
        <f t="shared" si="395"/>
        <v>46150</v>
      </c>
      <c r="Z97" s="551">
        <f t="shared" si="395"/>
        <v>44100</v>
      </c>
      <c r="AA97" s="551">
        <f t="shared" si="395"/>
        <v>44050</v>
      </c>
      <c r="AB97" s="551">
        <f t="shared" si="395"/>
        <v>46100</v>
      </c>
      <c r="AC97" s="551">
        <f t="shared" si="395"/>
        <v>47450</v>
      </c>
      <c r="AD97" s="551">
        <f t="shared" si="395"/>
        <v>51650</v>
      </c>
      <c r="AE97" s="551">
        <f t="shared" si="395"/>
        <v>56150</v>
      </c>
      <c r="AF97" s="551">
        <f t="shared" si="395"/>
        <v>59300</v>
      </c>
      <c r="AG97" s="551">
        <f t="shared" si="395"/>
        <v>53150</v>
      </c>
      <c r="AH97" s="551">
        <f t="shared" si="395"/>
        <v>64500</v>
      </c>
      <c r="AI97" s="551">
        <f t="shared" si="395"/>
        <v>65684</v>
      </c>
      <c r="AJ97" s="551">
        <f t="shared" si="395"/>
        <v>60562</v>
      </c>
      <c r="AK97" s="551">
        <f t="shared" si="395"/>
        <v>58928</v>
      </c>
      <c r="AL97" s="551">
        <f t="shared" si="395"/>
        <v>60050</v>
      </c>
      <c r="AM97" s="551">
        <f t="shared" si="395"/>
        <v>55850</v>
      </c>
      <c r="AN97" s="551">
        <f t="shared" si="395"/>
        <v>49050</v>
      </c>
      <c r="AO97" s="551">
        <f t="shared" si="395"/>
        <v>43750</v>
      </c>
      <c r="AP97" s="551">
        <f t="shared" si="395"/>
        <v>41750</v>
      </c>
      <c r="AQ97" s="551">
        <f t="shared" si="395"/>
        <v>50800</v>
      </c>
      <c r="AR97" s="551">
        <f t="shared" si="395"/>
        <v>42250</v>
      </c>
      <c r="AS97" s="551">
        <f t="shared" si="395"/>
        <v>43250</v>
      </c>
      <c r="AT97" s="551">
        <f t="shared" si="395"/>
        <v>44500</v>
      </c>
      <c r="AU97" s="551">
        <f t="shared" si="395"/>
        <v>44250</v>
      </c>
      <c r="AV97" s="551">
        <f>(AQ96+AV96)/2</f>
        <v>44250</v>
      </c>
      <c r="AW97" s="551">
        <f>(AW94+AW96)/2</f>
        <v>47250</v>
      </c>
      <c r="AX97" s="551">
        <f>(AX94+AX96)/2</f>
        <v>49250</v>
      </c>
      <c r="AY97" s="551">
        <f>(AY94+AY96)/2</f>
        <v>51500</v>
      </c>
      <c r="AZ97" s="551">
        <f>(AZ94+AZ96)/2</f>
        <v>53000</v>
      </c>
      <c r="BA97" s="551">
        <f>(AV96+BA96)/2</f>
        <v>50000</v>
      </c>
      <c r="BB97" s="551">
        <f>(BB94+BB96)/2</f>
        <v>54000</v>
      </c>
      <c r="BC97" s="551">
        <f>(BC94+BC96)/2</f>
        <v>53700</v>
      </c>
      <c r="BD97" s="551">
        <f>(BD94+BD96)/2</f>
        <v>53400</v>
      </c>
      <c r="BE97" s="551">
        <f>(BE94+BE96)/2</f>
        <v>54400</v>
      </c>
      <c r="BF97" s="551">
        <f>(BA96+BF96)/2</f>
        <v>54200</v>
      </c>
      <c r="BG97" s="551">
        <f>(BG94+BG96)/2</f>
        <v>55000</v>
      </c>
      <c r="BH97" s="551">
        <f>(BH94+BH96)/2</f>
        <v>55850</v>
      </c>
      <c r="BI97" s="551">
        <f>(BI94+BI96)/2</f>
        <v>56050</v>
      </c>
      <c r="BJ97" s="551">
        <f t="shared" ref="BJ97" si="396">(BJ94+BJ96)/2</f>
        <v>56100</v>
      </c>
      <c r="BK97" s="551">
        <f>(BF96+BK96)/2</f>
        <v>55800</v>
      </c>
      <c r="BL97" s="551">
        <f>(BL94+BL96)/2</f>
        <v>56095</v>
      </c>
      <c r="BM97" s="551">
        <f>(BM94+BM96)/2</f>
        <v>55580</v>
      </c>
      <c r="BN97" s="551">
        <f>(BN94+BN96)/2</f>
        <v>56275</v>
      </c>
      <c r="BO97" s="551">
        <f>(BO94+BO96)/2</f>
        <v>57385</v>
      </c>
      <c r="BP97" s="551">
        <f>(BK96+BP96)/2</f>
        <v>57295</v>
      </c>
      <c r="BQ97" s="551">
        <f>(BQ94+BQ96)/2</f>
        <v>56950</v>
      </c>
      <c r="BR97" s="551">
        <f>(BR94+BR96)/2</f>
        <v>56390</v>
      </c>
      <c r="BS97" s="551">
        <f>(BS94+BS96)/2</f>
        <v>57375</v>
      </c>
      <c r="BT97" s="551">
        <f>(BT94+BT96)/2</f>
        <v>57945</v>
      </c>
      <c r="BU97" s="551">
        <f>(BP96+BU96)/2</f>
        <v>57900</v>
      </c>
      <c r="BV97" s="551">
        <f>(BV94+BV96)/2</f>
        <v>57455</v>
      </c>
      <c r="BW97" s="551">
        <f t="shared" ref="BW97:BX97" si="397">(BW94+BW96)/2</f>
        <v>57115</v>
      </c>
      <c r="BX97" s="551">
        <f t="shared" si="397"/>
        <v>57315</v>
      </c>
      <c r="BY97" s="551">
        <f t="shared" ref="BY97" si="398">(BY94+BY96)/2</f>
        <v>57450</v>
      </c>
      <c r="BZ97" s="551">
        <f>(BU96+BZ96)/2</f>
        <v>57705</v>
      </c>
      <c r="CA97" s="551">
        <f>(CA94+CA96)/2</f>
        <v>57700</v>
      </c>
      <c r="CB97" s="551">
        <f>(CB94+CB96)/2</f>
        <v>57950</v>
      </c>
      <c r="CC97" s="551">
        <f>(CC94+CC96)/2</f>
        <v>57750</v>
      </c>
      <c r="CD97" s="551">
        <f>(CD94+CD96)/2</f>
        <v>57500</v>
      </c>
      <c r="CE97" s="551">
        <f>(BZ96+CE96)/2</f>
        <v>57500</v>
      </c>
      <c r="CF97" s="551">
        <f>(CF94+CF96)/2</f>
        <v>57550</v>
      </c>
      <c r="CG97" s="551">
        <f>(CG94+CG96)/2</f>
        <v>58050</v>
      </c>
      <c r="CH97" s="551">
        <f>(CH94+CH96)/2</f>
        <v>58550</v>
      </c>
      <c r="CI97" s="551">
        <f>(CI94+CI96)/2</f>
        <v>58700</v>
      </c>
      <c r="CJ97" s="551">
        <f>(CE96+CJ96)/2</f>
        <v>58150</v>
      </c>
      <c r="CK97" s="551">
        <f>(CK94+CK96)/2</f>
        <v>58850</v>
      </c>
      <c r="CL97" s="551">
        <f>(CL94+CL96)/2</f>
        <v>70750</v>
      </c>
      <c r="CM97" s="551">
        <f>(CM94+CM96)/2</f>
        <v>81100</v>
      </c>
      <c r="CN97" s="551"/>
      <c r="CO97" s="1338">
        <f>AVERAGE(CO96,CL96)</f>
        <v>82685.635860122566</v>
      </c>
      <c r="CP97" s="551">
        <f t="shared" ref="CP97:CR97" si="399">(CO96+CP96)/2</f>
        <v>83370.264441921929</v>
      </c>
      <c r="CQ97" s="551">
        <f t="shared" si="399"/>
        <v>84576.100038830307</v>
      </c>
      <c r="CR97" s="551">
        <f t="shared" si="399"/>
        <v>85797.733135593124</v>
      </c>
      <c r="CS97" s="551">
        <f t="shared" ref="CS97" si="400">(CR96+CS96)/2</f>
        <v>87035.359277432086</v>
      </c>
      <c r="CT97" s="551">
        <f t="shared" ref="CT97" si="401">(CS96+CT96)/2</f>
        <v>88289.176342517691</v>
      </c>
      <c r="CV97" s="1368"/>
    </row>
    <row r="98" spans="1:107">
      <c r="B98" s="347"/>
      <c r="C98" s="347"/>
      <c r="D98" s="347"/>
      <c r="E98" s="347"/>
      <c r="F98" s="347"/>
      <c r="G98" s="347"/>
      <c r="H98" s="417">
        <f>H96/C96-1</f>
        <v>0.68181524339000577</v>
      </c>
      <c r="I98" s="417">
        <f t="shared" ref="I98:AX98" si="402">I96/D96-1</f>
        <v>0.35297314925535384</v>
      </c>
      <c r="J98" s="417">
        <f t="shared" si="402"/>
        <v>7.7426961876064349E-2</v>
      </c>
      <c r="K98" s="417">
        <f t="shared" si="402"/>
        <v>6.0310120779686782E-2</v>
      </c>
      <c r="L98" s="417">
        <f t="shared" si="402"/>
        <v>0.19541820418204181</v>
      </c>
      <c r="M98" s="417">
        <f t="shared" si="402"/>
        <v>0.19541820418204181</v>
      </c>
      <c r="N98" s="417">
        <f t="shared" si="402"/>
        <v>0.30965772135625902</v>
      </c>
      <c r="O98" s="417">
        <f t="shared" si="402"/>
        <v>0.42801556420233466</v>
      </c>
      <c r="P98" s="417">
        <f t="shared" si="402"/>
        <v>0.44736842105263164</v>
      </c>
      <c r="Q98" s="417">
        <f t="shared" si="402"/>
        <v>0.29903536977491951</v>
      </c>
      <c r="R98" s="417">
        <f t="shared" si="402"/>
        <v>0.29903536977491951</v>
      </c>
      <c r="S98" s="417">
        <f t="shared" si="402"/>
        <v>0.20552147239263796</v>
      </c>
      <c r="T98" s="417">
        <f t="shared" si="402"/>
        <v>0.10410990009082655</v>
      </c>
      <c r="U98" s="417">
        <f t="shared" si="402"/>
        <v>0.1272727272727272</v>
      </c>
      <c r="V98" s="417">
        <f t="shared" si="402"/>
        <v>0.14851485148514842</v>
      </c>
      <c r="W98" s="417">
        <f t="shared" si="402"/>
        <v>0.14851485148514842</v>
      </c>
      <c r="X98" s="417">
        <f t="shared" si="402"/>
        <v>0.18066157760814239</v>
      </c>
      <c r="Y98" s="417">
        <f t="shared" si="402"/>
        <v>0.17994858611825193</v>
      </c>
      <c r="Z98" s="417">
        <f t="shared" si="402"/>
        <v>-2.5345622119815614E-2</v>
      </c>
      <c r="AA98" s="417">
        <f t="shared" si="402"/>
        <v>-1.2931034482758674E-2</v>
      </c>
      <c r="AB98" s="417">
        <f t="shared" si="402"/>
        <v>-1.2931034482758674E-2</v>
      </c>
      <c r="AC98" s="417">
        <f t="shared" si="402"/>
        <v>5.8189655172413701E-2</v>
      </c>
      <c r="AD98" s="417">
        <f t="shared" si="402"/>
        <v>0.18082788671023975</v>
      </c>
      <c r="AE98" s="417">
        <f t="shared" si="402"/>
        <v>0.3735224586288417</v>
      </c>
      <c r="AF98" s="417">
        <f t="shared" si="402"/>
        <v>0.32096069868995625</v>
      </c>
      <c r="AG98" s="417">
        <f t="shared" si="402"/>
        <v>0.32096069868995625</v>
      </c>
      <c r="AH98" s="417">
        <f t="shared" si="402"/>
        <v>0.39511201629327908</v>
      </c>
      <c r="AI98" s="417">
        <f t="shared" si="402"/>
        <v>0.1599261992619927</v>
      </c>
      <c r="AJ98" s="417">
        <f t="shared" si="402"/>
        <v>2.6850258175559194E-3</v>
      </c>
      <c r="AK98" s="417">
        <f t="shared" si="402"/>
        <v>-1.4876033057851235E-2</v>
      </c>
      <c r="AL98" s="417">
        <f t="shared" si="402"/>
        <v>-1.4876033057851235E-2</v>
      </c>
      <c r="AM98" s="417">
        <f t="shared" si="402"/>
        <v>-0.23941605839416058</v>
      </c>
      <c r="AN98" s="417">
        <f t="shared" si="402"/>
        <v>-0.26830820131068267</v>
      </c>
      <c r="AO98" s="417">
        <f t="shared" si="402"/>
        <v>-0.28762702554243336</v>
      </c>
      <c r="AP98" s="417">
        <f t="shared" si="402"/>
        <v>-0.29530201342281881</v>
      </c>
      <c r="AQ98" s="417">
        <f t="shared" si="402"/>
        <v>-0.29530201342281881</v>
      </c>
      <c r="AR98" s="417">
        <f t="shared" si="402"/>
        <v>-0.18426103646833014</v>
      </c>
      <c r="AS98" s="417">
        <f t="shared" si="402"/>
        <v>-4.3478260869565188E-2</v>
      </c>
      <c r="AT98" s="417">
        <f t="shared" si="402"/>
        <v>8.43373493975903E-2</v>
      </c>
      <c r="AU98" s="417">
        <f t="shared" si="402"/>
        <v>0.10714285714285721</v>
      </c>
      <c r="AV98" s="417">
        <f t="shared" si="402"/>
        <v>0.10714285714285721</v>
      </c>
      <c r="AW98" s="417">
        <f t="shared" si="402"/>
        <v>0.12941176470588234</v>
      </c>
      <c r="AX98" s="417">
        <f t="shared" si="402"/>
        <v>0.14772727272727271</v>
      </c>
      <c r="AY98" s="417">
        <f>AY96/AT96-1</f>
        <v>0.16666666666666674</v>
      </c>
      <c r="AZ98" s="417">
        <f>AZ96/AU96-1</f>
        <v>0.15053763440860224</v>
      </c>
      <c r="BA98" s="417">
        <f t="shared" ref="BA98" si="403">BA96/AV96-1</f>
        <v>0.15053763440860224</v>
      </c>
      <c r="BB98" s="417">
        <f t="shared" ref="BB98" si="404">BB96/AW96-1</f>
        <v>0.13541666666666674</v>
      </c>
      <c r="BC98" s="417">
        <f t="shared" ref="BC98" si="405">BC96/AX96-1</f>
        <v>4.7524752475247567E-2</v>
      </c>
      <c r="BD98" s="417">
        <f>BD96/AY96-1</f>
        <v>2.6666666666666616E-2</v>
      </c>
      <c r="BE98" s="417">
        <f>BE96/AZ96-1</f>
        <v>2.6168224299065512E-2</v>
      </c>
      <c r="BF98" s="417">
        <f t="shared" ref="BF98" si="406">BF96/BA96-1</f>
        <v>2.6168224299065512E-2</v>
      </c>
      <c r="BG98" s="417">
        <f t="shared" ref="BG98" si="407">BG96/BB96-1</f>
        <v>1.1009174311926495E-2</v>
      </c>
      <c r="BH98" s="417">
        <f t="shared" ref="BH98" si="408">BH96/BC96-1</f>
        <v>6.9943289224952743E-2</v>
      </c>
      <c r="BI98" s="417">
        <f>BI96/BD96-1</f>
        <v>2.9684601113172615E-2</v>
      </c>
      <c r="BJ98" s="417">
        <f>BJ96/BE96-1</f>
        <v>3.2786885245901676E-2</v>
      </c>
      <c r="BK98" s="417">
        <f t="shared" ref="BK98" si="409">BK96/BF96-1</f>
        <v>3.2786885245901676E-2</v>
      </c>
      <c r="BL98" s="417">
        <f t="shared" ref="BL98" si="410">BL96/BG96-1</f>
        <v>7.0780399274046335E-3</v>
      </c>
      <c r="BM98" s="417">
        <f t="shared" ref="BM98:BV98" si="411">BM96/BH96-1</f>
        <v>-1.6431095406360452E-2</v>
      </c>
      <c r="BN98" s="417">
        <f t="shared" si="411"/>
        <v>2.4864864864864833E-2</v>
      </c>
      <c r="BO98" s="417">
        <f t="shared" si="411"/>
        <v>2.0987654320987703E-2</v>
      </c>
      <c r="BP98" s="417">
        <f t="shared" si="411"/>
        <v>2.0987654320987703E-2</v>
      </c>
      <c r="BQ98" s="417">
        <f t="shared" si="411"/>
        <v>9.3710578482608664E-3</v>
      </c>
      <c r="BR98" s="417">
        <f t="shared" si="411"/>
        <v>1.975929585054792E-2</v>
      </c>
      <c r="BS98" s="417">
        <f t="shared" si="411"/>
        <v>1.9338959212376938E-2</v>
      </c>
      <c r="BT98" s="417">
        <f t="shared" si="411"/>
        <v>3.4548281223001354E-4</v>
      </c>
      <c r="BU98" s="417">
        <f t="shared" si="411"/>
        <v>3.4548281223001354E-4</v>
      </c>
      <c r="BV98" s="417">
        <f t="shared" si="411"/>
        <v>1.7675415104445591E-2</v>
      </c>
      <c r="BW98" s="417">
        <f t="shared" ref="BW98:CM98" si="412">BW96/BR96-1</f>
        <v>8.1028712348070187E-3</v>
      </c>
      <c r="BX98" s="417">
        <f t="shared" si="412"/>
        <v>-1.0003449465332825E-2</v>
      </c>
      <c r="BY98" s="417">
        <f t="shared" si="412"/>
        <v>-7.0799516491106829E-3</v>
      </c>
      <c r="BZ98" s="417">
        <f t="shared" si="412"/>
        <v>-7.0799516491106829E-3</v>
      </c>
      <c r="CA98" s="417">
        <f t="shared" si="412"/>
        <v>1.5789473684210575E-2</v>
      </c>
      <c r="CB98" s="417">
        <f t="shared" si="412"/>
        <v>1.3454481915079475E-2</v>
      </c>
      <c r="CC98" s="417">
        <f t="shared" si="412"/>
        <v>1.7421602787457413E-3</v>
      </c>
      <c r="CD98" s="417">
        <f t="shared" si="412"/>
        <v>0</v>
      </c>
      <c r="CE98" s="417">
        <f t="shared" si="412"/>
        <v>0</v>
      </c>
      <c r="CF98" s="417">
        <f t="shared" si="412"/>
        <v>-5.1813471502590858E-3</v>
      </c>
      <c r="CG98" s="417">
        <f t="shared" si="412"/>
        <v>8.6206896551723755E-3</v>
      </c>
      <c r="CH98" s="417">
        <f t="shared" si="412"/>
        <v>1.9130434782608674E-2</v>
      </c>
      <c r="CI98" s="417">
        <f t="shared" si="412"/>
        <v>2.2608695652173827E-2</v>
      </c>
      <c r="CJ98" s="417">
        <f t="shared" si="412"/>
        <v>2.2608695652173827E-2</v>
      </c>
      <c r="CK98" s="417">
        <f t="shared" si="412"/>
        <v>2.256944444444442E-2</v>
      </c>
      <c r="CL98" s="417">
        <f t="shared" si="412"/>
        <v>0.41196581196581206</v>
      </c>
      <c r="CM98" s="417">
        <f t="shared" si="412"/>
        <v>0.35836177474402731</v>
      </c>
      <c r="CN98" s="417"/>
      <c r="CO98" s="417">
        <f>CO96/CJ96-1</f>
        <v>0.4076746891198153</v>
      </c>
      <c r="CP98" s="417">
        <f t="shared" ref="CP98:CR98" si="413">CP96/CO96-1</f>
        <v>1.4473444933920776E-2</v>
      </c>
      <c r="CQ98" s="417">
        <f t="shared" si="413"/>
        <v>1.4453929824561396E-2</v>
      </c>
      <c r="CR98" s="417">
        <f t="shared" si="413"/>
        <v>1.4434585152838464E-2</v>
      </c>
      <c r="CS98" s="417">
        <f t="shared" ref="CS98" si="414">CS96/CR96-1</f>
        <v>1.4415408695652276E-2</v>
      </c>
      <c r="CT98" s="417">
        <f t="shared" ref="CT98" si="415">CT96/CS96-1</f>
        <v>1.4396398268398114E-2</v>
      </c>
      <c r="CU98" s="347"/>
      <c r="CV98" s="1363"/>
      <c r="CW98" s="347"/>
      <c r="CX98" s="347"/>
      <c r="CY98" s="347"/>
      <c r="CZ98" s="356"/>
      <c r="DA98" s="356"/>
      <c r="DB98" s="356"/>
      <c r="DC98" s="356"/>
    </row>
    <row r="99" spans="1:107">
      <c r="B99" s="347"/>
      <c r="C99" s="347"/>
      <c r="D99" s="347"/>
      <c r="E99" s="347"/>
      <c r="F99" s="347"/>
      <c r="G99" s="347"/>
      <c r="H99" s="347"/>
      <c r="I99" s="347"/>
      <c r="J99" s="347"/>
      <c r="K99" s="347"/>
      <c r="L99" s="347"/>
      <c r="M99" s="347"/>
      <c r="N99" s="347"/>
      <c r="O99" s="347"/>
      <c r="P99" s="347"/>
      <c r="Q99" s="347"/>
      <c r="R99" s="347"/>
      <c r="S99" s="347"/>
      <c r="T99" s="347"/>
      <c r="U99" s="347"/>
      <c r="V99" s="347"/>
      <c r="W99" s="347"/>
      <c r="X99" s="347"/>
      <c r="Y99" s="347"/>
      <c r="Z99" s="347"/>
      <c r="AA99" s="347"/>
      <c r="AB99" s="347"/>
      <c r="AC99" s="347"/>
      <c r="AD99" s="347"/>
      <c r="AE99" s="347"/>
      <c r="AF99" s="347"/>
      <c r="AG99" s="403"/>
      <c r="AH99" s="403"/>
      <c r="AI99" s="403"/>
      <c r="AJ99" s="403"/>
      <c r="AK99" s="403"/>
      <c r="AL99" s="412"/>
      <c r="AM99" s="412"/>
      <c r="AN99" s="412"/>
      <c r="AO99" s="412"/>
      <c r="AP99" s="412"/>
      <c r="AQ99" s="412"/>
      <c r="AR99" s="412"/>
      <c r="AS99" s="412"/>
      <c r="AT99" s="412"/>
      <c r="AU99" s="412"/>
      <c r="AV99" s="412"/>
      <c r="AW99" s="412"/>
      <c r="AX99" s="412"/>
      <c r="AY99" s="412"/>
      <c r="AZ99" s="412"/>
      <c r="BA99" s="412"/>
      <c r="BB99" s="412"/>
      <c r="BC99" s="412"/>
      <c r="BD99" s="412"/>
      <c r="BE99" s="412"/>
      <c r="BF99" s="412"/>
      <c r="BG99" s="412"/>
      <c r="BH99" s="412"/>
      <c r="BI99" s="412"/>
      <c r="BJ99" s="412"/>
      <c r="BK99" s="412"/>
      <c r="BL99" s="412"/>
      <c r="BM99" s="412"/>
      <c r="BN99" s="412"/>
      <c r="BO99" s="412"/>
      <c r="BP99" s="412"/>
      <c r="BQ99" s="412"/>
      <c r="BR99" s="412"/>
      <c r="BS99" s="412"/>
      <c r="BT99" s="412"/>
      <c r="BU99" s="412"/>
      <c r="BV99" s="412"/>
      <c r="BW99" s="412"/>
      <c r="BX99" s="412"/>
      <c r="BY99" s="412"/>
      <c r="BZ99" s="412"/>
      <c r="CA99" s="412"/>
      <c r="CB99" s="412"/>
      <c r="CC99" s="412"/>
      <c r="CD99" s="412"/>
      <c r="CE99" s="417"/>
      <c r="CF99" s="412"/>
      <c r="CG99" s="412"/>
      <c r="CH99" s="412"/>
      <c r="CI99" s="412"/>
      <c r="CJ99" s="417">
        <f t="shared" ref="CJ99" si="416">CJ97/CE97-1</f>
        <v>1.1304347826087024E-2</v>
      </c>
      <c r="CK99" s="412"/>
      <c r="CL99" s="412"/>
      <c r="CM99" s="412"/>
      <c r="CN99" s="412"/>
      <c r="CO99" s="417">
        <f t="shared" ref="CO99" si="417">CO97/CJ97-1</f>
        <v>0.42193698813624358</v>
      </c>
      <c r="CP99" s="417">
        <f t="shared" ref="CP99" si="418">CP97/CO97-1</f>
        <v>8.2798974051252472E-3</v>
      </c>
      <c r="CQ99" s="417">
        <f t="shared" ref="CQ99" si="419">CQ97/CP97-1</f>
        <v>1.4463617273859031E-2</v>
      </c>
      <c r="CR99" s="417">
        <f t="shared" ref="CR99" si="420">CR97/CQ97-1</f>
        <v>1.4444188088620136E-2</v>
      </c>
      <c r="CS99" s="417">
        <f t="shared" ref="CS99" si="421">CS97/CR97-1</f>
        <v>1.4424928219059607E-2</v>
      </c>
      <c r="CT99" s="417">
        <f t="shared" ref="CT99" si="422">CT97/CS97-1</f>
        <v>1.4405835461527294E-2</v>
      </c>
      <c r="CU99" s="347"/>
      <c r="CV99" s="1363"/>
      <c r="CW99" s="347"/>
      <c r="CX99" s="347"/>
      <c r="CY99" s="347"/>
      <c r="CZ99" s="356"/>
      <c r="DA99" s="356"/>
      <c r="DB99" s="356"/>
      <c r="DC99" s="356"/>
    </row>
    <row r="100" spans="1:107">
      <c r="B100" s="347"/>
      <c r="C100" s="347"/>
      <c r="D100" s="347"/>
      <c r="E100" s="347"/>
      <c r="F100" s="347"/>
      <c r="G100" s="347"/>
      <c r="H100" s="347"/>
      <c r="I100" s="347"/>
      <c r="J100" s="347"/>
      <c r="K100" s="347"/>
      <c r="L100" s="347"/>
      <c r="M100" s="347"/>
      <c r="N100" s="347"/>
      <c r="O100" s="347"/>
      <c r="P100" s="347"/>
      <c r="Q100" s="347"/>
      <c r="R100" s="347"/>
      <c r="S100" s="347"/>
      <c r="T100" s="347"/>
      <c r="U100" s="347"/>
      <c r="V100" s="347"/>
      <c r="W100" s="347"/>
      <c r="X100" s="347"/>
      <c r="Y100" s="347"/>
      <c r="Z100" s="347"/>
      <c r="AA100" s="347"/>
      <c r="AB100" s="347"/>
      <c r="AC100" s="347"/>
      <c r="AD100" s="347"/>
      <c r="AE100" s="347"/>
      <c r="AF100" s="347"/>
      <c r="AG100" s="403"/>
      <c r="AH100" s="403"/>
      <c r="AI100" s="403"/>
      <c r="AJ100" s="403"/>
      <c r="AK100" s="403"/>
      <c r="AL100" s="412"/>
      <c r="AM100" s="412"/>
      <c r="AN100" s="412"/>
      <c r="AO100" s="412"/>
      <c r="AP100" s="412"/>
      <c r="AQ100" s="412"/>
      <c r="AR100" s="412"/>
      <c r="AS100" s="412"/>
      <c r="AT100" s="412"/>
      <c r="AU100" s="412"/>
      <c r="AV100" s="412"/>
      <c r="AW100" s="412"/>
      <c r="AX100" s="412"/>
      <c r="AY100" s="412"/>
      <c r="AZ100" s="412"/>
      <c r="BA100" s="412"/>
      <c r="BB100" s="412"/>
      <c r="BC100" s="412"/>
      <c r="BD100" s="412"/>
      <c r="BE100" s="412"/>
      <c r="BF100" s="412"/>
      <c r="BG100" s="412"/>
      <c r="BH100" s="412"/>
      <c r="BI100" s="412"/>
      <c r="BJ100" s="412"/>
      <c r="BK100" s="412"/>
      <c r="BL100" s="412"/>
      <c r="BM100" s="412"/>
      <c r="BN100" s="412"/>
      <c r="BO100" s="412"/>
      <c r="BP100" s="412"/>
      <c r="BQ100" s="412"/>
      <c r="BR100" s="412"/>
      <c r="BS100" s="412"/>
      <c r="BT100" s="412"/>
      <c r="BU100" s="412"/>
      <c r="BV100" s="412"/>
      <c r="BW100" s="412"/>
      <c r="BX100" s="412"/>
      <c r="BY100" s="412"/>
      <c r="BZ100" s="412"/>
      <c r="CA100" s="412"/>
      <c r="CB100" s="412"/>
      <c r="CC100" s="412"/>
      <c r="CD100" s="412"/>
      <c r="CE100" s="412"/>
      <c r="CF100" s="412"/>
      <c r="CG100" s="412"/>
      <c r="CH100" s="412"/>
      <c r="CI100" s="412"/>
      <c r="CJ100" s="412"/>
      <c r="CK100" s="412"/>
      <c r="CL100" s="412"/>
      <c r="CM100" s="412"/>
      <c r="CN100" s="412"/>
      <c r="CO100" s="412"/>
      <c r="CP100" s="412"/>
      <c r="CQ100" s="412"/>
      <c r="CR100" s="412"/>
      <c r="CS100" s="412"/>
      <c r="CT100" s="412"/>
      <c r="CU100" s="347"/>
      <c r="CV100" s="1363"/>
      <c r="CW100" s="347"/>
      <c r="CX100" s="347"/>
      <c r="CY100" s="347"/>
      <c r="CZ100" s="356"/>
      <c r="DA100" s="356"/>
      <c r="DB100" s="356"/>
      <c r="DC100" s="356"/>
    </row>
    <row r="101" spans="1:107">
      <c r="B101" s="383" t="s">
        <v>31</v>
      </c>
      <c r="C101" s="556">
        <f>C$4</f>
        <v>2007</v>
      </c>
      <c r="D101" s="556" t="str">
        <f t="shared" ref="D101:BO101" si="423">D$4</f>
        <v>Q1</v>
      </c>
      <c r="E101" s="556" t="str">
        <f t="shared" si="423"/>
        <v>Q2</v>
      </c>
      <c r="F101" s="556" t="str">
        <f t="shared" si="423"/>
        <v>Q3</v>
      </c>
      <c r="G101" s="556" t="str">
        <f t="shared" si="423"/>
        <v>Q4</v>
      </c>
      <c r="H101" s="556">
        <f t="shared" si="423"/>
        <v>2008</v>
      </c>
      <c r="I101" s="556" t="str">
        <f t="shared" si="423"/>
        <v>Q1</v>
      </c>
      <c r="J101" s="556" t="str">
        <f t="shared" si="423"/>
        <v>Q2</v>
      </c>
      <c r="K101" s="556" t="str">
        <f t="shared" si="423"/>
        <v>Q3</v>
      </c>
      <c r="L101" s="556" t="str">
        <f t="shared" si="423"/>
        <v>Q4</v>
      </c>
      <c r="M101" s="556">
        <f t="shared" si="423"/>
        <v>2009</v>
      </c>
      <c r="N101" s="556" t="str">
        <f t="shared" si="423"/>
        <v>Q1</v>
      </c>
      <c r="O101" s="556" t="str">
        <f t="shared" si="423"/>
        <v>Q2</v>
      </c>
      <c r="P101" s="556" t="str">
        <f t="shared" si="423"/>
        <v>Q3</v>
      </c>
      <c r="Q101" s="556" t="str">
        <f t="shared" si="423"/>
        <v>Q4</v>
      </c>
      <c r="R101" s="556">
        <f t="shared" si="423"/>
        <v>2010</v>
      </c>
      <c r="S101" s="556" t="str">
        <f t="shared" si="423"/>
        <v>Q1</v>
      </c>
      <c r="T101" s="556" t="str">
        <f t="shared" si="423"/>
        <v>Q2</v>
      </c>
      <c r="U101" s="556" t="str">
        <f t="shared" si="423"/>
        <v>Q3</v>
      </c>
      <c r="V101" s="556" t="str">
        <f t="shared" si="423"/>
        <v>Q4</v>
      </c>
      <c r="W101" s="556">
        <f t="shared" si="423"/>
        <v>2011</v>
      </c>
      <c r="X101" s="556" t="str">
        <f t="shared" si="423"/>
        <v>Q1</v>
      </c>
      <c r="Y101" s="556" t="str">
        <f t="shared" si="423"/>
        <v>Q2</v>
      </c>
      <c r="Z101" s="556" t="str">
        <f t="shared" si="423"/>
        <v>Q3</v>
      </c>
      <c r="AA101" s="556" t="str">
        <f t="shared" si="423"/>
        <v>Q4</v>
      </c>
      <c r="AB101" s="556">
        <f t="shared" si="423"/>
        <v>2012</v>
      </c>
      <c r="AC101" s="556" t="str">
        <f t="shared" si="423"/>
        <v>Q1</v>
      </c>
      <c r="AD101" s="556" t="str">
        <f t="shared" si="423"/>
        <v>Q2</v>
      </c>
      <c r="AE101" s="556" t="str">
        <f t="shared" si="423"/>
        <v>Q3</v>
      </c>
      <c r="AF101" s="556" t="str">
        <f t="shared" si="423"/>
        <v>Q4</v>
      </c>
      <c r="AG101" s="556">
        <f t="shared" si="423"/>
        <v>2013</v>
      </c>
      <c r="AH101" s="556" t="str">
        <f t="shared" si="423"/>
        <v>Q1</v>
      </c>
      <c r="AI101" s="556" t="str">
        <f t="shared" si="423"/>
        <v>Q2</v>
      </c>
      <c r="AJ101" s="556" t="str">
        <f t="shared" si="423"/>
        <v>Q3</v>
      </c>
      <c r="AK101" s="556" t="str">
        <f t="shared" si="423"/>
        <v>Q4</v>
      </c>
      <c r="AL101" s="556">
        <f t="shared" si="423"/>
        <v>2014</v>
      </c>
      <c r="AM101" s="556" t="str">
        <f t="shared" si="423"/>
        <v>Q1</v>
      </c>
      <c r="AN101" s="556" t="str">
        <f t="shared" si="423"/>
        <v>Q2</v>
      </c>
      <c r="AO101" s="556" t="str">
        <f t="shared" si="423"/>
        <v>Q3</v>
      </c>
      <c r="AP101" s="556" t="str">
        <f t="shared" si="423"/>
        <v>Q4</v>
      </c>
      <c r="AQ101" s="556">
        <f t="shared" si="423"/>
        <v>2015</v>
      </c>
      <c r="AR101" s="556" t="str">
        <f t="shared" si="423"/>
        <v>Q1</v>
      </c>
      <c r="AS101" s="556" t="str">
        <f t="shared" si="423"/>
        <v>Q2</v>
      </c>
      <c r="AT101" s="556" t="str">
        <f t="shared" si="423"/>
        <v>Q3</v>
      </c>
      <c r="AU101" s="556" t="str">
        <f t="shared" si="423"/>
        <v>Q4</v>
      </c>
      <c r="AV101" s="556">
        <f t="shared" si="423"/>
        <v>2016</v>
      </c>
      <c r="AW101" s="556" t="str">
        <f t="shared" si="423"/>
        <v>Q1</v>
      </c>
      <c r="AX101" s="556" t="str">
        <f t="shared" si="423"/>
        <v>Q2</v>
      </c>
      <c r="AY101" s="556" t="str">
        <f t="shared" si="423"/>
        <v>Q3</v>
      </c>
      <c r="AZ101" s="556" t="str">
        <f t="shared" si="423"/>
        <v>Q4</v>
      </c>
      <c r="BA101" s="556">
        <f t="shared" si="423"/>
        <v>2017</v>
      </c>
      <c r="BB101" s="556" t="str">
        <f t="shared" si="423"/>
        <v>Q1</v>
      </c>
      <c r="BC101" s="556" t="str">
        <f t="shared" si="423"/>
        <v>Q2</v>
      </c>
      <c r="BD101" s="556" t="str">
        <f t="shared" si="423"/>
        <v>Q3</v>
      </c>
      <c r="BE101" s="556" t="str">
        <f t="shared" si="423"/>
        <v>Q4</v>
      </c>
      <c r="BF101" s="556">
        <f t="shared" si="423"/>
        <v>2018</v>
      </c>
      <c r="BG101" s="556" t="str">
        <f t="shared" si="423"/>
        <v>Q1</v>
      </c>
      <c r="BH101" s="556" t="str">
        <f t="shared" si="423"/>
        <v>Q2</v>
      </c>
      <c r="BI101" s="556" t="str">
        <f t="shared" si="423"/>
        <v>Q3</v>
      </c>
      <c r="BJ101" s="556" t="str">
        <f t="shared" si="423"/>
        <v>Q4</v>
      </c>
      <c r="BK101" s="556">
        <f t="shared" si="423"/>
        <v>2019</v>
      </c>
      <c r="BL101" s="556" t="str">
        <f t="shared" si="423"/>
        <v>Q1</v>
      </c>
      <c r="BM101" s="556" t="str">
        <f t="shared" si="423"/>
        <v>Q2</v>
      </c>
      <c r="BN101" s="556" t="str">
        <f t="shared" si="423"/>
        <v>Q3</v>
      </c>
      <c r="BO101" s="556" t="str">
        <f t="shared" si="423"/>
        <v>Q4</v>
      </c>
      <c r="BP101" s="556">
        <f t="shared" ref="BP101:CT101" si="424">BP$4</f>
        <v>2020</v>
      </c>
      <c r="BQ101" s="556" t="str">
        <f t="shared" si="424"/>
        <v>Q1</v>
      </c>
      <c r="BR101" s="556" t="str">
        <f t="shared" si="424"/>
        <v>Q2</v>
      </c>
      <c r="BS101" s="556" t="str">
        <f t="shared" si="424"/>
        <v>Q3</v>
      </c>
      <c r="BT101" s="556" t="str">
        <f t="shared" si="424"/>
        <v>Q4</v>
      </c>
      <c r="BU101" s="556">
        <f t="shared" si="424"/>
        <v>2021</v>
      </c>
      <c r="BV101" s="556" t="str">
        <f t="shared" si="424"/>
        <v>Q1</v>
      </c>
      <c r="BW101" s="556" t="str">
        <f t="shared" si="424"/>
        <v>Q2</v>
      </c>
      <c r="BX101" s="556" t="str">
        <f t="shared" si="424"/>
        <v>Q3</v>
      </c>
      <c r="BY101" s="556" t="str">
        <f t="shared" si="424"/>
        <v>Q4</v>
      </c>
      <c r="BZ101" s="556">
        <f t="shared" si="424"/>
        <v>2022</v>
      </c>
      <c r="CA101" s="556" t="str">
        <f t="shared" si="424"/>
        <v>Q1</v>
      </c>
      <c r="CB101" s="556" t="str">
        <f t="shared" si="424"/>
        <v>Q2</v>
      </c>
      <c r="CC101" s="556" t="str">
        <f t="shared" si="424"/>
        <v>Q3</v>
      </c>
      <c r="CD101" s="556" t="str">
        <f t="shared" si="424"/>
        <v>Q4</v>
      </c>
      <c r="CE101" s="556">
        <f t="shared" si="424"/>
        <v>2023</v>
      </c>
      <c r="CF101" s="556" t="str">
        <f t="shared" si="424"/>
        <v>Q1</v>
      </c>
      <c r="CG101" s="556" t="str">
        <f t="shared" si="424"/>
        <v>Q2</v>
      </c>
      <c r="CH101" s="556" t="str">
        <f t="shared" si="424"/>
        <v>Q3</v>
      </c>
      <c r="CI101" s="556" t="str">
        <f t="shared" si="424"/>
        <v>Q4</v>
      </c>
      <c r="CJ101" s="556">
        <f t="shared" si="424"/>
        <v>2024</v>
      </c>
      <c r="CK101" s="556" t="str">
        <f t="shared" si="424"/>
        <v>Q1</v>
      </c>
      <c r="CL101" s="556" t="str">
        <f t="shared" si="424"/>
        <v>Q2</v>
      </c>
      <c r="CM101" s="556" t="str">
        <f t="shared" si="424"/>
        <v>Q3</v>
      </c>
      <c r="CN101" s="556"/>
      <c r="CO101" s="556">
        <f t="shared" si="424"/>
        <v>2025</v>
      </c>
      <c r="CP101" s="556">
        <f t="shared" si="424"/>
        <v>2026</v>
      </c>
      <c r="CQ101" s="556">
        <f t="shared" si="424"/>
        <v>2027</v>
      </c>
      <c r="CR101" s="556">
        <f t="shared" si="424"/>
        <v>2028</v>
      </c>
      <c r="CS101" s="556">
        <f t="shared" si="424"/>
        <v>2029</v>
      </c>
      <c r="CT101" s="556">
        <f t="shared" si="424"/>
        <v>2030</v>
      </c>
      <c r="CU101" s="347"/>
      <c r="CV101" s="1363"/>
      <c r="CW101" s="347"/>
      <c r="CX101" s="347"/>
      <c r="CY101" s="347"/>
      <c r="CZ101" s="356"/>
      <c r="DA101" s="356"/>
      <c r="DB101" s="356"/>
      <c r="DC101" s="356"/>
    </row>
    <row r="102" spans="1:107">
      <c r="B102" s="407" t="s">
        <v>253</v>
      </c>
      <c r="C102" s="418">
        <v>150.34936000000002</v>
      </c>
      <c r="D102" s="418">
        <v>212.59420674993356</v>
      </c>
      <c r="E102" s="418">
        <v>442.3198779572366</v>
      </c>
      <c r="F102" s="418">
        <v>516.81223690242985</v>
      </c>
      <c r="G102" s="418">
        <v>444.84875643308612</v>
      </c>
      <c r="H102" s="418">
        <v>423</v>
      </c>
      <c r="I102" s="418">
        <v>522.50597155653338</v>
      </c>
      <c r="J102" s="418">
        <v>567.61060447098703</v>
      </c>
      <c r="K102" s="418">
        <v>583.80858948353875</v>
      </c>
      <c r="L102" s="418">
        <v>559.20873483535524</v>
      </c>
      <c r="M102" s="418">
        <v>558.28347508660363</v>
      </c>
      <c r="N102" s="418">
        <v>488.74445839874409</v>
      </c>
      <c r="O102" s="418">
        <v>354.79458072885956</v>
      </c>
      <c r="P102" s="418">
        <v>322.78741930233821</v>
      </c>
      <c r="Q102" s="418">
        <v>386.13893536121674</v>
      </c>
      <c r="R102" s="418">
        <v>388.11634844778962</v>
      </c>
      <c r="S102" s="418">
        <v>318.69191969887078</v>
      </c>
      <c r="T102" s="418">
        <v>322.24741687979542</v>
      </c>
      <c r="U102" s="418">
        <v>355.60600243013369</v>
      </c>
      <c r="V102" s="418">
        <v>488.48806236080179</v>
      </c>
      <c r="W102" s="419">
        <v>356.37480798771122</v>
      </c>
      <c r="X102" s="419">
        <v>440.36915948275862</v>
      </c>
      <c r="Y102" s="419">
        <v>392.19542795232934</v>
      </c>
      <c r="Z102" s="419">
        <v>365.0757142857143</v>
      </c>
      <c r="AA102" s="419">
        <v>365.49010215664021</v>
      </c>
      <c r="AB102" s="419">
        <v>390.7826009693606</v>
      </c>
      <c r="AC102" s="419">
        <v>371.61553213909377</v>
      </c>
      <c r="AD102" s="419">
        <v>363.9847434656341</v>
      </c>
      <c r="AE102" s="419">
        <v>322.3792000997426</v>
      </c>
      <c r="AF102" s="419">
        <v>292.20249835634451</v>
      </c>
      <c r="AG102" s="419">
        <v>337.5454935152037</v>
      </c>
      <c r="AH102" s="419">
        <v>251.67706976744185</v>
      </c>
      <c r="AI102" s="419">
        <v>252.72264173923634</v>
      </c>
      <c r="AJ102" s="419">
        <v>249.87916515306628</v>
      </c>
      <c r="AK102" s="419">
        <v>247.19184428455063</v>
      </c>
      <c r="AL102" s="419">
        <v>250.36768023607377</v>
      </c>
      <c r="AM102" s="419">
        <v>238.7323187108326</v>
      </c>
      <c r="AN102" s="419">
        <v>261.63516819571868</v>
      </c>
      <c r="AO102" s="419">
        <v>211.04550857142857</v>
      </c>
      <c r="AP102" s="419">
        <v>190.01805988023952</v>
      </c>
      <c r="AQ102" s="419">
        <v>225.35776383955485</v>
      </c>
      <c r="AR102" s="419">
        <v>149.89988165680472</v>
      </c>
      <c r="AS102" s="375"/>
      <c r="AT102" s="375"/>
      <c r="AU102" s="420"/>
      <c r="AV102" s="375">
        <f>AQ102*(1+AV103)</f>
        <v>141.97539121891955</v>
      </c>
      <c r="AW102" s="375"/>
      <c r="AX102" s="375"/>
      <c r="AY102" s="375"/>
      <c r="AZ102" s="375"/>
      <c r="BA102" s="375">
        <f>AV102*(1+BA103)</f>
        <v>113.58031297513566</v>
      </c>
      <c r="BB102" s="375"/>
      <c r="BC102" s="375"/>
      <c r="BD102" s="375"/>
      <c r="BE102" s="375"/>
      <c r="BF102" s="375">
        <f>BA102*(1+BF103)</f>
        <v>97.679069158616656</v>
      </c>
      <c r="BG102" s="375"/>
      <c r="BH102" s="375"/>
      <c r="BI102" s="375"/>
      <c r="BJ102" s="375"/>
      <c r="BK102" s="375">
        <f>BF102*(1+BK103)</f>
        <v>91.818325009099652</v>
      </c>
      <c r="BL102" s="375"/>
      <c r="BM102" s="375"/>
      <c r="BN102" s="375"/>
      <c r="BO102" s="375"/>
      <c r="BP102" s="375">
        <f>BK102*(1+BP103)</f>
        <v>86.309225508553666</v>
      </c>
      <c r="BQ102" s="375"/>
      <c r="BR102" s="375"/>
      <c r="BS102" s="375"/>
      <c r="BT102" s="375"/>
      <c r="BU102" s="375">
        <f>BP102*(1+BU103)</f>
        <v>81.130671978040439</v>
      </c>
      <c r="BV102" s="375"/>
      <c r="BW102" s="375"/>
      <c r="BX102" s="375"/>
      <c r="BY102" s="375"/>
      <c r="BZ102" s="375">
        <f>BU102*(1+BZ103)</f>
        <v>76.262831659358014</v>
      </c>
      <c r="CA102" s="375"/>
      <c r="CB102" s="375"/>
      <c r="CC102" s="375"/>
      <c r="CD102" s="375"/>
      <c r="CE102" s="375">
        <f>BZ102*(1+CE103)</f>
        <v>71.687061759796535</v>
      </c>
      <c r="CF102" s="375"/>
      <c r="CG102" s="375"/>
      <c r="CH102" s="375"/>
      <c r="CI102" s="375"/>
      <c r="CJ102" s="375">
        <f>CE102*(1+CJ103)</f>
        <v>67.815960424767525</v>
      </c>
      <c r="CK102" s="375"/>
      <c r="CL102" s="375"/>
      <c r="CM102" s="375"/>
      <c r="CN102" s="375"/>
      <c r="CO102" s="375">
        <f>CJ102*(1+CO103)</f>
        <v>64.520104748123828</v>
      </c>
      <c r="CP102" s="375">
        <f t="shared" ref="CP102:CR102" si="425">CO102*(1+CP103)</f>
        <v>61.697995366440892</v>
      </c>
      <c r="CQ102" s="375">
        <f t="shared" si="425"/>
        <v>59.269192080845578</v>
      </c>
      <c r="CR102" s="375">
        <f t="shared" si="425"/>
        <v>57.169320166936465</v>
      </c>
      <c r="CS102" s="375">
        <f t="shared" ref="CS102" si="426">CR102*(1+CS103)</f>
        <v>55.346392926206256</v>
      </c>
      <c r="CT102" s="375">
        <f t="shared" ref="CT102" si="427">CS102*(1+CT103)</f>
        <v>53.758072436439072</v>
      </c>
      <c r="CU102" s="347"/>
      <c r="CV102" s="1363"/>
      <c r="CW102" s="347"/>
      <c r="CX102" s="347"/>
      <c r="CY102" s="347"/>
      <c r="CZ102" s="347"/>
      <c r="DA102" s="347"/>
    </row>
    <row r="103" spans="1:107">
      <c r="B103" s="407" t="s">
        <v>32</v>
      </c>
      <c r="C103" s="417"/>
      <c r="D103" s="417"/>
      <c r="E103" s="417"/>
      <c r="F103" s="417"/>
      <c r="G103" s="417"/>
      <c r="H103" s="417">
        <f>H102/C102-1</f>
        <v>1.8134472936898431</v>
      </c>
      <c r="I103" s="417"/>
      <c r="J103" s="417"/>
      <c r="K103" s="417"/>
      <c r="L103" s="417"/>
      <c r="M103" s="417">
        <f t="shared" ref="M103:AP103" si="428">M102/H102-1</f>
        <v>0.31981909003925213</v>
      </c>
      <c r="N103" s="417">
        <f t="shared" si="428"/>
        <v>-6.4614597718786859E-2</v>
      </c>
      <c r="O103" s="417">
        <f t="shared" si="428"/>
        <v>-0.3749331356141099</v>
      </c>
      <c r="P103" s="417">
        <f t="shared" si="428"/>
        <v>-0.44710059920857048</v>
      </c>
      <c r="Q103" s="417">
        <f t="shared" si="428"/>
        <v>-0.30949051524578652</v>
      </c>
      <c r="R103" s="417">
        <f t="shared" si="428"/>
        <v>-0.3048041617431303</v>
      </c>
      <c r="S103" s="417">
        <f t="shared" si="428"/>
        <v>-0.34793752804279421</v>
      </c>
      <c r="T103" s="417">
        <f t="shared" si="428"/>
        <v>-9.1735233898449176E-2</v>
      </c>
      <c r="U103" s="417">
        <f t="shared" si="428"/>
        <v>0.10167243568144158</v>
      </c>
      <c r="V103" s="417">
        <f t="shared" si="428"/>
        <v>0.26505777487536131</v>
      </c>
      <c r="W103" s="417">
        <f t="shared" si="428"/>
        <v>-8.1783569764643294E-2</v>
      </c>
      <c r="X103" s="417">
        <f t="shared" si="428"/>
        <v>0.38180208616164357</v>
      </c>
      <c r="Y103" s="417">
        <f t="shared" si="428"/>
        <v>0.21706306213348459</v>
      </c>
      <c r="Z103" s="417">
        <f t="shared" si="428"/>
        <v>2.6629786310879755E-2</v>
      </c>
      <c r="AA103" s="417">
        <f t="shared" si="428"/>
        <v>-0.25179317506701759</v>
      </c>
      <c r="AB103" s="417">
        <f t="shared" si="428"/>
        <v>9.6549453582128297E-2</v>
      </c>
      <c r="AC103" s="417">
        <f t="shared" si="428"/>
        <v>-0.15612725338082334</v>
      </c>
      <c r="AD103" s="417">
        <f t="shared" si="428"/>
        <v>-7.1930171736026005E-2</v>
      </c>
      <c r="AE103" s="417">
        <f t="shared" si="428"/>
        <v>-0.11695249099083238</v>
      </c>
      <c r="AF103" s="417">
        <f t="shared" si="428"/>
        <v>-0.20051870999474131</v>
      </c>
      <c r="AG103" s="417">
        <f t="shared" si="428"/>
        <v>-0.1362320311142281</v>
      </c>
      <c r="AH103" s="417">
        <f t="shared" si="428"/>
        <v>-0.32274878738588242</v>
      </c>
      <c r="AI103" s="417">
        <f t="shared" si="428"/>
        <v>-0.30567792668184357</v>
      </c>
      <c r="AJ103" s="417">
        <f t="shared" si="428"/>
        <v>-0.22489054791452168</v>
      </c>
      <c r="AK103" s="417">
        <f t="shared" si="428"/>
        <v>-0.15403925128970952</v>
      </c>
      <c r="AL103" s="417">
        <f t="shared" si="428"/>
        <v>-0.25826981830288687</v>
      </c>
      <c r="AM103" s="417">
        <f t="shared" si="428"/>
        <v>-5.1433970796666673E-2</v>
      </c>
      <c r="AN103" s="417">
        <f t="shared" si="428"/>
        <v>3.5266038670482169E-2</v>
      </c>
      <c r="AO103" s="417">
        <f t="shared" si="428"/>
        <v>-0.15540974197608559</v>
      </c>
      <c r="AP103" s="417">
        <f t="shared" si="428"/>
        <v>-0.23129316652735721</v>
      </c>
      <c r="AQ103" s="417">
        <f>AQ102/AL102-1</f>
        <v>-9.9892751224666343E-2</v>
      </c>
      <c r="AR103" s="417">
        <f>AR102/AM102-1</f>
        <v>-0.37210059171597643</v>
      </c>
      <c r="AS103" s="417"/>
      <c r="AT103" s="417"/>
      <c r="AU103" s="417"/>
      <c r="AV103" s="409">
        <v>-0.37</v>
      </c>
      <c r="AW103" s="408"/>
      <c r="AX103" s="408"/>
      <c r="AY103" s="408"/>
      <c r="AZ103" s="408"/>
      <c r="BA103" s="409">
        <v>-0.2</v>
      </c>
      <c r="BB103" s="408"/>
      <c r="BC103" s="408"/>
      <c r="BD103" s="408"/>
      <c r="BE103" s="408"/>
      <c r="BF103" s="409">
        <v>-0.14000000000000001</v>
      </c>
      <c r="BG103" s="408"/>
      <c r="BH103" s="408"/>
      <c r="BI103" s="408"/>
      <c r="BJ103" s="408"/>
      <c r="BK103" s="409">
        <v>-0.06</v>
      </c>
      <c r="BL103" s="408"/>
      <c r="BM103" s="408"/>
      <c r="BN103" s="408"/>
      <c r="BO103" s="408"/>
      <c r="BP103" s="409">
        <v>-0.06</v>
      </c>
      <c r="BQ103" s="408"/>
      <c r="BR103" s="408"/>
      <c r="BS103" s="408"/>
      <c r="BT103" s="408"/>
      <c r="BU103" s="409">
        <v>-0.06</v>
      </c>
      <c r="BV103" s="408"/>
      <c r="BW103" s="408"/>
      <c r="BX103" s="408"/>
      <c r="BY103" s="408"/>
      <c r="BZ103" s="409">
        <v>-0.06</v>
      </c>
      <c r="CA103" s="408"/>
      <c r="CB103" s="408"/>
      <c r="CC103" s="408"/>
      <c r="CD103" s="408"/>
      <c r="CE103" s="409">
        <v>-0.06</v>
      </c>
      <c r="CF103" s="408"/>
      <c r="CG103" s="408"/>
      <c r="CH103" s="408"/>
      <c r="CI103" s="408"/>
      <c r="CJ103" s="409">
        <f>CE103*0.9</f>
        <v>-5.3999999999999999E-2</v>
      </c>
      <c r="CK103" s="408"/>
      <c r="CL103" s="408"/>
      <c r="CM103" s="408"/>
      <c r="CN103" s="408"/>
      <c r="CO103" s="409">
        <f>CJ103*0.9</f>
        <v>-4.8599999999999997E-2</v>
      </c>
      <c r="CP103" s="409">
        <f t="shared" ref="CP103:CR103" si="429">CO103*0.9</f>
        <v>-4.3740000000000001E-2</v>
      </c>
      <c r="CQ103" s="409">
        <f t="shared" si="429"/>
        <v>-3.9366000000000005E-2</v>
      </c>
      <c r="CR103" s="409">
        <f t="shared" si="429"/>
        <v>-3.5429400000000007E-2</v>
      </c>
      <c r="CS103" s="409">
        <f t="shared" ref="CS103" si="430">CR103*0.9</f>
        <v>-3.1886460000000005E-2</v>
      </c>
      <c r="CT103" s="409">
        <f t="shared" ref="CT103" si="431">CS103*0.9</f>
        <v>-2.8697814000000006E-2</v>
      </c>
      <c r="CU103" s="347"/>
      <c r="CV103" s="1363"/>
      <c r="CW103" s="347"/>
      <c r="CX103" s="347"/>
      <c r="CY103" s="347"/>
      <c r="CZ103" s="347"/>
      <c r="DA103" s="347"/>
    </row>
    <row r="104" spans="1:107">
      <c r="B104" s="407" t="s">
        <v>33</v>
      </c>
      <c r="C104" s="347">
        <v>13590.4995</v>
      </c>
      <c r="D104" s="347">
        <v>3946.9290000000001</v>
      </c>
      <c r="E104" s="347">
        <v>4174.6350000000002</v>
      </c>
      <c r="F104" s="347">
        <v>4455.3599999999997</v>
      </c>
      <c r="G104" s="347">
        <v>4575.45</v>
      </c>
      <c r="H104" s="347">
        <v>17276.557499999999</v>
      </c>
      <c r="I104" s="347">
        <v>4521.0060000000003</v>
      </c>
      <c r="J104" s="347">
        <v>4531.2749999999996</v>
      </c>
      <c r="K104" s="347">
        <v>5001.0659999999998</v>
      </c>
      <c r="L104" s="347">
        <v>5168.6459999999997</v>
      </c>
      <c r="M104" s="347">
        <v>19467.894</v>
      </c>
      <c r="N104" s="347">
        <v>5318.61</v>
      </c>
      <c r="O104" s="347">
        <v>5761.44</v>
      </c>
      <c r="P104" s="347">
        <v>6033.5190000000002</v>
      </c>
      <c r="Q104" s="347">
        <v>6507.09</v>
      </c>
      <c r="R104" s="347">
        <v>23936.22</v>
      </c>
      <c r="S104" s="347">
        <v>7219.2150000000001</v>
      </c>
      <c r="T104" s="347">
        <v>7516.3950000000004</v>
      </c>
      <c r="U104" s="347">
        <v>7742.4165000000003</v>
      </c>
      <c r="V104" s="347">
        <v>8029.7070000000003</v>
      </c>
      <c r="W104" s="347">
        <v>30433.484922526299</v>
      </c>
      <c r="X104" s="347">
        <v>7957.8988334081068</v>
      </c>
      <c r="Y104" s="347">
        <v>8166.8249999999998</v>
      </c>
      <c r="Z104" s="347">
        <v>8161.8675000000003</v>
      </c>
      <c r="AA104" s="347">
        <v>8329.5990000000002</v>
      </c>
      <c r="AB104" s="347">
        <v>32493.069738568483</v>
      </c>
      <c r="AC104" s="347">
        <v>8356.8330000000005</v>
      </c>
      <c r="AD104" s="347">
        <v>8378.4599999999991</v>
      </c>
      <c r="AE104" s="347">
        <v>8336.25</v>
      </c>
      <c r="AF104" s="347">
        <v>8379.6479999999992</v>
      </c>
      <c r="AG104" s="347">
        <v>33845.175000000003</v>
      </c>
      <c r="AH104" s="347">
        <v>8172.18</v>
      </c>
      <c r="AI104" s="347">
        <v>8203.1820000000007</v>
      </c>
      <c r="AJ104" s="347">
        <v>8409.7440000000006</v>
      </c>
      <c r="AK104" s="347">
        <v>8468.9519999999993</v>
      </c>
      <c r="AL104" s="347">
        <v>33539.94</v>
      </c>
      <c r="AM104" s="347">
        <v>8146.98</v>
      </c>
      <c r="AN104" s="347">
        <v>8462.16</v>
      </c>
      <c r="AO104" s="347">
        <v>7963.11</v>
      </c>
      <c r="AP104" s="347">
        <v>7889.7</v>
      </c>
      <c r="AQ104" s="347">
        <v>32940.706837500002</v>
      </c>
      <c r="AR104" s="347">
        <v>7962.0555000000004</v>
      </c>
      <c r="AS104" s="347"/>
      <c r="AT104" s="347"/>
      <c r="AU104" s="347"/>
      <c r="AV104" s="347">
        <f>(AV102*12*AV97/1000)</f>
        <v>75388.932737246287</v>
      </c>
      <c r="AW104" s="347"/>
      <c r="AX104" s="347"/>
      <c r="AY104" s="347"/>
      <c r="AZ104" s="347"/>
      <c r="BA104" s="347">
        <f>(BA102*12*BA97/1000)</f>
        <v>68148.187785081391</v>
      </c>
      <c r="BB104" s="347"/>
      <c r="BC104" s="347"/>
      <c r="BD104" s="347"/>
      <c r="BE104" s="347"/>
      <c r="BF104" s="347">
        <f>(BF102*12*BF97/1000)</f>
        <v>63530.466580764281</v>
      </c>
      <c r="BG104" s="347"/>
      <c r="BH104" s="347"/>
      <c r="BI104" s="347"/>
      <c r="BJ104" s="347"/>
      <c r="BK104" s="347">
        <f t="shared" ref="BK104:CR104" si="432">(BK102*12*BK97/1000)</f>
        <v>61481.550426093127</v>
      </c>
      <c r="BL104" s="347"/>
      <c r="BM104" s="347"/>
      <c r="BN104" s="347"/>
      <c r="BO104" s="347"/>
      <c r="BP104" s="347">
        <f t="shared" si="432"/>
        <v>59341.044906150986</v>
      </c>
      <c r="BQ104" s="347"/>
      <c r="BR104" s="347"/>
      <c r="BS104" s="347"/>
      <c r="BT104" s="347"/>
      <c r="BU104" s="347">
        <f t="shared" ref="BU104" si="433">(BU102*12*BU97/1000)</f>
        <v>56369.590890342501</v>
      </c>
      <c r="BV104" s="347"/>
      <c r="BW104" s="347"/>
      <c r="BX104" s="347"/>
      <c r="BY104" s="347"/>
      <c r="BZ104" s="347">
        <f t="shared" ref="BZ104" si="434">(BZ102*12*BZ97/1000)</f>
        <v>52808.960410839041</v>
      </c>
      <c r="CA104" s="347"/>
      <c r="CB104" s="347"/>
      <c r="CC104" s="347"/>
      <c r="CD104" s="347"/>
      <c r="CE104" s="347">
        <f t="shared" ref="CE104" si="435">(CE102*12*CE97/1000)</f>
        <v>49464.07261425961</v>
      </c>
      <c r="CF104" s="347"/>
      <c r="CG104" s="347"/>
      <c r="CH104" s="347"/>
      <c r="CI104" s="347"/>
      <c r="CJ104" s="347">
        <f t="shared" si="432"/>
        <v>47321.977184402778</v>
      </c>
      <c r="CK104" s="347"/>
      <c r="CL104" s="347"/>
      <c r="CM104" s="347"/>
      <c r="CN104" s="347"/>
      <c r="CO104" s="347">
        <f t="shared" si="432"/>
        <v>64018.63064232398</v>
      </c>
      <c r="CP104" s="347">
        <f t="shared" si="432"/>
        <v>61725.338270839813</v>
      </c>
      <c r="CQ104" s="347">
        <f t="shared" si="432"/>
        <v>60153.085423802935</v>
      </c>
      <c r="CR104" s="347">
        <f t="shared" si="432"/>
        <v>58859.976902713162</v>
      </c>
      <c r="CS104" s="347">
        <f t="shared" ref="CS104:CT104" si="436">(CS102*12*CS97/1000)</f>
        <v>57805.118316507454</v>
      </c>
      <c r="CT104" s="347">
        <f t="shared" si="436"/>
        <v>56955.071246095307</v>
      </c>
      <c r="CU104" s="347"/>
      <c r="CV104" s="1363"/>
      <c r="CW104" s="347"/>
      <c r="CX104" s="347"/>
      <c r="CY104" s="347"/>
      <c r="CZ104" s="347"/>
      <c r="DA104" s="347"/>
    </row>
    <row r="105" spans="1:107">
      <c r="B105" s="407" t="s">
        <v>504</v>
      </c>
      <c r="C105" s="421">
        <f t="shared" ref="C105:AR105" si="437">C136/C102</f>
        <v>354.32847491867415</v>
      </c>
      <c r="D105" s="421">
        <f t="shared" si="437"/>
        <v>242.87255622556228</v>
      </c>
      <c r="E105" s="421">
        <f t="shared" si="437"/>
        <v>115.47549183521033</v>
      </c>
      <c r="F105" s="421">
        <f t="shared" si="437"/>
        <v>89.194351137059755</v>
      </c>
      <c r="G105" s="421">
        <f t="shared" si="437"/>
        <v>86.686997192552582</v>
      </c>
      <c r="H105" s="421">
        <f t="shared" si="437"/>
        <v>114.55145379481013</v>
      </c>
      <c r="I105" s="421">
        <f t="shared" si="437"/>
        <v>72.732484166946932</v>
      </c>
      <c r="J105" s="421">
        <f t="shared" si="437"/>
        <v>78.413027992839162</v>
      </c>
      <c r="K105" s="421">
        <f t="shared" si="437"/>
        <v>80.980684283457535</v>
      </c>
      <c r="L105" s="421">
        <f t="shared" si="437"/>
        <v>83.327196226507738</v>
      </c>
      <c r="M105" s="421">
        <f t="shared" si="437"/>
        <v>64.483370199011361</v>
      </c>
      <c r="N105" s="421">
        <f t="shared" si="437"/>
        <v>71.612065157054147</v>
      </c>
      <c r="O105" s="421">
        <f t="shared" si="437"/>
        <v>93.011567234785915</v>
      </c>
      <c r="P105" s="421">
        <f t="shared" si="437"/>
        <v>105.33248189624753</v>
      </c>
      <c r="Q105" s="421">
        <f t="shared" si="437"/>
        <v>88.051208739658506</v>
      </c>
      <c r="R105" s="421">
        <f t="shared" si="437"/>
        <v>87.602596839781839</v>
      </c>
      <c r="S105" s="421">
        <f t="shared" si="437"/>
        <v>100.41045292342687</v>
      </c>
      <c r="T105" s="421">
        <f t="shared" si="437"/>
        <v>99.302580327390572</v>
      </c>
      <c r="U105" s="421">
        <f t="shared" si="437"/>
        <v>89.987232446356344</v>
      </c>
      <c r="V105" s="421">
        <f t="shared" si="437"/>
        <v>65.508253866733199</v>
      </c>
      <c r="W105" s="421">
        <f t="shared" si="437"/>
        <v>89.793103448275858</v>
      </c>
      <c r="X105" s="421">
        <f t="shared" si="437"/>
        <v>65.853839615068253</v>
      </c>
      <c r="Y105" s="421">
        <f t="shared" si="437"/>
        <v>79.04222688635727</v>
      </c>
      <c r="Z105" s="421">
        <f t="shared" si="437"/>
        <v>87.653050443547912</v>
      </c>
      <c r="AA105" s="421">
        <f t="shared" si="437"/>
        <v>87.553670567761571</v>
      </c>
      <c r="AB105" s="421">
        <f t="shared" si="437"/>
        <v>79.327994447814632</v>
      </c>
      <c r="AC105" s="421">
        <f t="shared" si="437"/>
        <v>72.65573600915593</v>
      </c>
      <c r="AD105" s="421">
        <f t="shared" si="437"/>
        <v>74.178933278694487</v>
      </c>
      <c r="AE105" s="421">
        <f t="shared" si="437"/>
        <v>83.752301611413912</v>
      </c>
      <c r="AF105" s="421">
        <f t="shared" si="437"/>
        <v>92.401674016740174</v>
      </c>
      <c r="AG105" s="421">
        <f t="shared" si="437"/>
        <v>79.989217805344126</v>
      </c>
      <c r="AH105" s="421">
        <f t="shared" si="437"/>
        <v>91.38695083049393</v>
      </c>
      <c r="AI105" s="421">
        <f t="shared" si="437"/>
        <v>98.922675973747687</v>
      </c>
      <c r="AJ105" s="421">
        <f t="shared" si="437"/>
        <v>108.05222589670831</v>
      </c>
      <c r="AK105" s="421">
        <f t="shared" si="437"/>
        <v>84.954259153575521</v>
      </c>
      <c r="AL105" s="421">
        <f t="shared" si="437"/>
        <v>95.859018134330285</v>
      </c>
      <c r="AM105" s="421">
        <f t="shared" si="437"/>
        <v>117.28617286172862</v>
      </c>
      <c r="AN105" s="421">
        <f t="shared" si="437"/>
        <v>122.30771658365933</v>
      </c>
      <c r="AO105" s="421">
        <f t="shared" si="437"/>
        <v>170.57932312175109</v>
      </c>
      <c r="AP105" s="421">
        <f t="shared" si="437"/>
        <v>210.50630674373971</v>
      </c>
      <c r="AQ105" s="421">
        <f t="shared" si="437"/>
        <v>150.87121659676458</v>
      </c>
      <c r="AR105" s="421">
        <f t="shared" si="437"/>
        <v>260.17365436812264</v>
      </c>
      <c r="AS105" s="421"/>
      <c r="AT105" s="421"/>
      <c r="AU105" s="421"/>
      <c r="AV105" s="421">
        <f>AV136/AV102</f>
        <v>246.52159574634734</v>
      </c>
      <c r="AW105" s="421"/>
      <c r="AX105" s="421"/>
      <c r="AY105" s="421"/>
      <c r="AZ105" s="421"/>
      <c r="BA105" s="421">
        <f>BA136/BA102</f>
        <v>299.34765197770747</v>
      </c>
      <c r="BB105" s="421"/>
      <c r="BC105" s="421"/>
      <c r="BD105" s="421"/>
      <c r="BE105" s="421"/>
      <c r="BF105" s="421">
        <f>BF136/BF102</f>
        <v>322.48464559841949</v>
      </c>
      <c r="BG105" s="421"/>
      <c r="BH105" s="421"/>
      <c r="BI105" s="421"/>
      <c r="BJ105" s="421"/>
      <c r="BK105" s="421">
        <f>BK136/BK102</f>
        <v>375.74198828589914</v>
      </c>
      <c r="BL105" s="421"/>
      <c r="BM105" s="421"/>
      <c r="BN105" s="421"/>
      <c r="BO105" s="421"/>
      <c r="BP105" s="421">
        <f>BP136/BP102</f>
        <v>414.20832812892058</v>
      </c>
      <c r="BQ105" s="421"/>
      <c r="BR105" s="421"/>
      <c r="BS105" s="421"/>
      <c r="BT105" s="421"/>
      <c r="BU105" s="421">
        <f>BU136/BU102</f>
        <v>449.89150354725791</v>
      </c>
      <c r="BV105" s="421"/>
      <c r="BW105" s="421"/>
      <c r="BX105" s="421"/>
      <c r="BY105" s="421"/>
      <c r="BZ105" s="421">
        <f>BZ136/BZ102</f>
        <v>508.11121429484831</v>
      </c>
      <c r="CA105" s="421"/>
      <c r="CB105" s="421"/>
      <c r="CC105" s="421"/>
      <c r="CD105" s="421"/>
      <c r="CE105" s="421">
        <f>CE136/CE102</f>
        <v>582.39240073603059</v>
      </c>
      <c r="CF105" s="421"/>
      <c r="CG105" s="421"/>
      <c r="CH105" s="421"/>
      <c r="CI105" s="421"/>
      <c r="CJ105" s="421">
        <f t="shared" ref="CJ105:CT105" si="438">CJ136/CJ102</f>
        <v>626.69613073087567</v>
      </c>
      <c r="CK105" s="421"/>
      <c r="CL105" s="421"/>
      <c r="CM105" s="421"/>
      <c r="CN105" s="421"/>
      <c r="CO105" s="421">
        <f t="shared" si="438"/>
        <v>551.62433329162764</v>
      </c>
      <c r="CP105" s="421">
        <f t="shared" si="438"/>
        <v>638.18591600656214</v>
      </c>
      <c r="CQ105" s="421">
        <f t="shared" si="438"/>
        <v>684.19991016916617</v>
      </c>
      <c r="CR105" s="421">
        <f t="shared" si="438"/>
        <v>730.48516781147202</v>
      </c>
      <c r="CS105" s="421">
        <f t="shared" si="438"/>
        <v>776.99363128647599</v>
      </c>
      <c r="CT105" s="421">
        <f t="shared" si="438"/>
        <v>823.69535622273247</v>
      </c>
      <c r="CU105" s="347"/>
      <c r="CV105" s="1363"/>
      <c r="CW105" s="347"/>
      <c r="CX105" s="347"/>
      <c r="CY105" s="347"/>
      <c r="CZ105" s="347"/>
      <c r="DA105" s="347"/>
    </row>
    <row r="106" spans="1:107">
      <c r="B106" s="407" t="str">
        <f>B103</f>
        <v>YOY Change</v>
      </c>
      <c r="C106" s="417"/>
      <c r="D106" s="417"/>
      <c r="E106" s="417"/>
      <c r="F106" s="417"/>
      <c r="G106" s="417"/>
      <c r="H106" s="417">
        <f>H105/C105-1</f>
        <v>-0.67670830344328914</v>
      </c>
      <c r="I106" s="417">
        <f t="shared" ref="I106:AR106" si="439">I105/D105-1</f>
        <v>-0.70053230674857181</v>
      </c>
      <c r="J106" s="417">
        <f t="shared" si="439"/>
        <v>-0.32095523693686689</v>
      </c>
      <c r="K106" s="417">
        <f t="shared" si="439"/>
        <v>-9.208729867859855E-2</v>
      </c>
      <c r="L106" s="417">
        <f t="shared" si="439"/>
        <v>-3.8757842293024924E-2</v>
      </c>
      <c r="M106" s="417">
        <f t="shared" si="439"/>
        <v>-0.43707942533390309</v>
      </c>
      <c r="N106" s="417">
        <f t="shared" si="439"/>
        <v>-1.5404657529928811E-2</v>
      </c>
      <c r="O106" s="417">
        <f t="shared" si="439"/>
        <v>0.18617492036246741</v>
      </c>
      <c r="P106" s="417">
        <f t="shared" si="439"/>
        <v>0.30071118598542768</v>
      </c>
      <c r="Q106" s="417">
        <f t="shared" si="439"/>
        <v>5.6692325280086386E-2</v>
      </c>
      <c r="R106" s="417">
        <f t="shared" si="439"/>
        <v>0.35853006084233696</v>
      </c>
      <c r="S106" s="417">
        <f t="shared" si="439"/>
        <v>0.40214435518951008</v>
      </c>
      <c r="T106" s="417">
        <f t="shared" si="439"/>
        <v>6.763688947122537E-2</v>
      </c>
      <c r="U106" s="417">
        <f t="shared" si="439"/>
        <v>-0.1456839255435588</v>
      </c>
      <c r="V106" s="417">
        <f t="shared" si="439"/>
        <v>-0.25602095866256858</v>
      </c>
      <c r="W106" s="417">
        <f t="shared" si="439"/>
        <v>2.5005041945277862E-2</v>
      </c>
      <c r="X106" s="417">
        <f t="shared" si="439"/>
        <v>-0.34415354479788607</v>
      </c>
      <c r="Y106" s="417">
        <f t="shared" si="439"/>
        <v>-0.20402645504514549</v>
      </c>
      <c r="Z106" s="417">
        <f t="shared" si="439"/>
        <v>-2.5939035342595895E-2</v>
      </c>
      <c r="AA106" s="417">
        <f t="shared" si="439"/>
        <v>0.33652884025693153</v>
      </c>
      <c r="AB106" s="417">
        <f t="shared" si="439"/>
        <v>-0.11654691283155738</v>
      </c>
      <c r="AC106" s="417">
        <f t="shared" si="439"/>
        <v>0.10328777234321374</v>
      </c>
      <c r="AD106" s="417">
        <f t="shared" si="439"/>
        <v>-6.1527790894036594E-2</v>
      </c>
      <c r="AE106" s="417">
        <f t="shared" si="439"/>
        <v>-4.450214581689016E-2</v>
      </c>
      <c r="AF106" s="417">
        <f t="shared" si="439"/>
        <v>5.5371789869466559E-2</v>
      </c>
      <c r="AG106" s="417">
        <f t="shared" si="439"/>
        <v>8.3353091444215988E-3</v>
      </c>
      <c r="AH106" s="417">
        <f t="shared" si="439"/>
        <v>0.25780779123863717</v>
      </c>
      <c r="AI106" s="417">
        <f t="shared" si="439"/>
        <v>0.33356832730513331</v>
      </c>
      <c r="AJ106" s="417">
        <f t="shared" si="439"/>
        <v>0.29014037605842646</v>
      </c>
      <c r="AK106" s="417">
        <f t="shared" si="439"/>
        <v>-8.0598267752329034E-2</v>
      </c>
      <c r="AL106" s="417">
        <f t="shared" si="439"/>
        <v>0.1983992438531621</v>
      </c>
      <c r="AM106" s="417">
        <f t="shared" si="439"/>
        <v>0.28340175261206602</v>
      </c>
      <c r="AN106" s="417">
        <f t="shared" si="439"/>
        <v>0.23639716960464763</v>
      </c>
      <c r="AO106" s="417">
        <f t="shared" si="439"/>
        <v>0.57867477237178888</v>
      </c>
      <c r="AP106" s="417">
        <f t="shared" si="439"/>
        <v>1.4778781998816362</v>
      </c>
      <c r="AQ106" s="417">
        <f t="shared" si="439"/>
        <v>0.57388652140525753</v>
      </c>
      <c r="AR106" s="417">
        <f t="shared" si="439"/>
        <v>1.2182807062418806</v>
      </c>
      <c r="AS106" s="417"/>
      <c r="AT106" s="417"/>
      <c r="AU106" s="417"/>
      <c r="AV106" s="417">
        <f>AV105/AQ105-1</f>
        <v>0.63398692810457513</v>
      </c>
      <c r="AW106" s="417"/>
      <c r="AX106" s="417"/>
      <c r="AY106" s="417"/>
      <c r="AZ106" s="417"/>
      <c r="BA106" s="417">
        <f>BA105/AV105-1</f>
        <v>0.21428571428571419</v>
      </c>
      <c r="BB106" s="417"/>
      <c r="BC106" s="417"/>
      <c r="BD106" s="417"/>
      <c r="BE106" s="417"/>
      <c r="BF106" s="417">
        <f>BF105/BA105-1</f>
        <v>7.7291381668946668E-2</v>
      </c>
      <c r="BG106" s="417"/>
      <c r="BH106" s="417"/>
      <c r="BI106" s="417"/>
      <c r="BJ106" s="417"/>
      <c r="BK106" s="417">
        <f>BK105/BF105-1</f>
        <v>0.16514690982776092</v>
      </c>
      <c r="BL106" s="417"/>
      <c r="BM106" s="417"/>
      <c r="BN106" s="417"/>
      <c r="BO106" s="417"/>
      <c r="BP106" s="417">
        <f>BP105/BK105-1</f>
        <v>0.10237434474252227</v>
      </c>
      <c r="BQ106" s="417"/>
      <c r="BR106" s="417"/>
      <c r="BS106" s="417"/>
      <c r="BT106" s="417"/>
      <c r="BU106" s="417">
        <f>BU105/BP105-1</f>
        <v>8.6147894658533009E-2</v>
      </c>
      <c r="BV106" s="417"/>
      <c r="BW106" s="417"/>
      <c r="BX106" s="417"/>
      <c r="BY106" s="417"/>
      <c r="BZ106" s="417">
        <f>BZ105/BU105-1</f>
        <v>0.12940833576216848</v>
      </c>
      <c r="CA106" s="417"/>
      <c r="CB106" s="417"/>
      <c r="CC106" s="417"/>
      <c r="CD106" s="417"/>
      <c r="CE106" s="417">
        <f>CE105/BZ105-1</f>
        <v>0.14619080301990373</v>
      </c>
      <c r="CF106" s="417"/>
      <c r="CG106" s="417"/>
      <c r="CH106" s="417"/>
      <c r="CI106" s="417"/>
      <c r="CJ106" s="417">
        <f>CJ105/CE105-1</f>
        <v>7.6071957564785908E-2</v>
      </c>
      <c r="CK106" s="417"/>
      <c r="CL106" s="417"/>
      <c r="CM106" s="417"/>
      <c r="CN106" s="417"/>
      <c r="CO106" s="417">
        <f>CO105/CJ105-1</f>
        <v>-0.11978978927426376</v>
      </c>
      <c r="CP106" s="417">
        <f t="shared" ref="CP106:CR106" si="440">CP105/CO105-1</f>
        <v>0.15692125508388677</v>
      </c>
      <c r="CQ106" s="417">
        <f t="shared" si="440"/>
        <v>7.2101237286049669E-2</v>
      </c>
      <c r="CR106" s="417">
        <f t="shared" si="440"/>
        <v>6.7648733877883727E-2</v>
      </c>
      <c r="CS106" s="417">
        <f t="shared" ref="CS106" si="441">CS105/CR105-1</f>
        <v>6.3667909390060506E-2</v>
      </c>
      <c r="CT106" s="417">
        <f t="shared" ref="CT106" si="442">CT105/CS105-1</f>
        <v>6.0105672756843642E-2</v>
      </c>
      <c r="CU106" s="347"/>
      <c r="CV106" s="1363"/>
      <c r="CW106" s="347"/>
      <c r="CX106" s="347"/>
      <c r="CY106" s="347"/>
      <c r="CZ106" s="347"/>
      <c r="DA106" s="347"/>
    </row>
    <row r="107" spans="1:107">
      <c r="B107" s="407"/>
      <c r="C107" s="417"/>
      <c r="D107" s="417"/>
      <c r="E107" s="417"/>
      <c r="F107" s="417"/>
      <c r="G107" s="417"/>
      <c r="H107" s="417"/>
      <c r="I107" s="417"/>
      <c r="J107" s="417"/>
      <c r="K107" s="417"/>
      <c r="L107" s="417"/>
      <c r="M107" s="417"/>
      <c r="N107" s="417"/>
      <c r="O107" s="417"/>
      <c r="P107" s="417"/>
      <c r="Q107" s="417"/>
      <c r="R107" s="417"/>
      <c r="S107" s="417"/>
      <c r="T107" s="417"/>
      <c r="U107" s="417"/>
      <c r="V107" s="417"/>
      <c r="W107" s="417"/>
      <c r="X107" s="417"/>
      <c r="Y107" s="417"/>
      <c r="Z107" s="417"/>
      <c r="AA107" s="417"/>
      <c r="AB107" s="417"/>
      <c r="AC107" s="417"/>
      <c r="AD107" s="417"/>
      <c r="AE107" s="417"/>
      <c r="AF107" s="417"/>
      <c r="AG107" s="417"/>
      <c r="AH107" s="417"/>
      <c r="AI107" s="417"/>
      <c r="AJ107" s="417"/>
      <c r="AK107" s="417"/>
      <c r="AL107" s="417"/>
      <c r="AM107" s="417"/>
      <c r="AN107" s="417"/>
      <c r="AO107" s="417"/>
      <c r="AP107" s="417"/>
      <c r="AQ107" s="417"/>
      <c r="AR107" s="417"/>
      <c r="AS107" s="417"/>
      <c r="AT107" s="417"/>
      <c r="AU107" s="417"/>
      <c r="AV107" s="417"/>
      <c r="AW107" s="417"/>
      <c r="AX107" s="417"/>
      <c r="AY107" s="417"/>
      <c r="AZ107" s="417"/>
      <c r="BA107" s="417"/>
      <c r="BB107" s="417"/>
      <c r="BC107" s="417"/>
      <c r="BD107" s="417"/>
      <c r="BE107" s="417"/>
      <c r="BF107" s="417"/>
      <c r="BG107" s="417"/>
      <c r="BH107" s="417"/>
      <c r="BI107" s="417"/>
      <c r="BJ107" s="417"/>
      <c r="BK107" s="417"/>
      <c r="BL107" s="417"/>
      <c r="BM107" s="417"/>
      <c r="BN107" s="417"/>
      <c r="BO107" s="417"/>
      <c r="BP107" s="417"/>
      <c r="BQ107" s="417"/>
      <c r="BR107" s="417"/>
      <c r="BS107" s="417"/>
      <c r="BT107" s="417"/>
      <c r="BU107" s="417"/>
      <c r="BV107" s="417"/>
      <c r="BW107" s="417"/>
      <c r="BX107" s="417"/>
      <c r="BY107" s="417"/>
      <c r="BZ107" s="417"/>
      <c r="CA107" s="417"/>
      <c r="CB107" s="417"/>
      <c r="CC107" s="417"/>
      <c r="CD107" s="417"/>
      <c r="CE107" s="417"/>
      <c r="CF107" s="417"/>
      <c r="CG107" s="417"/>
      <c r="CH107" s="417"/>
      <c r="CI107" s="417"/>
      <c r="CJ107" s="417"/>
      <c r="CK107" s="417"/>
      <c r="CL107" s="417"/>
      <c r="CM107" s="417"/>
      <c r="CN107" s="417"/>
      <c r="CO107" s="417"/>
      <c r="CP107" s="417"/>
      <c r="CQ107" s="417"/>
      <c r="CR107" s="417"/>
      <c r="CS107" s="417"/>
      <c r="CT107" s="417"/>
      <c r="CU107" s="347"/>
      <c r="CV107" s="1363"/>
      <c r="CW107" s="347"/>
      <c r="CX107" s="347"/>
      <c r="CY107" s="347"/>
      <c r="CZ107" s="347"/>
      <c r="DA107" s="347"/>
    </row>
    <row r="108" spans="1:107">
      <c r="B108" s="407" t="s">
        <v>505</v>
      </c>
      <c r="C108" s="417"/>
      <c r="D108" s="417"/>
      <c r="E108" s="417"/>
      <c r="F108" s="417"/>
      <c r="G108" s="417"/>
      <c r="H108" s="417"/>
      <c r="I108" s="417"/>
      <c r="J108" s="417"/>
      <c r="K108" s="417"/>
      <c r="L108" s="417"/>
      <c r="M108" s="422"/>
      <c r="N108" s="422">
        <f t="shared" ref="N108:AP108" si="443">N142/N102</f>
        <v>0</v>
      </c>
      <c r="O108" s="422">
        <f t="shared" si="443"/>
        <v>0</v>
      </c>
      <c r="P108" s="422">
        <f t="shared" si="443"/>
        <v>0</v>
      </c>
      <c r="Q108" s="422">
        <f t="shared" si="443"/>
        <v>0</v>
      </c>
      <c r="R108" s="422">
        <f t="shared" si="443"/>
        <v>5.0792209068561286E-2</v>
      </c>
      <c r="S108" s="422">
        <f t="shared" si="443"/>
        <v>5.1050379270196893E-2</v>
      </c>
      <c r="T108" s="422">
        <f t="shared" si="443"/>
        <v>5.1085166936325442E-2</v>
      </c>
      <c r="U108" s="422">
        <f t="shared" si="443"/>
        <v>4.4510695676432843E-2</v>
      </c>
      <c r="V108" s="422">
        <f t="shared" si="443"/>
        <v>3.0912163224975715E-2</v>
      </c>
      <c r="W108" s="422">
        <f t="shared" si="443"/>
        <v>4.2370689655172412E-2</v>
      </c>
      <c r="X108" s="422">
        <f t="shared" si="443"/>
        <v>3.3148781732515537E-2</v>
      </c>
      <c r="Y108" s="422">
        <f t="shared" si="443"/>
        <v>3.8656003502944791E-2</v>
      </c>
      <c r="Z108" s="422">
        <f t="shared" si="443"/>
        <v>4.4017003317031095E-2</v>
      </c>
      <c r="AA108" s="422">
        <f t="shared" si="443"/>
        <v>4.2464192757869605E-2</v>
      </c>
      <c r="AB108" s="422">
        <f t="shared" si="443"/>
        <v>3.8430770990626036E-2</v>
      </c>
      <c r="AC108" s="422">
        <f t="shared" si="443"/>
        <v>3.4291458226491524E-2</v>
      </c>
      <c r="AD108" s="422">
        <f t="shared" si="443"/>
        <v>3.4131546989228753E-2</v>
      </c>
      <c r="AE108" s="422">
        <f t="shared" si="443"/>
        <v>3.6516125038847401E-2</v>
      </c>
      <c r="AF108" s="422">
        <f t="shared" si="443"/>
        <v>3.7820184272669033E-2</v>
      </c>
      <c r="AG108" s="422">
        <f t="shared" si="443"/>
        <v>3.5710550531775055E-2</v>
      </c>
      <c r="AH108" s="422">
        <f t="shared" si="443"/>
        <v>3.8501411708162257E-2</v>
      </c>
      <c r="AI108" s="422">
        <f t="shared" si="443"/>
        <v>4.1265472895692809E-2</v>
      </c>
      <c r="AJ108" s="422">
        <f t="shared" si="443"/>
        <v>4.4339650444962596E-2</v>
      </c>
      <c r="AK108" s="422">
        <f t="shared" si="443"/>
        <v>4.5629746915318126E-2</v>
      </c>
      <c r="AL108" s="422">
        <f t="shared" si="443"/>
        <v>4.399302820174042E-2</v>
      </c>
      <c r="AM108" s="422">
        <f t="shared" si="443"/>
        <v>4.6725467254672547E-2</v>
      </c>
      <c r="AN108" s="422">
        <f t="shared" si="443"/>
        <v>5.1818700005181864E-2</v>
      </c>
      <c r="AO108" s="422">
        <f t="shared" si="443"/>
        <v>8.0145205784187809E-2</v>
      </c>
      <c r="AP108" s="422">
        <f t="shared" si="443"/>
        <v>9.2101761353747993E-2</v>
      </c>
      <c r="AQ108" s="422">
        <f>AVERAGE(AM108:AP108)</f>
        <v>6.7697783599447545E-2</v>
      </c>
      <c r="AR108" s="422">
        <f>AR142/AR102</f>
        <v>0.10558000316845274</v>
      </c>
      <c r="AS108" s="422"/>
      <c r="AT108" s="422"/>
      <c r="AU108" s="422"/>
      <c r="AV108" s="422">
        <f>AV142/AV102</f>
        <v>9.8820871041715774E-2</v>
      </c>
      <c r="AW108" s="422"/>
      <c r="AX108" s="422"/>
      <c r="AY108" s="422"/>
      <c r="AZ108" s="422"/>
      <c r="BA108" s="423">
        <f>AV108*(1+BA109)</f>
        <v>8.3997740385458403E-2</v>
      </c>
      <c r="BB108" s="423"/>
      <c r="BC108" s="423"/>
      <c r="BD108" s="423"/>
      <c r="BE108" s="423"/>
      <c r="BF108" s="423">
        <f>BA108*(1+BF109)</f>
        <v>7.1398079327639641E-2</v>
      </c>
      <c r="BG108" s="423"/>
      <c r="BH108" s="423"/>
      <c r="BI108" s="423"/>
      <c r="BJ108" s="423"/>
      <c r="BK108" s="423">
        <f>BF108*(1+BK109)</f>
        <v>6.0688367428493692E-2</v>
      </c>
      <c r="BL108" s="423"/>
      <c r="BM108" s="423"/>
      <c r="BN108" s="423"/>
      <c r="BO108" s="423"/>
      <c r="BP108" s="423">
        <f>BK108*(1+BP109)</f>
        <v>5.1585112314219639E-2</v>
      </c>
      <c r="BQ108" s="423"/>
      <c r="BR108" s="423"/>
      <c r="BS108" s="423"/>
      <c r="BT108" s="423"/>
      <c r="BU108" s="423">
        <f>BP108*(1+BU109)</f>
        <v>4.3847345467086692E-2</v>
      </c>
      <c r="BV108" s="423"/>
      <c r="BW108" s="423"/>
      <c r="BX108" s="423"/>
      <c r="BY108" s="423"/>
      <c r="BZ108" s="423">
        <f>BU108*(1+BZ109)</f>
        <v>3.7270243647023686E-2</v>
      </c>
      <c r="CA108" s="423"/>
      <c r="CB108" s="423"/>
      <c r="CC108" s="423"/>
      <c r="CD108" s="423"/>
      <c r="CE108" s="423">
        <f>BZ108*(1+CE109)</f>
        <v>3.1679707099970131E-2</v>
      </c>
      <c r="CF108" s="423"/>
      <c r="CG108" s="423"/>
      <c r="CH108" s="423"/>
      <c r="CI108" s="423"/>
      <c r="CJ108" s="423">
        <f>CE108*(1+CJ109)</f>
        <v>3.1046112957970728E-2</v>
      </c>
      <c r="CK108" s="423"/>
      <c r="CL108" s="423"/>
      <c r="CM108" s="423"/>
      <c r="CN108" s="423"/>
      <c r="CO108" s="423">
        <f>CJ108*(1+CO109)</f>
        <v>3.0735651828391022E-2</v>
      </c>
      <c r="CP108" s="423">
        <f t="shared" ref="CP108:CR108" si="444">CO108*(1+CP109)</f>
        <v>3.0428295310107111E-2</v>
      </c>
      <c r="CQ108" s="423">
        <f t="shared" si="444"/>
        <v>3.0124012357006041E-2</v>
      </c>
      <c r="CR108" s="423">
        <f t="shared" si="444"/>
        <v>2.982277223343598E-2</v>
      </c>
      <c r="CS108" s="423">
        <f t="shared" ref="CS108" si="445">CR108*(1+CS109)</f>
        <v>2.9524544511101619E-2</v>
      </c>
      <c r="CT108" s="423">
        <f t="shared" ref="CT108" si="446">CS108*(1+CT109)</f>
        <v>2.9229299065990602E-2</v>
      </c>
      <c r="CU108" s="347"/>
      <c r="CV108" s="1363"/>
      <c r="CW108" s="347"/>
      <c r="CX108" s="347"/>
      <c r="CY108" s="347"/>
      <c r="CZ108" s="347"/>
      <c r="DA108" s="347"/>
    </row>
    <row r="109" spans="1:107">
      <c r="B109" s="407" t="str">
        <f>B106</f>
        <v>YOY Change</v>
      </c>
      <c r="C109" s="417"/>
      <c r="D109" s="417"/>
      <c r="E109" s="417"/>
      <c r="F109" s="417"/>
      <c r="G109" s="417"/>
      <c r="H109" s="417"/>
      <c r="I109" s="417"/>
      <c r="J109" s="417"/>
      <c r="K109" s="417"/>
      <c r="L109" s="417"/>
      <c r="M109" s="417"/>
      <c r="N109" s="417"/>
      <c r="O109" s="417"/>
      <c r="P109" s="417"/>
      <c r="Q109" s="417"/>
      <c r="R109" s="417"/>
      <c r="S109" s="417"/>
      <c r="T109" s="417"/>
      <c r="U109" s="417"/>
      <c r="V109" s="417"/>
      <c r="W109" s="417">
        <f t="shared" ref="W109:AR109" si="447">W108/R108-1</f>
        <v>-0.16580336960775188</v>
      </c>
      <c r="X109" s="417">
        <f t="shared" si="447"/>
        <v>-0.35066531911413779</v>
      </c>
      <c r="Y109" s="417">
        <f t="shared" si="447"/>
        <v>-0.24330278589228937</v>
      </c>
      <c r="Z109" s="417">
        <f t="shared" si="447"/>
        <v>-1.1091544445645307E-2</v>
      </c>
      <c r="AA109" s="417">
        <f t="shared" si="447"/>
        <v>0.37370498624827198</v>
      </c>
      <c r="AB109" s="417">
        <f t="shared" si="447"/>
        <v>-9.2986890150026369E-2</v>
      </c>
      <c r="AC109" s="417">
        <f t="shared" si="447"/>
        <v>3.4471145974427797E-2</v>
      </c>
      <c r="AD109" s="417">
        <f t="shared" si="447"/>
        <v>-0.11704408380890607</v>
      </c>
      <c r="AE109" s="417">
        <f t="shared" si="447"/>
        <v>-0.17040865376860959</v>
      </c>
      <c r="AF109" s="417">
        <f t="shared" si="447"/>
        <v>-0.1093629287075033</v>
      </c>
      <c r="AG109" s="417">
        <f t="shared" si="447"/>
        <v>-7.0782354575048556E-2</v>
      </c>
      <c r="AH109" s="417">
        <f t="shared" si="447"/>
        <v>0.12276974207000557</v>
      </c>
      <c r="AI109" s="417">
        <f t="shared" si="447"/>
        <v>0.20901267407291502</v>
      </c>
      <c r="AJ109" s="417">
        <f t="shared" si="447"/>
        <v>0.21424851070019613</v>
      </c>
      <c r="AK109" s="417">
        <f t="shared" si="447"/>
        <v>0.20649192469145938</v>
      </c>
      <c r="AL109" s="417">
        <f t="shared" si="447"/>
        <v>0.23193363156346924</v>
      </c>
      <c r="AM109" s="417">
        <f t="shared" si="447"/>
        <v>0.21360399999999991</v>
      </c>
      <c r="AN109" s="417">
        <f t="shared" si="447"/>
        <v>0.25573988055739871</v>
      </c>
      <c r="AO109" s="417">
        <f t="shared" si="447"/>
        <v>0.8075290395820669</v>
      </c>
      <c r="AP109" s="417">
        <f t="shared" si="447"/>
        <v>1.0184587375572094</v>
      </c>
      <c r="AQ109" s="417">
        <f t="shared" si="447"/>
        <v>0.53882981842039546</v>
      </c>
      <c r="AR109" s="417">
        <f t="shared" si="447"/>
        <v>1.2595815381149502</v>
      </c>
      <c r="AS109" s="417"/>
      <c r="AT109" s="417"/>
      <c r="AU109" s="417"/>
      <c r="AV109" s="417">
        <f>AV108/AQ108-1</f>
        <v>0.45973569277269832</v>
      </c>
      <c r="AW109" s="417"/>
      <c r="AX109" s="417"/>
      <c r="AY109" s="417"/>
      <c r="AZ109" s="417"/>
      <c r="BA109" s="424">
        <v>-0.15</v>
      </c>
      <c r="BB109" s="417"/>
      <c r="BC109" s="417"/>
      <c r="BD109" s="417"/>
      <c r="BE109" s="417"/>
      <c r="BF109" s="424">
        <v>-0.15</v>
      </c>
      <c r="BG109" s="417"/>
      <c r="BH109" s="417"/>
      <c r="BI109" s="417"/>
      <c r="BJ109" s="417"/>
      <c r="BK109" s="424">
        <v>-0.15</v>
      </c>
      <c r="BL109" s="417"/>
      <c r="BM109" s="417"/>
      <c r="BN109" s="417"/>
      <c r="BO109" s="417"/>
      <c r="BP109" s="424">
        <v>-0.15</v>
      </c>
      <c r="BQ109" s="417"/>
      <c r="BR109" s="417"/>
      <c r="BS109" s="417"/>
      <c r="BT109" s="417"/>
      <c r="BU109" s="424">
        <v>-0.15</v>
      </c>
      <c r="BV109" s="417"/>
      <c r="BW109" s="417"/>
      <c r="BX109" s="417"/>
      <c r="BY109" s="417"/>
      <c r="BZ109" s="424">
        <v>-0.15</v>
      </c>
      <c r="CA109" s="417"/>
      <c r="CB109" s="417"/>
      <c r="CC109" s="417"/>
      <c r="CD109" s="417"/>
      <c r="CE109" s="424">
        <v>-0.15</v>
      </c>
      <c r="CF109" s="417"/>
      <c r="CG109" s="417"/>
      <c r="CH109" s="417"/>
      <c r="CI109" s="417"/>
      <c r="CJ109" s="424">
        <v>-0.02</v>
      </c>
      <c r="CK109" s="417"/>
      <c r="CL109" s="417"/>
      <c r="CM109" s="417"/>
      <c r="CN109" s="417"/>
      <c r="CO109" s="424">
        <v>-0.01</v>
      </c>
      <c r="CP109" s="424">
        <v>-0.01</v>
      </c>
      <c r="CQ109" s="424">
        <v>-0.01</v>
      </c>
      <c r="CR109" s="424">
        <v>-0.01</v>
      </c>
      <c r="CS109" s="424">
        <v>-0.01</v>
      </c>
      <c r="CT109" s="424">
        <v>-0.01</v>
      </c>
      <c r="CU109" s="347"/>
      <c r="CV109" s="1363"/>
      <c r="CW109" s="347"/>
      <c r="CX109" s="347"/>
      <c r="CY109" s="347"/>
      <c r="CZ109" s="347"/>
      <c r="DA109" s="347"/>
    </row>
    <row r="110" spans="1:107">
      <c r="B110" s="414"/>
      <c r="C110" s="348"/>
      <c r="D110" s="348"/>
      <c r="E110" s="348"/>
      <c r="F110" s="348"/>
      <c r="G110" s="348"/>
      <c r="H110" s="348"/>
      <c r="I110" s="348"/>
      <c r="J110" s="348"/>
      <c r="K110" s="348"/>
      <c r="L110" s="348"/>
      <c r="M110" s="348"/>
      <c r="N110" s="348"/>
      <c r="O110" s="348"/>
      <c r="P110" s="348"/>
      <c r="Q110" s="348"/>
      <c r="R110" s="348"/>
      <c r="S110" s="348"/>
      <c r="T110" s="348"/>
      <c r="U110" s="348"/>
      <c r="V110" s="348"/>
      <c r="W110" s="348"/>
      <c r="X110" s="348"/>
      <c r="Y110" s="348"/>
      <c r="Z110" s="348"/>
      <c r="AA110" s="348"/>
      <c r="AB110" s="348"/>
      <c r="AC110" s="348"/>
      <c r="AD110" s="348"/>
      <c r="AE110" s="348"/>
      <c r="AF110" s="348"/>
      <c r="AG110" s="348"/>
      <c r="AH110" s="348"/>
      <c r="AI110" s="348"/>
      <c r="AJ110" s="348"/>
      <c r="AK110" s="348"/>
      <c r="AL110" s="348"/>
      <c r="AM110" s="348"/>
      <c r="AN110" s="348"/>
      <c r="AO110" s="348"/>
      <c r="AP110" s="348"/>
      <c r="AQ110" s="347"/>
      <c r="AR110" s="347"/>
      <c r="AS110" s="347"/>
      <c r="AT110" s="347"/>
      <c r="AU110" s="347"/>
      <c r="AV110" s="347"/>
      <c r="AW110" s="347"/>
      <c r="AX110" s="347"/>
      <c r="AY110" s="347"/>
      <c r="AZ110" s="347"/>
      <c r="BA110" s="347"/>
      <c r="BB110" s="347"/>
      <c r="BC110" s="347"/>
      <c r="BD110" s="347"/>
      <c r="BE110" s="347"/>
      <c r="BF110" s="347"/>
      <c r="BG110" s="347"/>
      <c r="BH110" s="347"/>
      <c r="BI110" s="347"/>
      <c r="BJ110" s="347"/>
      <c r="BK110" s="347"/>
      <c r="BL110" s="347"/>
      <c r="BM110" s="347"/>
      <c r="BN110" s="347"/>
      <c r="BO110" s="347"/>
      <c r="BP110" s="347"/>
      <c r="BQ110" s="347"/>
      <c r="BR110" s="347"/>
      <c r="BS110" s="347"/>
      <c r="BT110" s="347"/>
      <c r="BU110" s="347"/>
      <c r="BV110" s="347"/>
      <c r="BW110" s="347"/>
      <c r="BX110" s="347"/>
      <c r="BY110" s="347"/>
      <c r="BZ110" s="347"/>
      <c r="CA110" s="347"/>
      <c r="CB110" s="347"/>
      <c r="CC110" s="347"/>
      <c r="CD110" s="347"/>
      <c r="CE110" s="347"/>
      <c r="CF110" s="347"/>
      <c r="CG110" s="347"/>
      <c r="CH110" s="347"/>
      <c r="CI110" s="347"/>
      <c r="CJ110" s="347"/>
      <c r="CK110" s="347"/>
      <c r="CL110" s="347"/>
      <c r="CM110" s="347"/>
      <c r="CN110" s="347"/>
      <c r="CO110" s="347"/>
      <c r="CP110" s="347"/>
      <c r="CQ110" s="347"/>
      <c r="CR110" s="347"/>
      <c r="CS110" s="347"/>
      <c r="CT110" s="347"/>
      <c r="CU110" s="347"/>
      <c r="CV110" s="1363"/>
      <c r="CW110" s="347"/>
      <c r="CX110" s="347"/>
      <c r="CY110" s="347"/>
      <c r="CZ110" s="347"/>
      <c r="DA110" s="347"/>
    </row>
    <row r="111" spans="1:107">
      <c r="B111" s="414"/>
      <c r="C111" s="348"/>
      <c r="D111" s="348"/>
      <c r="E111" s="348"/>
      <c r="F111" s="348"/>
      <c r="G111" s="348"/>
      <c r="H111" s="348"/>
      <c r="I111" s="348"/>
      <c r="J111" s="348"/>
      <c r="K111" s="348"/>
      <c r="L111" s="348"/>
      <c r="M111" s="348"/>
      <c r="N111" s="348"/>
      <c r="O111" s="348"/>
      <c r="P111" s="348"/>
      <c r="Q111" s="348"/>
      <c r="R111" s="348"/>
      <c r="S111" s="348"/>
      <c r="T111" s="348"/>
      <c r="U111" s="348"/>
      <c r="V111" s="348"/>
      <c r="W111" s="348"/>
      <c r="X111" s="348"/>
      <c r="Y111" s="348"/>
      <c r="Z111" s="348"/>
      <c r="AA111" s="348"/>
      <c r="AB111" s="348"/>
      <c r="AC111" s="348"/>
      <c r="AD111" s="348"/>
      <c r="AE111" s="348"/>
      <c r="AF111" s="348"/>
      <c r="AG111" s="348"/>
      <c r="AH111" s="348"/>
      <c r="AI111" s="348"/>
      <c r="AJ111" s="348"/>
      <c r="AK111" s="348"/>
      <c r="AL111" s="348"/>
      <c r="AM111" s="348"/>
      <c r="AN111" s="348"/>
      <c r="AO111" s="348"/>
      <c r="AP111" s="348"/>
      <c r="AQ111" s="347"/>
      <c r="AR111" s="347"/>
      <c r="AS111" s="347"/>
      <c r="AT111" s="347"/>
      <c r="AU111" s="347"/>
      <c r="AV111" s="347"/>
      <c r="AW111" s="347"/>
      <c r="AX111" s="347"/>
      <c r="AY111" s="347"/>
      <c r="AZ111" s="347"/>
      <c r="BA111" s="347"/>
      <c r="BB111" s="347"/>
      <c r="BC111" s="347"/>
      <c r="BD111" s="347"/>
      <c r="BE111" s="347"/>
      <c r="BF111" s="347"/>
      <c r="BG111" s="347"/>
      <c r="BH111" s="347"/>
      <c r="BI111" s="347"/>
      <c r="BJ111" s="347"/>
      <c r="BK111" s="347"/>
      <c r="BL111" s="347"/>
      <c r="BM111" s="347"/>
      <c r="BN111" s="347"/>
      <c r="BO111" s="347"/>
      <c r="BP111" s="347"/>
      <c r="BQ111" s="347"/>
      <c r="BR111" s="347"/>
      <c r="BS111" s="347"/>
      <c r="BT111" s="347"/>
      <c r="BU111" s="347"/>
      <c r="BV111" s="347"/>
      <c r="BW111" s="347"/>
      <c r="BX111" s="347"/>
      <c r="BY111" s="347"/>
      <c r="BZ111" s="347"/>
      <c r="CA111" s="347"/>
      <c r="CB111" s="347"/>
      <c r="CC111" s="347"/>
      <c r="CD111" s="347"/>
      <c r="CE111" s="347"/>
      <c r="CF111" s="347"/>
      <c r="CG111" s="347"/>
      <c r="CH111" s="347"/>
      <c r="CI111" s="347"/>
      <c r="CJ111" s="347"/>
      <c r="CK111" s="347"/>
      <c r="CL111" s="347"/>
      <c r="CM111" s="347"/>
      <c r="CN111" s="347"/>
      <c r="CO111" s="347"/>
      <c r="CP111" s="347"/>
      <c r="CQ111" s="347"/>
      <c r="CR111" s="347"/>
      <c r="CS111" s="347"/>
      <c r="CT111" s="347"/>
      <c r="CU111" s="347"/>
      <c r="CV111" s="1363"/>
      <c r="CW111" s="347"/>
      <c r="CX111" s="347"/>
      <c r="CY111" s="347"/>
      <c r="CZ111" s="347"/>
      <c r="DA111" s="347"/>
    </row>
    <row r="112" spans="1:107">
      <c r="B112" s="414"/>
      <c r="C112" s="348"/>
      <c r="D112" s="348"/>
      <c r="E112" s="348"/>
      <c r="F112" s="348"/>
      <c r="G112" s="348"/>
      <c r="H112" s="348"/>
      <c r="I112" s="348"/>
      <c r="J112" s="348"/>
      <c r="K112" s="348"/>
      <c r="L112" s="348"/>
      <c r="M112" s="348"/>
      <c r="N112" s="348"/>
      <c r="O112" s="348"/>
      <c r="P112" s="348"/>
      <c r="Q112" s="348"/>
      <c r="R112" s="348"/>
      <c r="S112" s="348"/>
      <c r="T112" s="348"/>
      <c r="U112" s="348"/>
      <c r="V112" s="348"/>
      <c r="W112" s="348"/>
      <c r="X112" s="348"/>
      <c r="Y112" s="348"/>
      <c r="Z112" s="348"/>
      <c r="AA112" s="348"/>
      <c r="AB112" s="348"/>
      <c r="AC112" s="348"/>
      <c r="AD112" s="348"/>
      <c r="AE112" s="348"/>
      <c r="AF112" s="348"/>
      <c r="AG112" s="348"/>
      <c r="AH112" s="348"/>
      <c r="AI112" s="348"/>
      <c r="AJ112" s="348"/>
      <c r="AK112" s="348"/>
      <c r="AL112" s="348"/>
      <c r="AM112" s="348"/>
      <c r="AN112" s="348"/>
      <c r="AO112" s="348"/>
      <c r="AP112" s="348"/>
      <c r="AQ112" s="347"/>
      <c r="AR112" s="347"/>
      <c r="AS112" s="347"/>
      <c r="AT112" s="347"/>
      <c r="AU112" s="347"/>
      <c r="AV112" s="347"/>
      <c r="AW112" s="347"/>
      <c r="AX112" s="347"/>
      <c r="AY112" s="347"/>
      <c r="AZ112" s="347"/>
      <c r="BA112" s="347"/>
      <c r="BB112" s="347"/>
      <c r="BC112" s="347"/>
      <c r="BD112" s="347"/>
      <c r="BE112" s="347"/>
      <c r="BF112" s="347"/>
      <c r="BG112" s="347"/>
      <c r="BH112" s="347"/>
      <c r="BI112" s="347"/>
      <c r="BJ112" s="347"/>
      <c r="BK112" s="347"/>
      <c r="BL112" s="347"/>
      <c r="BM112" s="347"/>
      <c r="BN112" s="347"/>
      <c r="BO112" s="347"/>
      <c r="BP112" s="347"/>
      <c r="BQ112" s="347"/>
      <c r="BR112" s="347"/>
      <c r="BS112" s="347"/>
      <c r="BT112" s="347"/>
      <c r="BU112" s="347"/>
      <c r="BV112" s="347"/>
      <c r="BW112" s="347"/>
      <c r="BX112" s="347"/>
      <c r="BY112" s="347"/>
      <c r="BZ112" s="347"/>
      <c r="CA112" s="347"/>
      <c r="CB112" s="347"/>
      <c r="CC112" s="347"/>
      <c r="CD112" s="347"/>
      <c r="CE112" s="347"/>
      <c r="CF112" s="347"/>
      <c r="CG112" s="347"/>
      <c r="CH112" s="347"/>
      <c r="CI112" s="347"/>
      <c r="CJ112" s="347"/>
      <c r="CK112" s="347"/>
      <c r="CL112" s="347"/>
      <c r="CM112" s="347"/>
      <c r="CN112" s="347"/>
      <c r="CO112" s="347"/>
      <c r="CP112" s="347"/>
      <c r="CQ112" s="347"/>
      <c r="CR112" s="347"/>
      <c r="CS112" s="347"/>
      <c r="CT112" s="347"/>
      <c r="CU112" s="347"/>
      <c r="CV112" s="1363"/>
      <c r="CW112" s="347"/>
      <c r="CX112" s="347"/>
      <c r="CY112" s="347"/>
      <c r="CZ112" s="347"/>
      <c r="DA112" s="347"/>
    </row>
    <row r="113" spans="2:105">
      <c r="B113" s="383" t="s">
        <v>498</v>
      </c>
      <c r="C113" s="556">
        <f>C$4</f>
        <v>2007</v>
      </c>
      <c r="D113" s="556" t="str">
        <f t="shared" ref="D113:BO113" si="448">D$4</f>
        <v>Q1</v>
      </c>
      <c r="E113" s="556" t="str">
        <f t="shared" si="448"/>
        <v>Q2</v>
      </c>
      <c r="F113" s="556" t="str">
        <f t="shared" si="448"/>
        <v>Q3</v>
      </c>
      <c r="G113" s="556" t="str">
        <f t="shared" si="448"/>
        <v>Q4</v>
      </c>
      <c r="H113" s="556">
        <f t="shared" si="448"/>
        <v>2008</v>
      </c>
      <c r="I113" s="556" t="str">
        <f t="shared" si="448"/>
        <v>Q1</v>
      </c>
      <c r="J113" s="556" t="str">
        <f t="shared" si="448"/>
        <v>Q2</v>
      </c>
      <c r="K113" s="556" t="str">
        <f t="shared" si="448"/>
        <v>Q3</v>
      </c>
      <c r="L113" s="556" t="str">
        <f t="shared" si="448"/>
        <v>Q4</v>
      </c>
      <c r="M113" s="556">
        <f t="shared" si="448"/>
        <v>2009</v>
      </c>
      <c r="N113" s="556" t="str">
        <f t="shared" si="448"/>
        <v>Q1</v>
      </c>
      <c r="O113" s="556" t="str">
        <f t="shared" si="448"/>
        <v>Q2</v>
      </c>
      <c r="P113" s="556" t="str">
        <f t="shared" si="448"/>
        <v>Q3</v>
      </c>
      <c r="Q113" s="556" t="str">
        <f t="shared" si="448"/>
        <v>Q4</v>
      </c>
      <c r="R113" s="556">
        <f t="shared" si="448"/>
        <v>2010</v>
      </c>
      <c r="S113" s="556" t="str">
        <f t="shared" si="448"/>
        <v>Q1</v>
      </c>
      <c r="T113" s="556" t="str">
        <f t="shared" si="448"/>
        <v>Q2</v>
      </c>
      <c r="U113" s="556" t="str">
        <f t="shared" si="448"/>
        <v>Q3</v>
      </c>
      <c r="V113" s="556" t="str">
        <f t="shared" si="448"/>
        <v>Q4</v>
      </c>
      <c r="W113" s="556">
        <f t="shared" si="448"/>
        <v>2011</v>
      </c>
      <c r="X113" s="556" t="str">
        <f t="shared" si="448"/>
        <v>Q1</v>
      </c>
      <c r="Y113" s="556" t="str">
        <f t="shared" si="448"/>
        <v>Q2</v>
      </c>
      <c r="Z113" s="556" t="str">
        <f t="shared" si="448"/>
        <v>Q3</v>
      </c>
      <c r="AA113" s="556" t="str">
        <f t="shared" si="448"/>
        <v>Q4</v>
      </c>
      <c r="AB113" s="556">
        <f t="shared" si="448"/>
        <v>2012</v>
      </c>
      <c r="AC113" s="556" t="str">
        <f t="shared" si="448"/>
        <v>Q1</v>
      </c>
      <c r="AD113" s="556" t="str">
        <f t="shared" si="448"/>
        <v>Q2</v>
      </c>
      <c r="AE113" s="556" t="str">
        <f t="shared" si="448"/>
        <v>Q3</v>
      </c>
      <c r="AF113" s="556" t="str">
        <f t="shared" si="448"/>
        <v>Q4</v>
      </c>
      <c r="AG113" s="556">
        <f t="shared" si="448"/>
        <v>2013</v>
      </c>
      <c r="AH113" s="556" t="str">
        <f t="shared" si="448"/>
        <v>Q1</v>
      </c>
      <c r="AI113" s="556" t="str">
        <f t="shared" si="448"/>
        <v>Q2</v>
      </c>
      <c r="AJ113" s="556" t="str">
        <f t="shared" si="448"/>
        <v>Q3</v>
      </c>
      <c r="AK113" s="556" t="str">
        <f t="shared" si="448"/>
        <v>Q4</v>
      </c>
      <c r="AL113" s="556">
        <f t="shared" si="448"/>
        <v>2014</v>
      </c>
      <c r="AM113" s="556" t="str">
        <f t="shared" si="448"/>
        <v>Q1</v>
      </c>
      <c r="AN113" s="556" t="str">
        <f t="shared" si="448"/>
        <v>Q2</v>
      </c>
      <c r="AO113" s="556" t="str">
        <f t="shared" si="448"/>
        <v>Q3</v>
      </c>
      <c r="AP113" s="556" t="str">
        <f t="shared" si="448"/>
        <v>Q4</v>
      </c>
      <c r="AQ113" s="556">
        <f t="shared" si="448"/>
        <v>2015</v>
      </c>
      <c r="AR113" s="556" t="str">
        <f t="shared" si="448"/>
        <v>Q1</v>
      </c>
      <c r="AS113" s="556" t="str">
        <f t="shared" si="448"/>
        <v>Q2</v>
      </c>
      <c r="AT113" s="556" t="str">
        <f t="shared" si="448"/>
        <v>Q3</v>
      </c>
      <c r="AU113" s="556" t="str">
        <f t="shared" si="448"/>
        <v>Q4</v>
      </c>
      <c r="AV113" s="556">
        <f t="shared" si="448"/>
        <v>2016</v>
      </c>
      <c r="AW113" s="556" t="str">
        <f t="shared" si="448"/>
        <v>Q1</v>
      </c>
      <c r="AX113" s="556" t="str">
        <f t="shared" si="448"/>
        <v>Q2</v>
      </c>
      <c r="AY113" s="556" t="str">
        <f t="shared" si="448"/>
        <v>Q3</v>
      </c>
      <c r="AZ113" s="556" t="str">
        <f t="shared" si="448"/>
        <v>Q4</v>
      </c>
      <c r="BA113" s="556">
        <f t="shared" si="448"/>
        <v>2017</v>
      </c>
      <c r="BB113" s="556" t="str">
        <f t="shared" si="448"/>
        <v>Q1</v>
      </c>
      <c r="BC113" s="556" t="str">
        <f t="shared" si="448"/>
        <v>Q2</v>
      </c>
      <c r="BD113" s="556" t="str">
        <f t="shared" si="448"/>
        <v>Q3</v>
      </c>
      <c r="BE113" s="556" t="str">
        <f t="shared" si="448"/>
        <v>Q4</v>
      </c>
      <c r="BF113" s="556">
        <f t="shared" si="448"/>
        <v>2018</v>
      </c>
      <c r="BG113" s="556" t="str">
        <f t="shared" si="448"/>
        <v>Q1</v>
      </c>
      <c r="BH113" s="556" t="str">
        <f t="shared" si="448"/>
        <v>Q2</v>
      </c>
      <c r="BI113" s="556" t="str">
        <f t="shared" si="448"/>
        <v>Q3</v>
      </c>
      <c r="BJ113" s="556" t="str">
        <f t="shared" si="448"/>
        <v>Q4</v>
      </c>
      <c r="BK113" s="556">
        <f t="shared" si="448"/>
        <v>2019</v>
      </c>
      <c r="BL113" s="556" t="str">
        <f t="shared" si="448"/>
        <v>Q1</v>
      </c>
      <c r="BM113" s="556" t="str">
        <f t="shared" si="448"/>
        <v>Q2</v>
      </c>
      <c r="BN113" s="556" t="str">
        <f t="shared" si="448"/>
        <v>Q3</v>
      </c>
      <c r="BO113" s="556" t="str">
        <f t="shared" si="448"/>
        <v>Q4</v>
      </c>
      <c r="BP113" s="556">
        <f t="shared" ref="BP113:CT113" si="449">BP$4</f>
        <v>2020</v>
      </c>
      <c r="BQ113" s="556" t="str">
        <f t="shared" si="449"/>
        <v>Q1</v>
      </c>
      <c r="BR113" s="556" t="str">
        <f t="shared" si="449"/>
        <v>Q2</v>
      </c>
      <c r="BS113" s="556" t="str">
        <f t="shared" si="449"/>
        <v>Q3</v>
      </c>
      <c r="BT113" s="556" t="str">
        <f t="shared" si="449"/>
        <v>Q4</v>
      </c>
      <c r="BU113" s="556">
        <f t="shared" si="449"/>
        <v>2021</v>
      </c>
      <c r="BV113" s="556" t="str">
        <f t="shared" si="449"/>
        <v>Q1</v>
      </c>
      <c r="BW113" s="556" t="str">
        <f t="shared" si="449"/>
        <v>Q2</v>
      </c>
      <c r="BX113" s="556" t="str">
        <f t="shared" si="449"/>
        <v>Q3</v>
      </c>
      <c r="BY113" s="556" t="str">
        <f t="shared" si="449"/>
        <v>Q4</v>
      </c>
      <c r="BZ113" s="556">
        <f t="shared" si="449"/>
        <v>2022</v>
      </c>
      <c r="CA113" s="556" t="str">
        <f t="shared" si="449"/>
        <v>Q1</v>
      </c>
      <c r="CB113" s="556" t="str">
        <f t="shared" si="449"/>
        <v>Q2</v>
      </c>
      <c r="CC113" s="556" t="str">
        <f t="shared" si="449"/>
        <v>Q3</v>
      </c>
      <c r="CD113" s="556" t="str">
        <f t="shared" si="449"/>
        <v>Q4</v>
      </c>
      <c r="CE113" s="556">
        <f t="shared" si="449"/>
        <v>2023</v>
      </c>
      <c r="CF113" s="556" t="str">
        <f t="shared" si="449"/>
        <v>Q1</v>
      </c>
      <c r="CG113" s="556" t="str">
        <f t="shared" si="449"/>
        <v>Q2</v>
      </c>
      <c r="CH113" s="556" t="str">
        <f t="shared" si="449"/>
        <v>Q3</v>
      </c>
      <c r="CI113" s="556" t="str">
        <f t="shared" si="449"/>
        <v>Q4</v>
      </c>
      <c r="CJ113" s="556">
        <f t="shared" si="449"/>
        <v>2024</v>
      </c>
      <c r="CK113" s="556" t="str">
        <f t="shared" si="449"/>
        <v>Q1</v>
      </c>
      <c r="CL113" s="556" t="str">
        <f t="shared" si="449"/>
        <v>Q2</v>
      </c>
      <c r="CM113" s="556" t="str">
        <f t="shared" si="449"/>
        <v>Q3</v>
      </c>
      <c r="CN113" s="556"/>
      <c r="CO113" s="556">
        <f t="shared" si="449"/>
        <v>2025</v>
      </c>
      <c r="CP113" s="556">
        <f t="shared" si="449"/>
        <v>2026</v>
      </c>
      <c r="CQ113" s="556">
        <f t="shared" si="449"/>
        <v>2027</v>
      </c>
      <c r="CR113" s="556">
        <f t="shared" si="449"/>
        <v>2028</v>
      </c>
      <c r="CS113" s="556">
        <f t="shared" si="449"/>
        <v>2029</v>
      </c>
      <c r="CT113" s="556">
        <f t="shared" si="449"/>
        <v>2030</v>
      </c>
      <c r="CU113" s="347"/>
      <c r="CV113" s="1363"/>
      <c r="CW113" s="347"/>
      <c r="CX113" s="347"/>
      <c r="CY113" s="347"/>
      <c r="CZ113" s="347"/>
      <c r="DA113" s="347"/>
    </row>
    <row r="114" spans="2:105">
      <c r="B114" s="407" t="s">
        <v>549</v>
      </c>
      <c r="C114" s="348"/>
      <c r="D114" s="348"/>
      <c r="E114" s="348"/>
      <c r="F114" s="348"/>
      <c r="G114" s="348"/>
      <c r="H114" s="348"/>
      <c r="I114" s="348"/>
      <c r="J114" s="348"/>
      <c r="K114" s="348"/>
      <c r="L114" s="348"/>
      <c r="M114" s="348"/>
      <c r="N114" s="348"/>
      <c r="O114" s="348"/>
      <c r="P114" s="348"/>
      <c r="Q114" s="348"/>
      <c r="R114" s="348"/>
      <c r="S114" s="348"/>
      <c r="T114" s="348"/>
      <c r="U114" s="348"/>
      <c r="V114" s="348"/>
      <c r="W114" s="348"/>
      <c r="X114" s="348"/>
      <c r="Y114" s="348"/>
      <c r="Z114" s="348"/>
      <c r="AA114" s="348"/>
      <c r="AB114" s="348"/>
      <c r="AC114" s="347">
        <f t="shared" ref="AC114:AR114" si="450">AC104</f>
        <v>8356.8330000000005</v>
      </c>
      <c r="AD114" s="347">
        <f t="shared" si="450"/>
        <v>8378.4599999999991</v>
      </c>
      <c r="AE114" s="347">
        <f t="shared" si="450"/>
        <v>8336.25</v>
      </c>
      <c r="AF114" s="347">
        <f t="shared" si="450"/>
        <v>8379.6479999999992</v>
      </c>
      <c r="AG114" s="347">
        <f t="shared" si="450"/>
        <v>33845.175000000003</v>
      </c>
      <c r="AH114" s="347">
        <f t="shared" si="450"/>
        <v>8172.18</v>
      </c>
      <c r="AI114" s="347">
        <f t="shared" si="450"/>
        <v>8203.1820000000007</v>
      </c>
      <c r="AJ114" s="347">
        <f t="shared" si="450"/>
        <v>8409.7440000000006</v>
      </c>
      <c r="AK114" s="347">
        <f t="shared" si="450"/>
        <v>8468.9519999999993</v>
      </c>
      <c r="AL114" s="347">
        <f t="shared" si="450"/>
        <v>33539.94</v>
      </c>
      <c r="AM114" s="347">
        <f t="shared" si="450"/>
        <v>8146.98</v>
      </c>
      <c r="AN114" s="347">
        <f t="shared" si="450"/>
        <v>8462.16</v>
      </c>
      <c r="AO114" s="347">
        <f t="shared" si="450"/>
        <v>7963.11</v>
      </c>
      <c r="AP114" s="347">
        <f t="shared" si="450"/>
        <v>7889.7</v>
      </c>
      <c r="AQ114" s="347">
        <f t="shared" si="450"/>
        <v>32940.706837500002</v>
      </c>
      <c r="AR114" s="347">
        <f t="shared" si="450"/>
        <v>7962.0555000000004</v>
      </c>
      <c r="AS114" s="347"/>
      <c r="AT114" s="347"/>
      <c r="AU114" s="347"/>
      <c r="AV114" s="347">
        <f>AV104</f>
        <v>75388.932737246287</v>
      </c>
      <c r="AW114" s="347"/>
      <c r="AX114" s="347"/>
      <c r="AY114" s="347"/>
      <c r="AZ114" s="347"/>
      <c r="BA114" s="347">
        <f>BA104</f>
        <v>68148.187785081391</v>
      </c>
      <c r="BB114" s="347"/>
      <c r="BC114" s="347"/>
      <c r="BD114" s="347"/>
      <c r="BE114" s="347"/>
      <c r="BF114" s="347">
        <f>BF104</f>
        <v>63530.466580764281</v>
      </c>
      <c r="BG114" s="347"/>
      <c r="BH114" s="347"/>
      <c r="BI114" s="347"/>
      <c r="BJ114" s="347"/>
      <c r="BK114" s="347">
        <f t="shared" ref="BK114:CR114" si="451">BK104</f>
        <v>61481.550426093127</v>
      </c>
      <c r="BL114" s="347"/>
      <c r="BM114" s="347"/>
      <c r="BN114" s="347"/>
      <c r="BO114" s="347"/>
      <c r="BP114" s="347">
        <f t="shared" si="451"/>
        <v>59341.044906150986</v>
      </c>
      <c r="BQ114" s="347"/>
      <c r="BR114" s="347"/>
      <c r="BS114" s="347"/>
      <c r="BT114" s="347"/>
      <c r="BU114" s="347">
        <f t="shared" ref="BU114" si="452">BU104</f>
        <v>56369.590890342501</v>
      </c>
      <c r="BV114" s="347"/>
      <c r="BW114" s="347"/>
      <c r="BX114" s="347"/>
      <c r="BY114" s="347"/>
      <c r="BZ114" s="347">
        <f t="shared" ref="BZ114" si="453">BZ104</f>
        <v>52808.960410839041</v>
      </c>
      <c r="CA114" s="347"/>
      <c r="CB114" s="347"/>
      <c r="CC114" s="347"/>
      <c r="CD114" s="347"/>
      <c r="CE114" s="347">
        <f t="shared" ref="CE114" si="454">CE104</f>
        <v>49464.07261425961</v>
      </c>
      <c r="CF114" s="347"/>
      <c r="CG114" s="347"/>
      <c r="CH114" s="347"/>
      <c r="CI114" s="347"/>
      <c r="CJ114" s="347">
        <f t="shared" si="451"/>
        <v>47321.977184402778</v>
      </c>
      <c r="CK114" s="347"/>
      <c r="CL114" s="347"/>
      <c r="CM114" s="347"/>
      <c r="CN114" s="347"/>
      <c r="CO114" s="347">
        <f t="shared" si="451"/>
        <v>64018.63064232398</v>
      </c>
      <c r="CP114" s="347">
        <f t="shared" si="451"/>
        <v>61725.338270839813</v>
      </c>
      <c r="CQ114" s="347">
        <f t="shared" si="451"/>
        <v>60153.085423802935</v>
      </c>
      <c r="CR114" s="347">
        <f t="shared" si="451"/>
        <v>58859.976902713162</v>
      </c>
      <c r="CS114" s="347">
        <f t="shared" ref="CS114:CT114" si="455">CS104</f>
        <v>57805.118316507454</v>
      </c>
      <c r="CT114" s="347">
        <f t="shared" si="455"/>
        <v>56955.071246095307</v>
      </c>
      <c r="CU114" s="347"/>
      <c r="CV114" s="1363"/>
      <c r="CW114" s="347"/>
      <c r="CX114" s="347"/>
      <c r="CY114" s="347"/>
      <c r="CZ114" s="347"/>
      <c r="DA114" s="347"/>
    </row>
    <row r="115" spans="2:105">
      <c r="B115" s="407" t="s">
        <v>550</v>
      </c>
      <c r="C115" s="348"/>
      <c r="D115" s="348"/>
      <c r="E115" s="348"/>
      <c r="F115" s="348"/>
      <c r="G115" s="348"/>
      <c r="H115" s="348"/>
      <c r="I115" s="348"/>
      <c r="J115" s="348"/>
      <c r="K115" s="348"/>
      <c r="L115" s="348"/>
      <c r="M115" s="348"/>
      <c r="N115" s="348"/>
      <c r="O115" s="348"/>
      <c r="P115" s="348"/>
      <c r="Q115" s="348"/>
      <c r="R115" s="348"/>
      <c r="S115" s="348"/>
      <c r="T115" s="348"/>
      <c r="U115" s="348"/>
      <c r="V115" s="348"/>
      <c r="W115" s="348"/>
      <c r="X115" s="348"/>
      <c r="Y115" s="348"/>
      <c r="Z115" s="348"/>
      <c r="AA115" s="348"/>
      <c r="AB115" s="348"/>
      <c r="AC115" s="351">
        <f t="shared" ref="AC115:AR115" si="456">AC216</f>
        <v>749</v>
      </c>
      <c r="AD115" s="351">
        <f t="shared" si="456"/>
        <v>773</v>
      </c>
      <c r="AE115" s="351">
        <f t="shared" si="456"/>
        <v>770</v>
      </c>
      <c r="AF115" s="351">
        <f t="shared" si="456"/>
        <v>741</v>
      </c>
      <c r="AG115" s="351">
        <f t="shared" si="456"/>
        <v>3033</v>
      </c>
      <c r="AH115" s="351">
        <f t="shared" si="456"/>
        <v>783</v>
      </c>
      <c r="AI115" s="351">
        <f t="shared" si="456"/>
        <v>773</v>
      </c>
      <c r="AJ115" s="351">
        <f t="shared" si="456"/>
        <v>761</v>
      </c>
      <c r="AK115" s="351">
        <f t="shared" si="456"/>
        <v>690</v>
      </c>
      <c r="AL115" s="351">
        <f t="shared" si="456"/>
        <v>3007</v>
      </c>
      <c r="AM115" s="351">
        <f t="shared" si="456"/>
        <v>642</v>
      </c>
      <c r="AN115" s="351">
        <f t="shared" si="456"/>
        <v>614</v>
      </c>
      <c r="AO115" s="351">
        <f t="shared" si="456"/>
        <v>581</v>
      </c>
      <c r="AP115" s="351">
        <f t="shared" si="456"/>
        <v>548</v>
      </c>
      <c r="AQ115" s="351">
        <f t="shared" si="456"/>
        <v>2385</v>
      </c>
      <c r="AR115" s="351">
        <f t="shared" si="456"/>
        <v>481</v>
      </c>
      <c r="AS115" s="351"/>
      <c r="AT115" s="351"/>
      <c r="AU115" s="351"/>
      <c r="AV115" s="351">
        <f>AV216</f>
        <v>1744</v>
      </c>
      <c r="AW115" s="347"/>
      <c r="AX115" s="347"/>
      <c r="AY115" s="347"/>
      <c r="AZ115" s="347"/>
      <c r="BA115" s="347">
        <f>BA114*BA116/1000</f>
        <v>1340.0225988700568</v>
      </c>
      <c r="BB115" s="347"/>
      <c r="BC115" s="347"/>
      <c r="BD115" s="347"/>
      <c r="BE115" s="347"/>
      <c r="BF115" s="347">
        <f t="shared" ref="BF115:CR115" si="457">BF114*BF116/1000</f>
        <v>1061.8392674350284</v>
      </c>
      <c r="BG115" s="347"/>
      <c r="BH115" s="347"/>
      <c r="BI115" s="347"/>
      <c r="BJ115" s="347"/>
      <c r="BK115" s="347">
        <f t="shared" si="457"/>
        <v>950.52442364094929</v>
      </c>
      <c r="BL115" s="347"/>
      <c r="BM115" s="347"/>
      <c r="BN115" s="347"/>
      <c r="BO115" s="347"/>
      <c r="BP115" s="347">
        <f t="shared" si="457"/>
        <v>871.55994783673486</v>
      </c>
      <c r="BQ115" s="347"/>
      <c r="BR115" s="347"/>
      <c r="BS115" s="347"/>
      <c r="BT115" s="347"/>
      <c r="BU115" s="347">
        <f t="shared" ref="BU115" si="458">BU114*BU116/1000</f>
        <v>786.52143528953707</v>
      </c>
      <c r="BV115" s="347"/>
      <c r="BW115" s="347"/>
      <c r="BX115" s="347"/>
      <c r="BY115" s="347"/>
      <c r="BZ115" s="347">
        <f t="shared" ref="BZ115" si="459">BZ114*BZ116/1000</f>
        <v>699.99816830882162</v>
      </c>
      <c r="CA115" s="347"/>
      <c r="CB115" s="347"/>
      <c r="CC115" s="347"/>
      <c r="CD115" s="347"/>
      <c r="CE115" s="347">
        <f t="shared" ref="CE115" si="460">CE114*CE116/1000</f>
        <v>622.87766999804569</v>
      </c>
      <c r="CF115" s="347"/>
      <c r="CG115" s="347"/>
      <c r="CH115" s="347"/>
      <c r="CI115" s="347"/>
      <c r="CJ115" s="347">
        <f t="shared" si="457"/>
        <v>566.10811168494286</v>
      </c>
      <c r="CK115" s="347"/>
      <c r="CL115" s="347"/>
      <c r="CM115" s="347"/>
      <c r="CN115" s="347"/>
      <c r="CO115" s="347">
        <f t="shared" si="457"/>
        <v>727.55609230230152</v>
      </c>
      <c r="CP115" s="347">
        <f t="shared" si="457"/>
        <v>666.41871569095906</v>
      </c>
      <c r="CQ115" s="347">
        <f t="shared" si="457"/>
        <v>616.97166679313841</v>
      </c>
      <c r="CR115" s="347">
        <f t="shared" si="457"/>
        <v>573.52321848759891</v>
      </c>
      <c r="CS115" s="347">
        <f t="shared" ref="CS115:CT115" si="461">CS114*CS116/1000</f>
        <v>535.08258555553493</v>
      </c>
      <c r="CT115" s="347">
        <f t="shared" si="461"/>
        <v>500.85328577987781</v>
      </c>
      <c r="CU115" s="347"/>
      <c r="CV115" s="1363"/>
      <c r="CW115" s="347"/>
      <c r="CX115" s="347"/>
      <c r="CY115" s="347"/>
      <c r="CZ115" s="347"/>
      <c r="DA115" s="347"/>
    </row>
    <row r="116" spans="2:105">
      <c r="B116" s="407" t="s">
        <v>551</v>
      </c>
      <c r="C116" s="348"/>
      <c r="D116" s="348"/>
      <c r="E116" s="348"/>
      <c r="F116" s="348"/>
      <c r="G116" s="348"/>
      <c r="H116" s="348"/>
      <c r="I116" s="348"/>
      <c r="J116" s="348"/>
      <c r="K116" s="348"/>
      <c r="L116" s="348"/>
      <c r="M116" s="348"/>
      <c r="N116" s="348"/>
      <c r="O116" s="348"/>
      <c r="P116" s="348"/>
      <c r="Q116" s="348"/>
      <c r="R116" s="348"/>
      <c r="S116" s="348"/>
      <c r="T116" s="348"/>
      <c r="U116" s="348"/>
      <c r="V116" s="348"/>
      <c r="W116" s="348"/>
      <c r="X116" s="348"/>
      <c r="Y116" s="348"/>
      <c r="Z116" s="348"/>
      <c r="AA116" s="348"/>
      <c r="AB116" s="348"/>
      <c r="AC116" s="347">
        <f t="shared" ref="AC116:AK116" si="462">AC115*1000/AC114</f>
        <v>89.627254726760725</v>
      </c>
      <c r="AD116" s="347">
        <f t="shared" si="462"/>
        <v>92.260391527798674</v>
      </c>
      <c r="AE116" s="347">
        <f t="shared" si="462"/>
        <v>92.367671315039729</v>
      </c>
      <c r="AF116" s="347">
        <f t="shared" si="462"/>
        <v>88.428535422967656</v>
      </c>
      <c r="AG116" s="347">
        <f t="shared" si="462"/>
        <v>89.613955312684894</v>
      </c>
      <c r="AH116" s="347">
        <f t="shared" si="462"/>
        <v>95.812867557983296</v>
      </c>
      <c r="AI116" s="347">
        <f t="shared" si="462"/>
        <v>94.231726176500771</v>
      </c>
      <c r="AJ116" s="347">
        <f t="shared" si="462"/>
        <v>90.490269382754093</v>
      </c>
      <c r="AK116" s="347">
        <f t="shared" si="462"/>
        <v>81.474071408127003</v>
      </c>
      <c r="AL116" s="347">
        <f t="shared" ref="AL116:AQ116" si="463">AL115*1000/AL114</f>
        <v>89.654304688678621</v>
      </c>
      <c r="AM116" s="347">
        <f t="shared" si="463"/>
        <v>78.802206461780941</v>
      </c>
      <c r="AN116" s="347">
        <f t="shared" si="463"/>
        <v>72.558306626204185</v>
      </c>
      <c r="AO116" s="347">
        <f t="shared" si="463"/>
        <v>72.961443456137118</v>
      </c>
      <c r="AP116" s="347">
        <f t="shared" si="463"/>
        <v>69.457647312318599</v>
      </c>
      <c r="AQ116" s="347">
        <f t="shared" si="463"/>
        <v>72.402817940897805</v>
      </c>
      <c r="AR116" s="347">
        <f>AR115*1000/AR114</f>
        <v>60.411535689496262</v>
      </c>
      <c r="AS116" s="347"/>
      <c r="AT116" s="347"/>
      <c r="AU116" s="347"/>
      <c r="AV116" s="347">
        <f>AV115*1000/AV114</f>
        <v>23.13336900627548</v>
      </c>
      <c r="AW116" s="347"/>
      <c r="AX116" s="347"/>
      <c r="AY116" s="347"/>
      <c r="AZ116" s="347"/>
      <c r="BA116" s="347">
        <f>AV116*(1+BA117)</f>
        <v>19.663363655334159</v>
      </c>
      <c r="BB116" s="347"/>
      <c r="BC116" s="347"/>
      <c r="BD116" s="347"/>
      <c r="BE116" s="347"/>
      <c r="BF116" s="347">
        <f>BA116*(1+BF117)</f>
        <v>16.713859107034036</v>
      </c>
      <c r="BG116" s="347"/>
      <c r="BH116" s="347"/>
      <c r="BI116" s="347"/>
      <c r="BJ116" s="347"/>
      <c r="BK116" s="347">
        <f>BF116*(1+BK117)</f>
        <v>15.460319674006485</v>
      </c>
      <c r="BL116" s="347"/>
      <c r="BM116" s="347"/>
      <c r="BN116" s="347"/>
      <c r="BO116" s="347"/>
      <c r="BP116" s="347">
        <f>BK116*(1+BP117)</f>
        <v>14.687303690306159</v>
      </c>
      <c r="BQ116" s="347"/>
      <c r="BR116" s="347"/>
      <c r="BS116" s="347"/>
      <c r="BT116" s="347"/>
      <c r="BU116" s="347">
        <f>BP116*(1+BU117)</f>
        <v>13.952938505790851</v>
      </c>
      <c r="BV116" s="347"/>
      <c r="BW116" s="347"/>
      <c r="BX116" s="347"/>
      <c r="BY116" s="347"/>
      <c r="BZ116" s="347">
        <f>BU116*(1+BZ117)</f>
        <v>13.255291580501307</v>
      </c>
      <c r="CA116" s="347"/>
      <c r="CB116" s="347"/>
      <c r="CC116" s="347"/>
      <c r="CD116" s="347"/>
      <c r="CE116" s="347">
        <f>BZ116*(1+CE117)</f>
        <v>12.592527001476242</v>
      </c>
      <c r="CF116" s="347"/>
      <c r="CG116" s="347"/>
      <c r="CH116" s="347"/>
      <c r="CI116" s="347"/>
      <c r="CJ116" s="347">
        <f>CE116*(1+CJ117)</f>
        <v>11.962900651402428</v>
      </c>
      <c r="CK116" s="347"/>
      <c r="CL116" s="347"/>
      <c r="CM116" s="347"/>
      <c r="CN116" s="347"/>
      <c r="CO116" s="347">
        <f>CJ116*(1+CO117)</f>
        <v>11.364755618832307</v>
      </c>
      <c r="CP116" s="347">
        <f t="shared" ref="CP116:CR116" si="464">CO116*(1+CP117)</f>
        <v>10.796517837890692</v>
      </c>
      <c r="CQ116" s="347">
        <f t="shared" si="464"/>
        <v>10.256691945996156</v>
      </c>
      <c r="CR116" s="347">
        <f t="shared" si="464"/>
        <v>9.7438573486963485</v>
      </c>
      <c r="CS116" s="347">
        <f t="shared" ref="CS116" si="465">CR116*(1+CS117)</f>
        <v>9.2566644812615309</v>
      </c>
      <c r="CT116" s="347">
        <f t="shared" ref="CT116" si="466">CS116*(1+CT117)</f>
        <v>8.7938312571984536</v>
      </c>
      <c r="CU116" s="347"/>
      <c r="CV116" s="1363"/>
      <c r="CW116" s="347"/>
      <c r="CX116" s="347"/>
      <c r="CY116" s="347"/>
      <c r="CZ116" s="347"/>
      <c r="DA116" s="347"/>
    </row>
    <row r="117" spans="2:105">
      <c r="B117" s="407" t="s">
        <v>552</v>
      </c>
      <c r="C117" s="348"/>
      <c r="D117" s="348"/>
      <c r="E117" s="348"/>
      <c r="F117" s="348"/>
      <c r="G117" s="348"/>
      <c r="H117" s="348"/>
      <c r="I117" s="348"/>
      <c r="J117" s="348"/>
      <c r="K117" s="348"/>
      <c r="L117" s="348"/>
      <c r="M117" s="348"/>
      <c r="N117" s="348"/>
      <c r="O117" s="348"/>
      <c r="P117" s="348"/>
      <c r="Q117" s="348"/>
      <c r="R117" s="348"/>
      <c r="S117" s="348"/>
      <c r="T117" s="348"/>
      <c r="U117" s="348"/>
      <c r="V117" s="348"/>
      <c r="W117" s="348"/>
      <c r="X117" s="348"/>
      <c r="Y117" s="348"/>
      <c r="Z117" s="348"/>
      <c r="AA117" s="348"/>
      <c r="AB117" s="348"/>
      <c r="AC117" s="347"/>
      <c r="AD117" s="347"/>
      <c r="AE117" s="347"/>
      <c r="AF117" s="347"/>
      <c r="AG117" s="353">
        <f>AG116/AC116-1</f>
        <v>-1.4838582433851499E-4</v>
      </c>
      <c r="AH117" s="353">
        <f t="shared" ref="AH117:AV117" si="467">AH116/AD116-1</f>
        <v>3.8504887865278947E-2</v>
      </c>
      <c r="AI117" s="353">
        <f t="shared" si="467"/>
        <v>2.0180814725785146E-2</v>
      </c>
      <c r="AJ117" s="353">
        <f t="shared" si="467"/>
        <v>2.3315256211412283E-2</v>
      </c>
      <c r="AK117" s="353">
        <f t="shared" si="467"/>
        <v>-9.0832771259296119E-2</v>
      </c>
      <c r="AL117" s="353">
        <f t="shared" si="467"/>
        <v>-6.4276991455011867E-2</v>
      </c>
      <c r="AM117" s="353">
        <f t="shared" si="467"/>
        <v>-0.16374017903290405</v>
      </c>
      <c r="AN117" s="353">
        <f t="shared" si="467"/>
        <v>-0.19816454165587261</v>
      </c>
      <c r="AO117" s="353">
        <f t="shared" si="467"/>
        <v>-0.1044826630713922</v>
      </c>
      <c r="AP117" s="353">
        <f t="shared" si="467"/>
        <v>-0.22527258949240858</v>
      </c>
      <c r="AQ117" s="353">
        <f t="shared" si="467"/>
        <v>-8.1208240330006953E-2</v>
      </c>
      <c r="AR117" s="353">
        <f t="shared" si="467"/>
        <v>-0.16740703444588323</v>
      </c>
      <c r="AS117" s="353"/>
      <c r="AT117" s="353"/>
      <c r="AU117" s="353"/>
      <c r="AV117" s="353">
        <f t="shared" si="467"/>
        <v>-0.61707033694398084</v>
      </c>
      <c r="AW117" s="347"/>
      <c r="AX117" s="347"/>
      <c r="AY117" s="347"/>
      <c r="AZ117" s="347"/>
      <c r="BA117" s="425">
        <v>-0.15</v>
      </c>
      <c r="BB117" s="426"/>
      <c r="BC117" s="426"/>
      <c r="BD117" s="426"/>
      <c r="BE117" s="426"/>
      <c r="BF117" s="425">
        <v>-0.15</v>
      </c>
      <c r="BG117" s="426"/>
      <c r="BH117" s="426"/>
      <c r="BI117" s="426"/>
      <c r="BJ117" s="426"/>
      <c r="BK117" s="425">
        <v>-7.4999999999999997E-2</v>
      </c>
      <c r="BL117" s="426"/>
      <c r="BM117" s="426"/>
      <c r="BN117" s="426"/>
      <c r="BO117" s="426"/>
      <c r="BP117" s="425">
        <v>-0.05</v>
      </c>
      <c r="BQ117" s="426"/>
      <c r="BR117" s="426"/>
      <c r="BS117" s="426"/>
      <c r="BT117" s="426"/>
      <c r="BU117" s="425">
        <v>-0.05</v>
      </c>
      <c r="BV117" s="426"/>
      <c r="BW117" s="426"/>
      <c r="BX117" s="426"/>
      <c r="BY117" s="426"/>
      <c r="BZ117" s="425">
        <v>-0.05</v>
      </c>
      <c r="CA117" s="426"/>
      <c r="CB117" s="426"/>
      <c r="CC117" s="426"/>
      <c r="CD117" s="426"/>
      <c r="CE117" s="425">
        <v>-0.05</v>
      </c>
      <c r="CF117" s="426"/>
      <c r="CG117" s="426"/>
      <c r="CH117" s="426"/>
      <c r="CI117" s="426"/>
      <c r="CJ117" s="425">
        <f>CE117</f>
        <v>-0.05</v>
      </c>
      <c r="CK117" s="426"/>
      <c r="CL117" s="426"/>
      <c r="CM117" s="426"/>
      <c r="CN117" s="426"/>
      <c r="CO117" s="425">
        <f>CJ117</f>
        <v>-0.05</v>
      </c>
      <c r="CP117" s="425">
        <f t="shared" ref="CP117:CR117" si="468">CO117</f>
        <v>-0.05</v>
      </c>
      <c r="CQ117" s="425">
        <f t="shared" si="468"/>
        <v>-0.05</v>
      </c>
      <c r="CR117" s="425">
        <f t="shared" si="468"/>
        <v>-0.05</v>
      </c>
      <c r="CS117" s="425">
        <f t="shared" ref="CS117" si="469">CR117</f>
        <v>-0.05</v>
      </c>
      <c r="CT117" s="425">
        <f t="shared" ref="CT117" si="470">CS117</f>
        <v>-0.05</v>
      </c>
      <c r="CU117" s="347"/>
      <c r="CV117" s="1363"/>
      <c r="CW117" s="347"/>
      <c r="CX117" s="347"/>
      <c r="CY117" s="347"/>
      <c r="CZ117" s="347"/>
      <c r="DA117" s="347"/>
    </row>
    <row r="118" spans="2:105">
      <c r="B118" s="407"/>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348"/>
      <c r="AA118" s="348"/>
      <c r="AB118" s="348"/>
      <c r="AC118" s="347"/>
      <c r="AD118" s="347"/>
      <c r="AE118" s="347"/>
      <c r="AF118" s="347"/>
      <c r="AG118" s="426"/>
      <c r="AH118" s="426"/>
      <c r="AI118" s="426"/>
      <c r="AJ118" s="426"/>
      <c r="AK118" s="426"/>
      <c r="AL118" s="426"/>
      <c r="AM118" s="426"/>
      <c r="AN118" s="426"/>
      <c r="AO118" s="426"/>
      <c r="AP118" s="426"/>
      <c r="AQ118" s="426"/>
      <c r="AR118" s="426"/>
      <c r="AS118" s="426"/>
      <c r="AT118" s="426"/>
      <c r="AU118" s="426"/>
      <c r="AV118" s="426"/>
      <c r="AW118" s="347"/>
      <c r="AX118" s="347"/>
      <c r="AY118" s="347"/>
      <c r="AZ118" s="347"/>
      <c r="BA118" s="426"/>
      <c r="BB118" s="426"/>
      <c r="BC118" s="426"/>
      <c r="BD118" s="426"/>
      <c r="BE118" s="426"/>
      <c r="BF118" s="426"/>
      <c r="BG118" s="426"/>
      <c r="BH118" s="426"/>
      <c r="BI118" s="426"/>
      <c r="BJ118" s="426"/>
      <c r="BK118" s="426"/>
      <c r="BL118" s="426"/>
      <c r="BM118" s="426"/>
      <c r="BN118" s="426"/>
      <c r="BO118" s="426"/>
      <c r="BP118" s="426"/>
      <c r="BQ118" s="426"/>
      <c r="BR118" s="426"/>
      <c r="BS118" s="426"/>
      <c r="BT118" s="426"/>
      <c r="BU118" s="426"/>
      <c r="BV118" s="426"/>
      <c r="BW118" s="426"/>
      <c r="BX118" s="426"/>
      <c r="BY118" s="426"/>
      <c r="BZ118" s="426"/>
      <c r="CA118" s="426"/>
      <c r="CB118" s="426"/>
      <c r="CC118" s="426"/>
      <c r="CD118" s="426"/>
      <c r="CE118" s="426"/>
      <c r="CF118" s="426"/>
      <c r="CG118" s="426"/>
      <c r="CH118" s="426"/>
      <c r="CI118" s="426"/>
      <c r="CJ118" s="426"/>
      <c r="CK118" s="426"/>
      <c r="CL118" s="426"/>
      <c r="CM118" s="426"/>
      <c r="CN118" s="426"/>
      <c r="CO118" s="426"/>
      <c r="CP118" s="426"/>
      <c r="CQ118" s="426"/>
      <c r="CR118" s="426"/>
      <c r="CS118" s="426"/>
      <c r="CT118" s="426"/>
      <c r="CU118" s="347"/>
      <c r="CV118" s="1363"/>
      <c r="CW118" s="347"/>
      <c r="CX118" s="347"/>
      <c r="CY118" s="347"/>
      <c r="CZ118" s="347"/>
      <c r="DA118" s="347"/>
    </row>
    <row r="119" spans="2:105">
      <c r="B119" s="407" t="s">
        <v>553</v>
      </c>
      <c r="C119" s="348"/>
      <c r="D119" s="348"/>
      <c r="E119" s="348"/>
      <c r="F119" s="348"/>
      <c r="G119" s="348"/>
      <c r="H119" s="348"/>
      <c r="I119" s="348"/>
      <c r="J119" s="348"/>
      <c r="K119" s="348"/>
      <c r="L119" s="348"/>
      <c r="M119" s="348"/>
      <c r="N119" s="348"/>
      <c r="O119" s="348"/>
      <c r="P119" s="348"/>
      <c r="Q119" s="348"/>
      <c r="R119" s="348"/>
      <c r="S119" s="348"/>
      <c r="T119" s="348"/>
      <c r="U119" s="348"/>
      <c r="V119" s="348"/>
      <c r="W119" s="348"/>
      <c r="X119" s="348"/>
      <c r="Y119" s="348"/>
      <c r="Z119" s="348"/>
      <c r="AA119" s="348"/>
      <c r="AB119" s="348"/>
      <c r="AC119" s="347"/>
      <c r="AD119" s="347"/>
      <c r="AE119" s="347"/>
      <c r="AF119" s="347"/>
      <c r="AG119" s="426"/>
      <c r="AH119" s="426"/>
      <c r="AI119" s="427">
        <f t="shared" ref="AI119:AR119" si="471">AI390*1000/AI114</f>
        <v>107.3973489799446</v>
      </c>
      <c r="AJ119" s="427">
        <f t="shared" si="471"/>
        <v>100.83541187460641</v>
      </c>
      <c r="AK119" s="427">
        <f t="shared" si="471"/>
        <v>92.927672751008629</v>
      </c>
      <c r="AL119" s="427">
        <f t="shared" si="471"/>
        <v>100.05980929005835</v>
      </c>
      <c r="AM119" s="427">
        <f t="shared" si="471"/>
        <v>87.885326832765031</v>
      </c>
      <c r="AN119" s="427">
        <f t="shared" si="471"/>
        <v>60.740992843434775</v>
      </c>
      <c r="AO119" s="427">
        <f t="shared" si="471"/>
        <v>67.059226859857517</v>
      </c>
      <c r="AP119" s="427">
        <f t="shared" si="471"/>
        <v>70.598375096645</v>
      </c>
      <c r="AQ119" s="427">
        <f t="shared" si="471"/>
        <v>70.459933098877897</v>
      </c>
      <c r="AR119" s="427">
        <f t="shared" si="471"/>
        <v>50.740666150845087</v>
      </c>
      <c r="AS119" s="426"/>
      <c r="AT119" s="426"/>
      <c r="AU119" s="426"/>
      <c r="AV119" s="427">
        <f>AV390*1000/AV114</f>
        <v>25.560781006360578</v>
      </c>
      <c r="AW119" s="347"/>
      <c r="AX119" s="347"/>
      <c r="AY119" s="347"/>
      <c r="AZ119" s="347"/>
      <c r="BA119" s="427">
        <f>BA390*1000/BA114</f>
        <v>36.083131186920717</v>
      </c>
      <c r="BB119" s="427"/>
      <c r="BC119" s="427"/>
      <c r="BD119" s="427"/>
      <c r="BE119" s="427"/>
      <c r="BF119" s="427">
        <f>BA119*(1+BF117)</f>
        <v>30.67066150888261</v>
      </c>
      <c r="BG119" s="427"/>
      <c r="BH119" s="427"/>
      <c r="BI119" s="427"/>
      <c r="BJ119" s="427"/>
      <c r="BK119" s="427">
        <f>BF119*(1+BK117)</f>
        <v>28.370361895716414</v>
      </c>
      <c r="BL119" s="427"/>
      <c r="BM119" s="427"/>
      <c r="BN119" s="427"/>
      <c r="BO119" s="427"/>
      <c r="BP119" s="427">
        <f>BK119*(1+BP117)</f>
        <v>26.951843800930593</v>
      </c>
      <c r="BQ119" s="427"/>
      <c r="BR119" s="427"/>
      <c r="BS119" s="427"/>
      <c r="BT119" s="427"/>
      <c r="BU119" s="427">
        <f>BP119*(1+BU117)</f>
        <v>25.604251610884063</v>
      </c>
      <c r="BV119" s="427"/>
      <c r="BW119" s="427"/>
      <c r="BX119" s="427"/>
      <c r="BY119" s="427"/>
      <c r="BZ119" s="427">
        <f>BU119*(1+BZ117)</f>
        <v>24.324039030339858</v>
      </c>
      <c r="CA119" s="427"/>
      <c r="CB119" s="427"/>
      <c r="CC119" s="427"/>
      <c r="CD119" s="427"/>
      <c r="CE119" s="427">
        <f>BZ119*(1+CE117)</f>
        <v>23.107837078822865</v>
      </c>
      <c r="CF119" s="427"/>
      <c r="CG119" s="427"/>
      <c r="CH119" s="427"/>
      <c r="CI119" s="427"/>
      <c r="CJ119" s="427">
        <f>CE119*(1+CJ117)</f>
        <v>21.952445224881721</v>
      </c>
      <c r="CK119" s="427"/>
      <c r="CL119" s="427"/>
      <c r="CM119" s="427"/>
      <c r="CN119" s="427"/>
      <c r="CO119" s="427">
        <f t="shared" ref="CO119" si="472">CJ119*(1+CO117)</f>
        <v>20.854822963637634</v>
      </c>
      <c r="CP119" s="427">
        <f>CO119</f>
        <v>20.854822963637634</v>
      </c>
      <c r="CQ119" s="427">
        <f>CP119</f>
        <v>20.854822963637634</v>
      </c>
      <c r="CR119" s="427">
        <f>CQ119</f>
        <v>20.854822963637634</v>
      </c>
      <c r="CS119" s="427">
        <f t="shared" ref="CS119:CT119" si="473">CR119</f>
        <v>20.854822963637634</v>
      </c>
      <c r="CT119" s="427">
        <f t="shared" si="473"/>
        <v>20.854822963637634</v>
      </c>
      <c r="CU119" s="347"/>
      <c r="CV119" s="1363"/>
      <c r="CW119" s="347"/>
      <c r="CX119" s="347"/>
      <c r="CY119" s="347"/>
      <c r="CZ119" s="347"/>
      <c r="DA119" s="347"/>
    </row>
    <row r="120" spans="2:105">
      <c r="B120" s="414"/>
      <c r="C120" s="348"/>
      <c r="D120" s="348"/>
      <c r="E120" s="348"/>
      <c r="F120" s="348"/>
      <c r="G120" s="348"/>
      <c r="H120" s="348"/>
      <c r="I120" s="348"/>
      <c r="J120" s="348"/>
      <c r="K120" s="348"/>
      <c r="L120" s="348"/>
      <c r="M120" s="348"/>
      <c r="N120" s="348"/>
      <c r="O120" s="348"/>
      <c r="P120" s="348"/>
      <c r="Q120" s="348"/>
      <c r="R120" s="348"/>
      <c r="S120" s="348"/>
      <c r="T120" s="348"/>
      <c r="U120" s="348"/>
      <c r="V120" s="348"/>
      <c r="W120" s="348"/>
      <c r="X120" s="348"/>
      <c r="Y120" s="348"/>
      <c r="Z120" s="348"/>
      <c r="AA120" s="348"/>
      <c r="AB120" s="348"/>
      <c r="AC120" s="348"/>
      <c r="AD120" s="348"/>
      <c r="AE120" s="348"/>
      <c r="AF120" s="348"/>
      <c r="AG120" s="348"/>
      <c r="AH120" s="348"/>
      <c r="AI120" s="348"/>
      <c r="AJ120" s="348"/>
      <c r="AK120" s="348"/>
      <c r="AL120" s="348"/>
      <c r="AM120" s="348"/>
      <c r="AN120" s="348"/>
      <c r="AO120" s="348"/>
      <c r="AP120" s="348"/>
      <c r="AQ120" s="347"/>
      <c r="AR120" s="347"/>
      <c r="AS120" s="347"/>
      <c r="AT120" s="347"/>
      <c r="AU120" s="347"/>
      <c r="AV120" s="347"/>
      <c r="AW120" s="347"/>
      <c r="AX120" s="347"/>
      <c r="AY120" s="347"/>
      <c r="AZ120" s="347"/>
      <c r="BA120" s="347"/>
      <c r="BB120" s="347"/>
      <c r="BC120" s="347"/>
      <c r="BD120" s="347"/>
      <c r="BE120" s="347"/>
      <c r="BF120" s="347"/>
      <c r="BG120" s="347"/>
      <c r="BH120" s="347"/>
      <c r="BI120" s="347"/>
      <c r="BJ120" s="347"/>
      <c r="BK120" s="347"/>
      <c r="BL120" s="347"/>
      <c r="BM120" s="347"/>
      <c r="BN120" s="347"/>
      <c r="BO120" s="347"/>
      <c r="BP120" s="347"/>
      <c r="BQ120" s="347"/>
      <c r="BR120" s="347"/>
      <c r="BS120" s="347"/>
      <c r="BT120" s="347"/>
      <c r="BU120" s="347"/>
      <c r="BV120" s="347"/>
      <c r="BW120" s="347"/>
      <c r="BX120" s="347"/>
      <c r="BY120" s="347"/>
      <c r="BZ120" s="347"/>
      <c r="CA120" s="347"/>
      <c r="CB120" s="347"/>
      <c r="CC120" s="347"/>
      <c r="CD120" s="347"/>
      <c r="CE120" s="347"/>
      <c r="CF120" s="347"/>
      <c r="CG120" s="347"/>
      <c r="CH120" s="347"/>
      <c r="CI120" s="347"/>
      <c r="CJ120" s="347"/>
      <c r="CK120" s="347"/>
      <c r="CL120" s="347"/>
      <c r="CM120" s="347"/>
      <c r="CN120" s="347"/>
      <c r="CO120" s="347"/>
      <c r="CP120" s="347"/>
      <c r="CQ120" s="347"/>
      <c r="CR120" s="347"/>
      <c r="CS120" s="347"/>
      <c r="CT120" s="347"/>
      <c r="CU120" s="347"/>
      <c r="CV120" s="1363"/>
      <c r="CW120" s="347"/>
      <c r="CX120" s="347"/>
      <c r="CY120" s="347"/>
      <c r="CZ120" s="347"/>
      <c r="DA120" s="347"/>
    </row>
    <row r="121" spans="2:105">
      <c r="B121" s="414"/>
      <c r="C121" s="348"/>
      <c r="D121" s="348"/>
      <c r="E121" s="348"/>
      <c r="F121" s="348"/>
      <c r="G121" s="348"/>
      <c r="H121" s="348"/>
      <c r="I121" s="348"/>
      <c r="J121" s="348"/>
      <c r="K121" s="348"/>
      <c r="L121" s="348"/>
      <c r="M121" s="348"/>
      <c r="N121" s="348"/>
      <c r="O121" s="348"/>
      <c r="P121" s="348"/>
      <c r="Q121" s="348"/>
      <c r="R121" s="348"/>
      <c r="S121" s="348"/>
      <c r="T121" s="348"/>
      <c r="U121" s="348"/>
      <c r="V121" s="348"/>
      <c r="W121" s="348"/>
      <c r="X121" s="348"/>
      <c r="Y121" s="348"/>
      <c r="Z121" s="348"/>
      <c r="AA121" s="348"/>
      <c r="AB121" s="348"/>
      <c r="AC121" s="348"/>
      <c r="AD121" s="348"/>
      <c r="AE121" s="348"/>
      <c r="AF121" s="348"/>
      <c r="AG121" s="348"/>
      <c r="AH121" s="348"/>
      <c r="AI121" s="348"/>
      <c r="AJ121" s="348"/>
      <c r="AK121" s="348"/>
      <c r="AL121" s="348"/>
      <c r="AM121" s="348"/>
      <c r="AN121" s="348"/>
      <c r="AO121" s="348"/>
      <c r="AP121" s="348"/>
      <c r="AQ121" s="347"/>
      <c r="AR121" s="347"/>
      <c r="AS121" s="347"/>
      <c r="AT121" s="347"/>
      <c r="AU121" s="347"/>
      <c r="AV121" s="347"/>
      <c r="AW121" s="347"/>
      <c r="AX121" s="347"/>
      <c r="AY121" s="347"/>
      <c r="AZ121" s="347"/>
      <c r="BA121" s="347"/>
      <c r="BB121" s="347"/>
      <c r="BC121" s="347"/>
      <c r="BD121" s="347"/>
      <c r="BE121" s="347"/>
      <c r="BF121" s="347"/>
      <c r="BG121" s="347"/>
      <c r="BH121" s="347"/>
      <c r="BI121" s="347"/>
      <c r="BJ121" s="347"/>
      <c r="BK121" s="347"/>
      <c r="BL121" s="347"/>
      <c r="BM121" s="347"/>
      <c r="BN121" s="347"/>
      <c r="BO121" s="347"/>
      <c r="BP121" s="347"/>
      <c r="BQ121" s="347"/>
      <c r="BR121" s="347"/>
      <c r="BS121" s="347"/>
      <c r="BT121" s="347"/>
      <c r="BU121" s="347"/>
      <c r="BV121" s="347"/>
      <c r="BW121" s="347"/>
      <c r="BX121" s="347"/>
      <c r="BY121" s="347"/>
      <c r="BZ121" s="347"/>
      <c r="CA121" s="347"/>
      <c r="CB121" s="347"/>
      <c r="CC121" s="347"/>
      <c r="CD121" s="347"/>
      <c r="CE121" s="347"/>
      <c r="CF121" s="347"/>
      <c r="CG121" s="347"/>
      <c r="CH121" s="347"/>
      <c r="CI121" s="347"/>
      <c r="CJ121" s="347"/>
      <c r="CK121" s="347"/>
      <c r="CL121" s="347"/>
      <c r="CM121" s="347"/>
      <c r="CN121" s="347"/>
      <c r="CO121" s="347"/>
      <c r="CP121" s="347"/>
      <c r="CQ121" s="347"/>
      <c r="CR121" s="347"/>
      <c r="CS121" s="347"/>
      <c r="CT121" s="347"/>
      <c r="CU121" s="347"/>
      <c r="CV121" s="1363"/>
      <c r="CW121" s="347"/>
      <c r="CX121" s="347"/>
      <c r="CY121" s="347"/>
      <c r="CZ121" s="347"/>
      <c r="DA121" s="347"/>
    </row>
    <row r="122" spans="2:105">
      <c r="B122" s="414"/>
      <c r="C122" s="348"/>
      <c r="D122" s="348"/>
      <c r="E122" s="348"/>
      <c r="F122" s="348"/>
      <c r="G122" s="348"/>
      <c r="H122" s="348"/>
      <c r="I122" s="348"/>
      <c r="J122" s="348"/>
      <c r="K122" s="348"/>
      <c r="L122" s="348"/>
      <c r="M122" s="348"/>
      <c r="N122" s="348"/>
      <c r="O122" s="348"/>
      <c r="P122" s="348"/>
      <c r="Q122" s="348"/>
      <c r="R122" s="348"/>
      <c r="S122" s="348"/>
      <c r="T122" s="348"/>
      <c r="U122" s="348"/>
      <c r="V122" s="348"/>
      <c r="W122" s="348"/>
      <c r="X122" s="348"/>
      <c r="Y122" s="348"/>
      <c r="Z122" s="348"/>
      <c r="AA122" s="348"/>
      <c r="AB122" s="348"/>
      <c r="AC122" s="348"/>
      <c r="AD122" s="348"/>
      <c r="AE122" s="348"/>
      <c r="AF122" s="348"/>
      <c r="AG122" s="348"/>
      <c r="AH122" s="348"/>
      <c r="AI122" s="348"/>
      <c r="AJ122" s="348"/>
      <c r="AK122" s="348"/>
      <c r="AL122" s="348"/>
      <c r="AM122" s="348"/>
      <c r="AN122" s="348"/>
      <c r="AO122" s="348"/>
      <c r="AP122" s="348"/>
      <c r="AQ122" s="347"/>
      <c r="AR122" s="347"/>
      <c r="AS122" s="347"/>
      <c r="AT122" s="347"/>
      <c r="AU122" s="347"/>
      <c r="AV122" s="347"/>
      <c r="AW122" s="347"/>
      <c r="AX122" s="347"/>
      <c r="AY122" s="347"/>
      <c r="AZ122" s="347"/>
      <c r="BA122" s="347"/>
      <c r="BB122" s="347"/>
      <c r="BC122" s="347"/>
      <c r="BD122" s="347"/>
      <c r="BE122" s="347"/>
      <c r="BF122" s="347"/>
      <c r="BG122" s="347"/>
      <c r="BH122" s="347"/>
      <c r="BI122" s="347"/>
      <c r="BJ122" s="347"/>
      <c r="BK122" s="347"/>
      <c r="BL122" s="347"/>
      <c r="BM122" s="347"/>
      <c r="BN122" s="347"/>
      <c r="BO122" s="347"/>
      <c r="BP122" s="347"/>
      <c r="BQ122" s="347"/>
      <c r="BR122" s="347"/>
      <c r="BS122" s="347"/>
      <c r="BT122" s="347"/>
      <c r="BU122" s="347"/>
      <c r="BV122" s="347"/>
      <c r="BW122" s="347"/>
      <c r="BX122" s="347"/>
      <c r="BY122" s="347"/>
      <c r="BZ122" s="347"/>
      <c r="CA122" s="347"/>
      <c r="CB122" s="347"/>
      <c r="CC122" s="347"/>
      <c r="CD122" s="347"/>
      <c r="CE122" s="347"/>
      <c r="CF122" s="347"/>
      <c r="CG122" s="347"/>
      <c r="CH122" s="347"/>
      <c r="CI122" s="347"/>
      <c r="CJ122" s="347"/>
      <c r="CK122" s="347"/>
      <c r="CL122" s="347"/>
      <c r="CM122" s="347"/>
      <c r="CN122" s="347"/>
      <c r="CO122" s="347"/>
      <c r="CP122" s="347"/>
      <c r="CQ122" s="347"/>
      <c r="CR122" s="347"/>
      <c r="CS122" s="347"/>
      <c r="CT122" s="347"/>
      <c r="CU122" s="347"/>
      <c r="CV122" s="1363"/>
      <c r="CW122" s="347"/>
      <c r="CX122" s="347"/>
      <c r="CY122" s="347"/>
      <c r="CZ122" s="347"/>
      <c r="DA122" s="347"/>
    </row>
    <row r="123" spans="2:105">
      <c r="B123" s="383" t="s">
        <v>34</v>
      </c>
      <c r="C123" s="556">
        <f>C$4</f>
        <v>2007</v>
      </c>
      <c r="D123" s="556" t="str">
        <f t="shared" ref="D123:BO123" si="474">D$4</f>
        <v>Q1</v>
      </c>
      <c r="E123" s="556" t="str">
        <f t="shared" si="474"/>
        <v>Q2</v>
      </c>
      <c r="F123" s="556" t="str">
        <f t="shared" si="474"/>
        <v>Q3</v>
      </c>
      <c r="G123" s="556" t="str">
        <f t="shared" si="474"/>
        <v>Q4</v>
      </c>
      <c r="H123" s="556">
        <f t="shared" si="474"/>
        <v>2008</v>
      </c>
      <c r="I123" s="556" t="str">
        <f t="shared" si="474"/>
        <v>Q1</v>
      </c>
      <c r="J123" s="556" t="str">
        <f t="shared" si="474"/>
        <v>Q2</v>
      </c>
      <c r="K123" s="556" t="str">
        <f t="shared" si="474"/>
        <v>Q3</v>
      </c>
      <c r="L123" s="556" t="str">
        <f t="shared" si="474"/>
        <v>Q4</v>
      </c>
      <c r="M123" s="556">
        <f t="shared" si="474"/>
        <v>2009</v>
      </c>
      <c r="N123" s="556" t="str">
        <f t="shared" si="474"/>
        <v>Q1</v>
      </c>
      <c r="O123" s="556" t="str">
        <f t="shared" si="474"/>
        <v>Q2</v>
      </c>
      <c r="P123" s="556" t="str">
        <f t="shared" si="474"/>
        <v>Q3</v>
      </c>
      <c r="Q123" s="556" t="str">
        <f t="shared" si="474"/>
        <v>Q4</v>
      </c>
      <c r="R123" s="556">
        <f t="shared" si="474"/>
        <v>2010</v>
      </c>
      <c r="S123" s="556" t="str">
        <f t="shared" si="474"/>
        <v>Q1</v>
      </c>
      <c r="T123" s="556" t="str">
        <f t="shared" si="474"/>
        <v>Q2</v>
      </c>
      <c r="U123" s="556" t="str">
        <f t="shared" si="474"/>
        <v>Q3</v>
      </c>
      <c r="V123" s="556" t="str">
        <f t="shared" si="474"/>
        <v>Q4</v>
      </c>
      <c r="W123" s="556">
        <f t="shared" si="474"/>
        <v>2011</v>
      </c>
      <c r="X123" s="556" t="str">
        <f t="shared" si="474"/>
        <v>Q1</v>
      </c>
      <c r="Y123" s="556" t="str">
        <f t="shared" si="474"/>
        <v>Q2</v>
      </c>
      <c r="Z123" s="556" t="str">
        <f t="shared" si="474"/>
        <v>Q3</v>
      </c>
      <c r="AA123" s="556" t="str">
        <f t="shared" si="474"/>
        <v>Q4</v>
      </c>
      <c r="AB123" s="556">
        <f t="shared" si="474"/>
        <v>2012</v>
      </c>
      <c r="AC123" s="556" t="str">
        <f t="shared" si="474"/>
        <v>Q1</v>
      </c>
      <c r="AD123" s="556" t="str">
        <f t="shared" si="474"/>
        <v>Q2</v>
      </c>
      <c r="AE123" s="556" t="str">
        <f t="shared" si="474"/>
        <v>Q3</v>
      </c>
      <c r="AF123" s="556" t="str">
        <f t="shared" si="474"/>
        <v>Q4</v>
      </c>
      <c r="AG123" s="556">
        <f t="shared" si="474"/>
        <v>2013</v>
      </c>
      <c r="AH123" s="556" t="str">
        <f t="shared" si="474"/>
        <v>Q1</v>
      </c>
      <c r="AI123" s="556" t="str">
        <f t="shared" si="474"/>
        <v>Q2</v>
      </c>
      <c r="AJ123" s="556" t="str">
        <f t="shared" si="474"/>
        <v>Q3</v>
      </c>
      <c r="AK123" s="556" t="str">
        <f t="shared" si="474"/>
        <v>Q4</v>
      </c>
      <c r="AL123" s="556">
        <f t="shared" si="474"/>
        <v>2014</v>
      </c>
      <c r="AM123" s="556" t="str">
        <f t="shared" si="474"/>
        <v>Q1</v>
      </c>
      <c r="AN123" s="556" t="str">
        <f t="shared" si="474"/>
        <v>Q2</v>
      </c>
      <c r="AO123" s="556" t="str">
        <f t="shared" si="474"/>
        <v>Q3</v>
      </c>
      <c r="AP123" s="556" t="str">
        <f t="shared" si="474"/>
        <v>Q4</v>
      </c>
      <c r="AQ123" s="556">
        <f t="shared" si="474"/>
        <v>2015</v>
      </c>
      <c r="AR123" s="556" t="str">
        <f t="shared" si="474"/>
        <v>Q1</v>
      </c>
      <c r="AS123" s="556" t="str">
        <f t="shared" si="474"/>
        <v>Q2</v>
      </c>
      <c r="AT123" s="556" t="str">
        <f t="shared" si="474"/>
        <v>Q3</v>
      </c>
      <c r="AU123" s="556" t="str">
        <f t="shared" si="474"/>
        <v>Q4</v>
      </c>
      <c r="AV123" s="556">
        <f t="shared" si="474"/>
        <v>2016</v>
      </c>
      <c r="AW123" s="556" t="str">
        <f t="shared" si="474"/>
        <v>Q1</v>
      </c>
      <c r="AX123" s="556" t="str">
        <f t="shared" si="474"/>
        <v>Q2</v>
      </c>
      <c r="AY123" s="556" t="str">
        <f t="shared" si="474"/>
        <v>Q3</v>
      </c>
      <c r="AZ123" s="556" t="str">
        <f t="shared" si="474"/>
        <v>Q4</v>
      </c>
      <c r="BA123" s="556">
        <f t="shared" si="474"/>
        <v>2017</v>
      </c>
      <c r="BB123" s="556" t="str">
        <f t="shared" si="474"/>
        <v>Q1</v>
      </c>
      <c r="BC123" s="556" t="str">
        <f t="shared" si="474"/>
        <v>Q2</v>
      </c>
      <c r="BD123" s="556" t="str">
        <f t="shared" si="474"/>
        <v>Q3</v>
      </c>
      <c r="BE123" s="556" t="str">
        <f t="shared" si="474"/>
        <v>Q4</v>
      </c>
      <c r="BF123" s="556">
        <f t="shared" si="474"/>
        <v>2018</v>
      </c>
      <c r="BG123" s="556" t="str">
        <f t="shared" si="474"/>
        <v>Q1</v>
      </c>
      <c r="BH123" s="556" t="str">
        <f t="shared" si="474"/>
        <v>Q2</v>
      </c>
      <c r="BI123" s="556" t="str">
        <f t="shared" si="474"/>
        <v>Q3</v>
      </c>
      <c r="BJ123" s="556" t="str">
        <f t="shared" si="474"/>
        <v>Q4</v>
      </c>
      <c r="BK123" s="556">
        <f t="shared" si="474"/>
        <v>2019</v>
      </c>
      <c r="BL123" s="556" t="str">
        <f t="shared" si="474"/>
        <v>Q1</v>
      </c>
      <c r="BM123" s="556" t="str">
        <f t="shared" si="474"/>
        <v>Q2</v>
      </c>
      <c r="BN123" s="556" t="str">
        <f t="shared" si="474"/>
        <v>Q3</v>
      </c>
      <c r="BO123" s="556" t="str">
        <f t="shared" si="474"/>
        <v>Q4</v>
      </c>
      <c r="BP123" s="556">
        <f t="shared" ref="BP123:CT123" si="475">BP$4</f>
        <v>2020</v>
      </c>
      <c r="BQ123" s="556" t="str">
        <f t="shared" si="475"/>
        <v>Q1</v>
      </c>
      <c r="BR123" s="556" t="str">
        <f t="shared" si="475"/>
        <v>Q2</v>
      </c>
      <c r="BS123" s="556" t="str">
        <f t="shared" si="475"/>
        <v>Q3</v>
      </c>
      <c r="BT123" s="556" t="str">
        <f t="shared" si="475"/>
        <v>Q4</v>
      </c>
      <c r="BU123" s="556">
        <f t="shared" si="475"/>
        <v>2021</v>
      </c>
      <c r="BV123" s="556" t="str">
        <f t="shared" si="475"/>
        <v>Q1</v>
      </c>
      <c r="BW123" s="556" t="str">
        <f t="shared" si="475"/>
        <v>Q2</v>
      </c>
      <c r="BX123" s="556" t="str">
        <f t="shared" si="475"/>
        <v>Q3</v>
      </c>
      <c r="BY123" s="556" t="str">
        <f t="shared" si="475"/>
        <v>Q4</v>
      </c>
      <c r="BZ123" s="556">
        <f t="shared" si="475"/>
        <v>2022</v>
      </c>
      <c r="CA123" s="556" t="str">
        <f t="shared" si="475"/>
        <v>Q1</v>
      </c>
      <c r="CB123" s="556" t="str">
        <f t="shared" si="475"/>
        <v>Q2</v>
      </c>
      <c r="CC123" s="556" t="str">
        <f t="shared" si="475"/>
        <v>Q3</v>
      </c>
      <c r="CD123" s="556" t="str">
        <f t="shared" si="475"/>
        <v>Q4</v>
      </c>
      <c r="CE123" s="556">
        <f t="shared" si="475"/>
        <v>2023</v>
      </c>
      <c r="CF123" s="556" t="str">
        <f t="shared" si="475"/>
        <v>Q1</v>
      </c>
      <c r="CG123" s="556" t="str">
        <f t="shared" si="475"/>
        <v>Q2</v>
      </c>
      <c r="CH123" s="556" t="str">
        <f t="shared" si="475"/>
        <v>Q3</v>
      </c>
      <c r="CI123" s="556" t="str">
        <f t="shared" si="475"/>
        <v>Q4</v>
      </c>
      <c r="CJ123" s="556">
        <f t="shared" si="475"/>
        <v>2024</v>
      </c>
      <c r="CK123" s="556" t="str">
        <f t="shared" si="475"/>
        <v>Q1</v>
      </c>
      <c r="CL123" s="556" t="str">
        <f t="shared" si="475"/>
        <v>Q2</v>
      </c>
      <c r="CM123" s="556" t="str">
        <f t="shared" si="475"/>
        <v>Q3</v>
      </c>
      <c r="CN123" s="556"/>
      <c r="CO123" s="556">
        <f t="shared" si="475"/>
        <v>2025</v>
      </c>
      <c r="CP123" s="556">
        <f t="shared" si="475"/>
        <v>2026</v>
      </c>
      <c r="CQ123" s="556">
        <f t="shared" si="475"/>
        <v>2027</v>
      </c>
      <c r="CR123" s="556">
        <f t="shared" si="475"/>
        <v>2028</v>
      </c>
      <c r="CS123" s="556">
        <f t="shared" si="475"/>
        <v>2029</v>
      </c>
      <c r="CT123" s="556">
        <f t="shared" si="475"/>
        <v>2030</v>
      </c>
      <c r="CU123" s="347"/>
      <c r="CV123" s="1363"/>
      <c r="CW123" s="347"/>
      <c r="CX123" s="347"/>
      <c r="CY123" s="347"/>
      <c r="CZ123" s="347"/>
      <c r="DA123" s="347"/>
    </row>
    <row r="124" spans="2:105">
      <c r="B124" s="414" t="s">
        <v>35</v>
      </c>
      <c r="C124" s="428">
        <v>0.13255919999999999</v>
      </c>
      <c r="D124" s="428"/>
      <c r="E124" s="428"/>
      <c r="F124" s="428"/>
      <c r="G124" s="428"/>
      <c r="H124" s="428">
        <v>0.13521038399999999</v>
      </c>
      <c r="I124" s="428"/>
      <c r="J124" s="428"/>
      <c r="K124" s="428"/>
      <c r="L124" s="428"/>
      <c r="M124" s="428">
        <v>0.13791459168</v>
      </c>
      <c r="N124" s="428"/>
      <c r="O124" s="428"/>
      <c r="P124" s="428"/>
      <c r="Q124" s="428"/>
      <c r="R124" s="428">
        <v>0.14067288351359999</v>
      </c>
      <c r="S124" s="428"/>
      <c r="T124" s="428"/>
      <c r="U124" s="428"/>
      <c r="V124" s="428"/>
      <c r="W124" s="428">
        <v>0.14348634118387199</v>
      </c>
      <c r="X124" s="428"/>
      <c r="Y124" s="428"/>
      <c r="Z124" s="428"/>
      <c r="AA124" s="428"/>
      <c r="AB124" s="428">
        <v>0.14635606800754944</v>
      </c>
      <c r="AC124" s="428"/>
      <c r="AD124" s="428"/>
      <c r="AE124" s="428"/>
      <c r="AF124" s="428"/>
      <c r="AG124" s="428">
        <v>0.14928318936770044</v>
      </c>
      <c r="AH124" s="428"/>
      <c r="AI124" s="428"/>
      <c r="AJ124" s="428"/>
      <c r="AK124" s="428"/>
      <c r="AL124" s="428">
        <v>0.15226885315505445</v>
      </c>
      <c r="AM124" s="428"/>
      <c r="AN124" s="428"/>
      <c r="AO124" s="428"/>
      <c r="AP124" s="428"/>
      <c r="AQ124" s="428">
        <v>0.15531423021815555</v>
      </c>
      <c r="AR124" s="428"/>
      <c r="AS124" s="428"/>
      <c r="AT124" s="428"/>
      <c r="AU124" s="379"/>
      <c r="AV124" s="428">
        <v>0.15</v>
      </c>
      <c r="AW124" s="379"/>
      <c r="AX124" s="379"/>
      <c r="AY124" s="379"/>
      <c r="AZ124" s="379"/>
      <c r="BA124" s="428">
        <f>AV124*1.02</f>
        <v>0.153</v>
      </c>
      <c r="BB124" s="379"/>
      <c r="BC124" s="379"/>
      <c r="BD124" s="379"/>
      <c r="BE124" s="379"/>
      <c r="BF124" s="428">
        <f>BA124*1.02</f>
        <v>0.15606</v>
      </c>
      <c r="BG124" s="379"/>
      <c r="BH124" s="379"/>
      <c r="BI124" s="379"/>
      <c r="BJ124" s="379"/>
      <c r="BK124" s="428">
        <f>BF124*1.02</f>
        <v>0.15918119999999999</v>
      </c>
      <c r="BL124" s="379"/>
      <c r="BM124" s="379"/>
      <c r="BN124" s="379"/>
      <c r="BO124" s="379"/>
      <c r="BP124" s="428">
        <f>BK124*1.02</f>
        <v>0.16236482399999999</v>
      </c>
      <c r="BQ124" s="379"/>
      <c r="BR124" s="379"/>
      <c r="BS124" s="379"/>
      <c r="BT124" s="379"/>
      <c r="BU124" s="428">
        <f>BP124*1.02</f>
        <v>0.16561212047999999</v>
      </c>
      <c r="BV124" s="379"/>
      <c r="BW124" s="379"/>
      <c r="BX124" s="379"/>
      <c r="BY124" s="379"/>
      <c r="BZ124" s="428">
        <f>BU124*1.02</f>
        <v>0.1689243628896</v>
      </c>
      <c r="CA124" s="379"/>
      <c r="CB124" s="379"/>
      <c r="CC124" s="379"/>
      <c r="CD124" s="379"/>
      <c r="CE124" s="428">
        <f>BZ124*1.02</f>
        <v>0.17230285014739199</v>
      </c>
      <c r="CF124" s="379"/>
      <c r="CG124" s="379"/>
      <c r="CH124" s="379"/>
      <c r="CI124" s="379"/>
      <c r="CJ124" s="428">
        <f>CE124*1.02</f>
        <v>0.17574890715033983</v>
      </c>
      <c r="CK124" s="379"/>
      <c r="CL124" s="379"/>
      <c r="CM124" s="379"/>
      <c r="CN124" s="379"/>
      <c r="CO124" s="428">
        <f>CJ124*1.02</f>
        <v>0.17926388529334664</v>
      </c>
      <c r="CP124" s="428">
        <f t="shared" ref="CP124:CR124" si="476">CO124*1.02</f>
        <v>0.18284916299921358</v>
      </c>
      <c r="CQ124" s="428">
        <f t="shared" si="476"/>
        <v>0.18650614625919787</v>
      </c>
      <c r="CR124" s="428">
        <f t="shared" si="476"/>
        <v>0.19023626918438183</v>
      </c>
      <c r="CS124" s="428">
        <f t="shared" ref="CS124" si="477">CR124*1.02</f>
        <v>0.19404099456806947</v>
      </c>
      <c r="CT124" s="428">
        <f t="shared" ref="CT124" si="478">CS124*1.02</f>
        <v>0.19792181445943086</v>
      </c>
      <c r="CU124" s="347"/>
      <c r="CV124" s="1363"/>
      <c r="CW124" s="347"/>
      <c r="CX124" s="347"/>
      <c r="CY124" s="347"/>
      <c r="CZ124" s="347"/>
      <c r="DA124" s="347"/>
    </row>
    <row r="125" spans="2:105">
      <c r="B125" s="404" t="s">
        <v>36</v>
      </c>
      <c r="C125" s="348"/>
      <c r="D125" s="348"/>
      <c r="E125" s="348"/>
      <c r="F125" s="348"/>
      <c r="G125" s="348"/>
      <c r="H125" s="348">
        <f t="shared" ref="H125:M125" si="479">H124*(H94)</f>
        <v>2091.5694300959999</v>
      </c>
      <c r="I125" s="348">
        <f t="shared" si="479"/>
        <v>0</v>
      </c>
      <c r="J125" s="348">
        <f t="shared" si="479"/>
        <v>0</v>
      </c>
      <c r="K125" s="348">
        <f t="shared" si="479"/>
        <v>0</v>
      </c>
      <c r="L125" s="348">
        <f t="shared" si="479"/>
        <v>0</v>
      </c>
      <c r="M125" s="348">
        <f t="shared" si="479"/>
        <v>3587.9860171468799</v>
      </c>
      <c r="N125" s="348"/>
      <c r="O125" s="348"/>
      <c r="P125" s="348"/>
      <c r="Q125" s="348"/>
      <c r="R125" s="348">
        <f>R124*(R94)</f>
        <v>4374.9266772729598</v>
      </c>
      <c r="S125" s="348"/>
      <c r="T125" s="348"/>
      <c r="U125" s="348"/>
      <c r="V125" s="348"/>
      <c r="W125" s="348">
        <f>W124*(W94)</f>
        <v>5796.8481838284288</v>
      </c>
      <c r="X125" s="348"/>
      <c r="Y125" s="348"/>
      <c r="Z125" s="348"/>
      <c r="AA125" s="348"/>
      <c r="AB125" s="348">
        <f>AB124*(AB94)</f>
        <v>6790.9215555502942</v>
      </c>
      <c r="AC125" s="348"/>
      <c r="AD125" s="348"/>
      <c r="AE125" s="348"/>
      <c r="AF125" s="348"/>
      <c r="AG125" s="348">
        <f>AG124*(AG94)</f>
        <v>6837.1700730406801</v>
      </c>
      <c r="AH125" s="348"/>
      <c r="AI125" s="348"/>
      <c r="AJ125" s="348"/>
      <c r="AK125" s="348"/>
      <c r="AL125" s="348">
        <f>AL124*(AL94)</f>
        <v>9212.2656158807949</v>
      </c>
      <c r="AM125" s="348"/>
      <c r="AN125" s="348"/>
      <c r="AO125" s="348"/>
      <c r="AP125" s="348"/>
      <c r="AQ125" s="348">
        <f>AQ124*(AQ94)</f>
        <v>9256.7281210020701</v>
      </c>
      <c r="AR125" s="348"/>
      <c r="AS125" s="348"/>
      <c r="AT125" s="348"/>
      <c r="AU125" s="348"/>
      <c r="AV125" s="348">
        <f>AV124*(AV94)</f>
        <v>6300</v>
      </c>
      <c r="AW125" s="348"/>
      <c r="AX125" s="348"/>
      <c r="AY125" s="348"/>
      <c r="AZ125" s="348"/>
      <c r="BA125" s="348">
        <f>BA124*(BA94)</f>
        <v>7114.5</v>
      </c>
      <c r="BB125" s="348"/>
      <c r="BC125" s="348"/>
      <c r="BD125" s="348"/>
      <c r="BE125" s="348"/>
      <c r="BF125" s="348">
        <f>BF124*(BF94)</f>
        <v>8349.2100000000009</v>
      </c>
      <c r="BG125" s="348"/>
      <c r="BH125" s="348"/>
      <c r="BI125" s="348"/>
      <c r="BJ125" s="348"/>
      <c r="BK125" s="348">
        <f t="shared" ref="BK125:CR125" si="480">BK124*(BK94)</f>
        <v>8739.0478800000001</v>
      </c>
      <c r="BL125" s="348"/>
      <c r="BM125" s="348"/>
      <c r="BN125" s="348"/>
      <c r="BO125" s="348"/>
      <c r="BP125" s="348">
        <f t="shared" si="480"/>
        <v>9206.0855207999994</v>
      </c>
      <c r="BQ125" s="348"/>
      <c r="BR125" s="348"/>
      <c r="BS125" s="348"/>
      <c r="BT125" s="348"/>
      <c r="BU125" s="348">
        <f t="shared" ref="BU125" si="481">BU124*(BU94)</f>
        <v>9587.2856545872</v>
      </c>
      <c r="BV125" s="348"/>
      <c r="BW125" s="348"/>
      <c r="BX125" s="348"/>
      <c r="BY125" s="348"/>
      <c r="BZ125" s="348">
        <f t="shared" ref="BZ125" si="482">BZ124*(BZ94)</f>
        <v>9782.4098549367354</v>
      </c>
      <c r="CA125" s="348"/>
      <c r="CB125" s="348"/>
      <c r="CC125" s="348"/>
      <c r="CD125" s="348"/>
      <c r="CE125" s="348">
        <f t="shared" ref="CE125" si="483">CE124*(CE94)</f>
        <v>9907.4138834750393</v>
      </c>
      <c r="CF125" s="348"/>
      <c r="CG125" s="348"/>
      <c r="CH125" s="348"/>
      <c r="CI125" s="348"/>
      <c r="CJ125" s="348">
        <f t="shared" si="480"/>
        <v>10105.56216114454</v>
      </c>
      <c r="CK125" s="348"/>
      <c r="CL125" s="348"/>
      <c r="CM125" s="348"/>
      <c r="CN125" s="348"/>
      <c r="CO125" s="348">
        <f t="shared" si="480"/>
        <v>10540.716455248783</v>
      </c>
      <c r="CP125" s="348">
        <f t="shared" si="480"/>
        <v>15134.657754427302</v>
      </c>
      <c r="CQ125" s="348">
        <f t="shared" si="480"/>
        <v>15660.78255783034</v>
      </c>
      <c r="CR125" s="348">
        <f t="shared" si="480"/>
        <v>16204.885258117314</v>
      </c>
      <c r="CS125" s="348">
        <f t="shared" ref="CS125:CT125" si="484">CS124*(CS94)</f>
        <v>16767.571975352937</v>
      </c>
      <c r="CT125" s="348">
        <f t="shared" si="484"/>
        <v>17349.469045775641</v>
      </c>
      <c r="CU125" s="347"/>
      <c r="CV125" s="1363"/>
      <c r="CW125" s="347"/>
      <c r="CX125" s="347"/>
      <c r="CY125" s="347"/>
      <c r="CZ125" s="347"/>
      <c r="DA125" s="347"/>
    </row>
    <row r="126" spans="2:105">
      <c r="B126" s="404" t="s">
        <v>37</v>
      </c>
      <c r="C126" s="348"/>
      <c r="D126" s="348"/>
      <c r="E126" s="348"/>
      <c r="F126" s="348"/>
      <c r="G126" s="348"/>
      <c r="H126" s="348">
        <f>H95</f>
        <v>10547</v>
      </c>
      <c r="I126" s="348"/>
      <c r="J126" s="348"/>
      <c r="K126" s="348"/>
      <c r="L126" s="348"/>
      <c r="M126" s="348">
        <f>M95</f>
        <v>5084</v>
      </c>
      <c r="N126" s="348"/>
      <c r="O126" s="348"/>
      <c r="P126" s="348"/>
      <c r="Q126" s="348"/>
      <c r="R126" s="348">
        <f>R95</f>
        <v>9300</v>
      </c>
      <c r="S126" s="348"/>
      <c r="T126" s="348"/>
      <c r="U126" s="348"/>
      <c r="V126" s="348"/>
      <c r="W126" s="348">
        <f>W95</f>
        <v>6000</v>
      </c>
      <c r="X126" s="348"/>
      <c r="Y126" s="348"/>
      <c r="Z126" s="348"/>
      <c r="AA126" s="348"/>
      <c r="AB126" s="348">
        <f>AB95</f>
        <v>-600</v>
      </c>
      <c r="AC126" s="348"/>
      <c r="AD126" s="348"/>
      <c r="AE126" s="348"/>
      <c r="AF126" s="348"/>
      <c r="AG126" s="348">
        <f>AG95</f>
        <v>14700</v>
      </c>
      <c r="AH126" s="348"/>
      <c r="AI126" s="348"/>
      <c r="AJ126" s="348"/>
      <c r="AK126" s="348"/>
      <c r="AL126" s="348">
        <f>AL95</f>
        <v>-900</v>
      </c>
      <c r="AM126" s="348"/>
      <c r="AN126" s="348"/>
      <c r="AO126" s="348"/>
      <c r="AP126" s="348"/>
      <c r="AQ126" s="348">
        <f>AQ95</f>
        <v>-17600</v>
      </c>
      <c r="AR126" s="348"/>
      <c r="AS126" s="348"/>
      <c r="AT126" s="348"/>
      <c r="AU126" s="348"/>
      <c r="AV126" s="348">
        <f>AV95</f>
        <v>4500</v>
      </c>
      <c r="AW126" s="348"/>
      <c r="AX126" s="348"/>
      <c r="AY126" s="348"/>
      <c r="AZ126" s="348"/>
      <c r="BA126" s="348">
        <f>BA95</f>
        <v>7000</v>
      </c>
      <c r="BB126" s="348"/>
      <c r="BC126" s="348"/>
      <c r="BD126" s="348"/>
      <c r="BE126" s="348"/>
      <c r="BF126" s="348">
        <f>BF95</f>
        <v>1400</v>
      </c>
      <c r="BG126" s="348"/>
      <c r="BH126" s="348"/>
      <c r="BI126" s="348"/>
      <c r="BJ126" s="348"/>
      <c r="BK126" s="348">
        <f t="shared" ref="BK126:CR126" si="485">BK95</f>
        <v>1800</v>
      </c>
      <c r="BL126" s="348"/>
      <c r="BM126" s="348"/>
      <c r="BN126" s="348"/>
      <c r="BO126" s="348"/>
      <c r="BP126" s="348">
        <f t="shared" si="485"/>
        <v>1190</v>
      </c>
      <c r="BQ126" s="348"/>
      <c r="BR126" s="348"/>
      <c r="BS126" s="348"/>
      <c r="BT126" s="348"/>
      <c r="BU126" s="348">
        <f t="shared" ref="BU126" si="486">BU95</f>
        <v>20</v>
      </c>
      <c r="BV126" s="348"/>
      <c r="BW126" s="348"/>
      <c r="BX126" s="348"/>
      <c r="BY126" s="348"/>
      <c r="BZ126" s="348">
        <f t="shared" ref="BZ126" si="487">BZ95</f>
        <v>-410</v>
      </c>
      <c r="CA126" s="348"/>
      <c r="CB126" s="348"/>
      <c r="CC126" s="348"/>
      <c r="CD126" s="348"/>
      <c r="CE126" s="348">
        <f t="shared" ref="CE126" si="488">CE95</f>
        <v>0</v>
      </c>
      <c r="CF126" s="348"/>
      <c r="CG126" s="348"/>
      <c r="CH126" s="348"/>
      <c r="CI126" s="348"/>
      <c r="CJ126" s="348">
        <f t="shared" si="485"/>
        <v>1300</v>
      </c>
      <c r="CK126" s="348"/>
      <c r="CL126" s="348"/>
      <c r="CM126" s="348"/>
      <c r="CN126" s="348"/>
      <c r="CO126" s="348">
        <f t="shared" si="485"/>
        <v>23971.271720245146</v>
      </c>
      <c r="CP126" s="348">
        <f t="shared" si="485"/>
        <v>1197.9854433535656</v>
      </c>
      <c r="CQ126" s="348">
        <f t="shared" si="485"/>
        <v>1213.6857504632062</v>
      </c>
      <c r="CR126" s="348">
        <f t="shared" si="485"/>
        <v>1229.5804430623975</v>
      </c>
      <c r="CS126" s="348">
        <f t="shared" ref="CS126:CT126" si="489">CS95</f>
        <v>1245.6718406155414</v>
      </c>
      <c r="CT126" s="348">
        <f t="shared" si="489"/>
        <v>1261.9622895556531</v>
      </c>
      <c r="CU126" s="347"/>
      <c r="CV126" s="1363"/>
      <c r="CW126" s="347"/>
      <c r="CX126" s="347"/>
      <c r="CY126" s="347"/>
      <c r="CZ126" s="347"/>
      <c r="DA126" s="347"/>
    </row>
    <row r="127" spans="2:105">
      <c r="B127" s="404" t="s">
        <v>38</v>
      </c>
      <c r="C127" s="429"/>
      <c r="D127" s="429"/>
      <c r="E127" s="429"/>
      <c r="F127" s="429"/>
      <c r="G127" s="429"/>
      <c r="H127" s="429">
        <f>SUM(H125:H126)</f>
        <v>12638.569430096</v>
      </c>
      <c r="I127" s="429"/>
      <c r="J127" s="429"/>
      <c r="K127" s="429"/>
      <c r="L127" s="429"/>
      <c r="M127" s="429">
        <f>SUM(M125:M126)</f>
        <v>8671.986017146879</v>
      </c>
      <c r="N127" s="429"/>
      <c r="O127" s="429"/>
      <c r="P127" s="429"/>
      <c r="Q127" s="429"/>
      <c r="R127" s="429">
        <f>SUM(R125:R126)</f>
        <v>13674.926677272961</v>
      </c>
      <c r="S127" s="429"/>
      <c r="T127" s="429"/>
      <c r="U127" s="429"/>
      <c r="V127" s="429"/>
      <c r="W127" s="429">
        <f>SUM(W125:W126)</f>
        <v>11796.848183828428</v>
      </c>
      <c r="X127" s="429"/>
      <c r="Y127" s="429"/>
      <c r="Z127" s="429"/>
      <c r="AA127" s="429"/>
      <c r="AB127" s="429">
        <f>SUM(AB125:AB126)</f>
        <v>6190.9215555502942</v>
      </c>
      <c r="AC127" s="429"/>
      <c r="AD127" s="429"/>
      <c r="AE127" s="429"/>
      <c r="AF127" s="429"/>
      <c r="AG127" s="429">
        <f>SUM(AG125:AG126)</f>
        <v>21537.170073040681</v>
      </c>
      <c r="AH127" s="429"/>
      <c r="AI127" s="429"/>
      <c r="AJ127" s="429"/>
      <c r="AK127" s="429"/>
      <c r="AL127" s="429">
        <f>SUM(AL125:AL126)</f>
        <v>8312.2656158807949</v>
      </c>
      <c r="AM127" s="429"/>
      <c r="AN127" s="429"/>
      <c r="AO127" s="429"/>
      <c r="AP127" s="429"/>
      <c r="AQ127" s="429">
        <f>SUM(AQ125:AQ126)</f>
        <v>-8343.2718789979299</v>
      </c>
      <c r="AR127" s="429"/>
      <c r="AS127" s="429"/>
      <c r="AT127" s="429"/>
      <c r="AU127" s="429"/>
      <c r="AV127" s="429">
        <f>SUM(AV125:AV126)</f>
        <v>10800</v>
      </c>
      <c r="AW127" s="429"/>
      <c r="AX127" s="429"/>
      <c r="AY127" s="429"/>
      <c r="AZ127" s="429"/>
      <c r="BA127" s="429">
        <f>SUM(BA125:BA126)</f>
        <v>14114.5</v>
      </c>
      <c r="BB127" s="429"/>
      <c r="BC127" s="429"/>
      <c r="BD127" s="429"/>
      <c r="BE127" s="429"/>
      <c r="BF127" s="429">
        <f>SUM(BF125:BF126)</f>
        <v>9749.2100000000009</v>
      </c>
      <c r="BG127" s="429"/>
      <c r="BH127" s="429"/>
      <c r="BI127" s="429"/>
      <c r="BJ127" s="429"/>
      <c r="BK127" s="429">
        <f>SUM(BK125:BK126)</f>
        <v>10539.04788</v>
      </c>
      <c r="BL127" s="429"/>
      <c r="BM127" s="429"/>
      <c r="BN127" s="429"/>
      <c r="BO127" s="429"/>
      <c r="BP127" s="429">
        <f>SUM(BP125:BP126)</f>
        <v>10396.085520799999</v>
      </c>
      <c r="BQ127" s="429"/>
      <c r="BR127" s="429"/>
      <c r="BS127" s="429"/>
      <c r="BT127" s="429"/>
      <c r="BU127" s="429">
        <f>SUM(BU125:BU126)</f>
        <v>9607.2856545872</v>
      </c>
      <c r="BV127" s="429"/>
      <c r="BW127" s="429"/>
      <c r="BX127" s="429"/>
      <c r="BY127" s="429"/>
      <c r="BZ127" s="429">
        <f>SUM(BZ125:BZ126)</f>
        <v>9372.4098549367354</v>
      </c>
      <c r="CA127" s="429"/>
      <c r="CB127" s="429"/>
      <c r="CC127" s="429"/>
      <c r="CD127" s="429"/>
      <c r="CE127" s="429">
        <f>SUM(CE125:CE126)</f>
        <v>9907.4138834750393</v>
      </c>
      <c r="CF127" s="429"/>
      <c r="CG127" s="429"/>
      <c r="CH127" s="429"/>
      <c r="CI127" s="429"/>
      <c r="CJ127" s="429">
        <f t="shared" ref="CJ127:CR127" si="490">SUM(CJ125:CJ126)</f>
        <v>11405.56216114454</v>
      </c>
      <c r="CK127" s="429"/>
      <c r="CL127" s="429"/>
      <c r="CM127" s="429"/>
      <c r="CN127" s="429"/>
      <c r="CO127" s="429">
        <f t="shared" si="490"/>
        <v>34511.988175493927</v>
      </c>
      <c r="CP127" s="429">
        <f t="shared" si="490"/>
        <v>16332.643197780868</v>
      </c>
      <c r="CQ127" s="429">
        <f t="shared" si="490"/>
        <v>16874.468308293544</v>
      </c>
      <c r="CR127" s="429">
        <f t="shared" si="490"/>
        <v>17434.46570117971</v>
      </c>
      <c r="CS127" s="429">
        <f t="shared" ref="CS127:CT127" si="491">SUM(CS125:CS126)</f>
        <v>18013.243815968479</v>
      </c>
      <c r="CT127" s="429">
        <f t="shared" si="491"/>
        <v>18611.431335331294</v>
      </c>
      <c r="CU127" s="347"/>
      <c r="CV127" s="1363"/>
      <c r="CW127" s="347"/>
      <c r="CX127" s="347"/>
      <c r="CY127" s="347"/>
      <c r="CZ127" s="347"/>
      <c r="DA127" s="347"/>
    </row>
    <row r="128" spans="2:105">
      <c r="B128" s="404"/>
      <c r="C128" s="429"/>
      <c r="D128" s="429"/>
      <c r="E128" s="429"/>
      <c r="F128" s="429"/>
      <c r="G128" s="429"/>
      <c r="H128" s="429"/>
      <c r="I128" s="429"/>
      <c r="J128" s="429"/>
      <c r="K128" s="429"/>
      <c r="L128" s="429"/>
      <c r="M128" s="429"/>
      <c r="N128" s="429"/>
      <c r="O128" s="429"/>
      <c r="P128" s="429"/>
      <c r="Q128" s="429"/>
      <c r="R128" s="429"/>
      <c r="S128" s="429"/>
      <c r="T128" s="429"/>
      <c r="U128" s="429"/>
      <c r="V128" s="429"/>
      <c r="W128" s="429"/>
      <c r="X128" s="429"/>
      <c r="Y128" s="429"/>
      <c r="Z128" s="429"/>
      <c r="AA128" s="429"/>
      <c r="AB128" s="429"/>
      <c r="AC128" s="429"/>
      <c r="AD128" s="429"/>
      <c r="AE128" s="429"/>
      <c r="AF128" s="429"/>
      <c r="AG128" s="429"/>
      <c r="AH128" s="429"/>
      <c r="AI128" s="429"/>
      <c r="AJ128" s="429"/>
      <c r="AK128" s="429"/>
      <c r="AL128" s="429"/>
      <c r="AM128" s="429"/>
      <c r="AN128" s="429"/>
      <c r="AO128" s="429"/>
      <c r="AP128" s="429"/>
      <c r="AQ128" s="429"/>
      <c r="AR128" s="429"/>
      <c r="AS128" s="429"/>
      <c r="AT128" s="429"/>
      <c r="AU128" s="429"/>
      <c r="AV128" s="429"/>
      <c r="AW128" s="429"/>
      <c r="AX128" s="429"/>
      <c r="AY128" s="429"/>
      <c r="AZ128" s="429"/>
      <c r="BA128" s="429"/>
      <c r="BB128" s="429"/>
      <c r="BC128" s="429"/>
      <c r="BD128" s="429"/>
      <c r="BE128" s="429"/>
      <c r="BF128" s="429"/>
      <c r="BG128" s="429"/>
      <c r="BH128" s="429"/>
      <c r="BI128" s="429"/>
      <c r="BJ128" s="429"/>
      <c r="BK128" s="429"/>
      <c r="BL128" s="429"/>
      <c r="BM128" s="429"/>
      <c r="BN128" s="429"/>
      <c r="BO128" s="429"/>
      <c r="BP128" s="429"/>
      <c r="BQ128" s="429"/>
      <c r="BR128" s="429"/>
      <c r="BS128" s="429"/>
      <c r="BT128" s="429"/>
      <c r="BU128" s="429"/>
      <c r="BV128" s="429"/>
      <c r="BW128" s="429"/>
      <c r="BX128" s="429"/>
      <c r="BY128" s="429"/>
      <c r="BZ128" s="429"/>
      <c r="CA128" s="429"/>
      <c r="CB128" s="429"/>
      <c r="CC128" s="429"/>
      <c r="CD128" s="429"/>
      <c r="CE128" s="429"/>
      <c r="CF128" s="429"/>
      <c r="CG128" s="429"/>
      <c r="CH128" s="429"/>
      <c r="CI128" s="429"/>
      <c r="CJ128" s="429"/>
      <c r="CK128" s="429"/>
      <c r="CL128" s="429"/>
      <c r="CM128" s="429"/>
      <c r="CN128" s="429"/>
      <c r="CO128" s="429"/>
      <c r="CP128" s="429"/>
      <c r="CQ128" s="429"/>
      <c r="CR128" s="429"/>
      <c r="CS128" s="429"/>
      <c r="CT128" s="429"/>
      <c r="CU128" s="347"/>
      <c r="CV128" s="1363"/>
      <c r="CW128" s="347"/>
      <c r="CX128" s="347"/>
      <c r="CY128" s="347"/>
      <c r="CZ128" s="347"/>
      <c r="DA128" s="347"/>
    </row>
    <row r="129" spans="2:105">
      <c r="B129" s="404"/>
      <c r="C129" s="429"/>
      <c r="D129" s="429"/>
      <c r="E129" s="429"/>
      <c r="F129" s="429"/>
      <c r="G129" s="429"/>
      <c r="H129" s="429"/>
      <c r="I129" s="429"/>
      <c r="J129" s="429"/>
      <c r="K129" s="429"/>
      <c r="L129" s="429"/>
      <c r="M129" s="429"/>
      <c r="N129" s="429"/>
      <c r="O129" s="429"/>
      <c r="P129" s="429"/>
      <c r="Q129" s="429"/>
      <c r="R129" s="429"/>
      <c r="S129" s="429"/>
      <c r="T129" s="429"/>
      <c r="U129" s="429"/>
      <c r="V129" s="429"/>
      <c r="W129" s="429"/>
      <c r="X129" s="429"/>
      <c r="Y129" s="429"/>
      <c r="Z129" s="429"/>
      <c r="AA129" s="429"/>
      <c r="AB129" s="429"/>
      <c r="AC129" s="429"/>
      <c r="AD129" s="429"/>
      <c r="AE129" s="429"/>
      <c r="AF129" s="429"/>
      <c r="AG129" s="429"/>
      <c r="AH129" s="429"/>
      <c r="AI129" s="429"/>
      <c r="AJ129" s="429"/>
      <c r="AK129" s="429"/>
      <c r="AL129" s="429"/>
      <c r="AM129" s="429"/>
      <c r="AN129" s="429"/>
      <c r="AO129" s="429"/>
      <c r="AP129" s="429"/>
      <c r="AQ129" s="429"/>
      <c r="AR129" s="429"/>
      <c r="AS129" s="429"/>
      <c r="AT129" s="429"/>
      <c r="AU129" s="429"/>
      <c r="AV129" s="429"/>
      <c r="AW129" s="429"/>
      <c r="AX129" s="429"/>
      <c r="AY129" s="429"/>
      <c r="AZ129" s="429"/>
      <c r="BA129" s="429"/>
      <c r="BB129" s="429"/>
      <c r="BC129" s="429"/>
      <c r="BD129" s="429"/>
      <c r="BE129" s="429"/>
      <c r="BF129" s="429"/>
      <c r="BG129" s="429"/>
      <c r="BH129" s="429"/>
      <c r="BI129" s="429"/>
      <c r="BJ129" s="429"/>
      <c r="BK129" s="429"/>
      <c r="BL129" s="429"/>
      <c r="BM129" s="429"/>
      <c r="BN129" s="429"/>
      <c r="BO129" s="429"/>
      <c r="BP129" s="429"/>
      <c r="BQ129" s="429"/>
      <c r="BR129" s="429"/>
      <c r="BS129" s="429"/>
      <c r="BT129" s="429"/>
      <c r="BU129" s="429"/>
      <c r="BV129" s="429"/>
      <c r="BW129" s="429"/>
      <c r="BX129" s="429"/>
      <c r="BY129" s="429"/>
      <c r="BZ129" s="429"/>
      <c r="CA129" s="429"/>
      <c r="CB129" s="429"/>
      <c r="CC129" s="429"/>
      <c r="CD129" s="429"/>
      <c r="CE129" s="429"/>
      <c r="CF129" s="429"/>
      <c r="CG129" s="429"/>
      <c r="CH129" s="429"/>
      <c r="CI129" s="429"/>
      <c r="CJ129" s="429"/>
      <c r="CK129" s="429"/>
      <c r="CL129" s="429"/>
      <c r="CM129" s="429"/>
      <c r="CN129" s="429"/>
      <c r="CO129" s="429"/>
      <c r="CP129" s="429"/>
      <c r="CQ129" s="429"/>
      <c r="CR129" s="429"/>
      <c r="CS129" s="429"/>
      <c r="CT129" s="429"/>
      <c r="CU129" s="347"/>
      <c r="CV129" s="1363"/>
      <c r="CW129" s="347"/>
      <c r="CX129" s="347"/>
      <c r="CY129" s="347"/>
      <c r="CZ129" s="347"/>
      <c r="DA129" s="347"/>
    </row>
    <row r="130" spans="2:105">
      <c r="B130" s="404"/>
      <c r="C130" s="348"/>
      <c r="D130" s="348"/>
      <c r="E130" s="348"/>
      <c r="F130" s="348"/>
      <c r="G130" s="348"/>
      <c r="H130" s="348"/>
      <c r="I130" s="348"/>
      <c r="J130" s="348"/>
      <c r="K130" s="348"/>
      <c r="L130" s="348"/>
      <c r="M130" s="348"/>
      <c r="N130" s="348"/>
      <c r="O130" s="348"/>
      <c r="P130" s="348"/>
      <c r="Q130" s="348"/>
      <c r="R130" s="348"/>
      <c r="S130" s="348"/>
      <c r="T130" s="348"/>
      <c r="U130" s="348"/>
      <c r="V130" s="348"/>
      <c r="W130" s="348"/>
      <c r="X130" s="348"/>
      <c r="Y130" s="348"/>
      <c r="Z130" s="348"/>
      <c r="AA130" s="348"/>
      <c r="AB130" s="348"/>
      <c r="AC130" s="348"/>
      <c r="AD130" s="348"/>
      <c r="AE130" s="348"/>
      <c r="AF130" s="348"/>
      <c r="AG130" s="348"/>
      <c r="AH130" s="348"/>
      <c r="AI130" s="348"/>
      <c r="AJ130" s="348"/>
      <c r="AK130" s="348"/>
      <c r="AL130" s="348"/>
      <c r="AM130" s="348"/>
      <c r="AN130" s="348"/>
      <c r="AO130" s="348"/>
      <c r="AP130" s="348"/>
      <c r="AQ130" s="348"/>
      <c r="AR130" s="348"/>
      <c r="AS130" s="348"/>
      <c r="AT130" s="348"/>
      <c r="AU130" s="348"/>
      <c r="AV130" s="348"/>
      <c r="AW130" s="348"/>
      <c r="AX130" s="348"/>
      <c r="AY130" s="348"/>
      <c r="AZ130" s="348"/>
      <c r="BA130" s="348"/>
      <c r="BB130" s="348"/>
      <c r="BC130" s="348"/>
      <c r="BD130" s="348"/>
      <c r="BE130" s="348"/>
      <c r="BF130" s="348"/>
      <c r="BG130" s="348"/>
      <c r="BH130" s="348"/>
      <c r="BI130" s="348"/>
      <c r="BJ130" s="348"/>
      <c r="BK130" s="348"/>
      <c r="BL130" s="348"/>
      <c r="BM130" s="348"/>
      <c r="BN130" s="348"/>
      <c r="BO130" s="348"/>
      <c r="BP130" s="348"/>
      <c r="BQ130" s="348"/>
      <c r="BR130" s="348"/>
      <c r="BS130" s="348"/>
      <c r="BT130" s="348"/>
      <c r="BU130" s="348"/>
      <c r="BV130" s="348"/>
      <c r="BW130" s="348"/>
      <c r="BX130" s="348"/>
      <c r="BY130" s="348"/>
      <c r="BZ130" s="348"/>
      <c r="CA130" s="348"/>
      <c r="CB130" s="348"/>
      <c r="CC130" s="348"/>
      <c r="CD130" s="348"/>
      <c r="CE130" s="348"/>
      <c r="CF130" s="348"/>
      <c r="CG130" s="348"/>
      <c r="CH130" s="348"/>
      <c r="CI130" s="348"/>
      <c r="CJ130" s="348"/>
      <c r="CK130" s="348"/>
      <c r="CL130" s="348"/>
      <c r="CM130" s="348"/>
      <c r="CN130" s="348"/>
      <c r="CO130" s="411"/>
      <c r="CP130" s="411"/>
      <c r="CQ130" s="411"/>
      <c r="CR130" s="411"/>
      <c r="CS130" s="411"/>
      <c r="CT130" s="411"/>
      <c r="CU130" s="347"/>
      <c r="CV130" s="1363"/>
      <c r="CW130" s="347"/>
      <c r="CX130" s="347"/>
      <c r="CY130" s="347"/>
      <c r="CZ130" s="347"/>
      <c r="DA130" s="347"/>
    </row>
    <row r="131" spans="2:105">
      <c r="B131" s="383" t="s">
        <v>40</v>
      </c>
      <c r="C131" s="556">
        <f>C$4</f>
        <v>2007</v>
      </c>
      <c r="D131" s="556" t="str">
        <f t="shared" ref="D131:BO131" si="492">D$4</f>
        <v>Q1</v>
      </c>
      <c r="E131" s="556" t="str">
        <f t="shared" si="492"/>
        <v>Q2</v>
      </c>
      <c r="F131" s="556" t="str">
        <f t="shared" si="492"/>
        <v>Q3</v>
      </c>
      <c r="G131" s="556" t="str">
        <f t="shared" si="492"/>
        <v>Q4</v>
      </c>
      <c r="H131" s="556">
        <f t="shared" si="492"/>
        <v>2008</v>
      </c>
      <c r="I131" s="556" t="str">
        <f t="shared" si="492"/>
        <v>Q1</v>
      </c>
      <c r="J131" s="556" t="str">
        <f t="shared" si="492"/>
        <v>Q2</v>
      </c>
      <c r="K131" s="556" t="str">
        <f t="shared" si="492"/>
        <v>Q3</v>
      </c>
      <c r="L131" s="556" t="str">
        <f t="shared" si="492"/>
        <v>Q4</v>
      </c>
      <c r="M131" s="556">
        <f t="shared" si="492"/>
        <v>2009</v>
      </c>
      <c r="N131" s="556" t="str">
        <f t="shared" si="492"/>
        <v>Q1</v>
      </c>
      <c r="O131" s="556" t="str">
        <f t="shared" si="492"/>
        <v>Q2</v>
      </c>
      <c r="P131" s="556" t="str">
        <f t="shared" si="492"/>
        <v>Q3</v>
      </c>
      <c r="Q131" s="556" t="str">
        <f t="shared" si="492"/>
        <v>Q4</v>
      </c>
      <c r="R131" s="556">
        <f t="shared" si="492"/>
        <v>2010</v>
      </c>
      <c r="S131" s="556" t="str">
        <f t="shared" si="492"/>
        <v>Q1</v>
      </c>
      <c r="T131" s="556" t="str">
        <f t="shared" si="492"/>
        <v>Q2</v>
      </c>
      <c r="U131" s="556" t="str">
        <f t="shared" si="492"/>
        <v>Q3</v>
      </c>
      <c r="V131" s="556" t="str">
        <f t="shared" si="492"/>
        <v>Q4</v>
      </c>
      <c r="W131" s="556">
        <f t="shared" si="492"/>
        <v>2011</v>
      </c>
      <c r="X131" s="556" t="str">
        <f t="shared" si="492"/>
        <v>Q1</v>
      </c>
      <c r="Y131" s="556" t="str">
        <f t="shared" si="492"/>
        <v>Q2</v>
      </c>
      <c r="Z131" s="556" t="str">
        <f t="shared" si="492"/>
        <v>Q3</v>
      </c>
      <c r="AA131" s="556" t="str">
        <f t="shared" si="492"/>
        <v>Q4</v>
      </c>
      <c r="AB131" s="556">
        <f t="shared" si="492"/>
        <v>2012</v>
      </c>
      <c r="AC131" s="556" t="str">
        <f t="shared" si="492"/>
        <v>Q1</v>
      </c>
      <c r="AD131" s="556" t="str">
        <f t="shared" si="492"/>
        <v>Q2</v>
      </c>
      <c r="AE131" s="556" t="str">
        <f t="shared" si="492"/>
        <v>Q3</v>
      </c>
      <c r="AF131" s="556" t="str">
        <f t="shared" si="492"/>
        <v>Q4</v>
      </c>
      <c r="AG131" s="556">
        <f t="shared" si="492"/>
        <v>2013</v>
      </c>
      <c r="AH131" s="556" t="str">
        <f t="shared" si="492"/>
        <v>Q1</v>
      </c>
      <c r="AI131" s="556" t="str">
        <f t="shared" si="492"/>
        <v>Q2</v>
      </c>
      <c r="AJ131" s="556" t="str">
        <f t="shared" si="492"/>
        <v>Q3</v>
      </c>
      <c r="AK131" s="556" t="str">
        <f t="shared" si="492"/>
        <v>Q4</v>
      </c>
      <c r="AL131" s="556">
        <f t="shared" si="492"/>
        <v>2014</v>
      </c>
      <c r="AM131" s="556" t="str">
        <f t="shared" si="492"/>
        <v>Q1</v>
      </c>
      <c r="AN131" s="556" t="str">
        <f t="shared" si="492"/>
        <v>Q2</v>
      </c>
      <c r="AO131" s="556" t="str">
        <f t="shared" si="492"/>
        <v>Q3</v>
      </c>
      <c r="AP131" s="556" t="str">
        <f t="shared" si="492"/>
        <v>Q4</v>
      </c>
      <c r="AQ131" s="556">
        <f t="shared" si="492"/>
        <v>2015</v>
      </c>
      <c r="AR131" s="556" t="str">
        <f t="shared" si="492"/>
        <v>Q1</v>
      </c>
      <c r="AS131" s="556" t="str">
        <f t="shared" si="492"/>
        <v>Q2</v>
      </c>
      <c r="AT131" s="556" t="str">
        <f t="shared" si="492"/>
        <v>Q3</v>
      </c>
      <c r="AU131" s="556" t="str">
        <f t="shared" si="492"/>
        <v>Q4</v>
      </c>
      <c r="AV131" s="556">
        <f t="shared" si="492"/>
        <v>2016</v>
      </c>
      <c r="AW131" s="556" t="str">
        <f t="shared" si="492"/>
        <v>Q1</v>
      </c>
      <c r="AX131" s="556" t="str">
        <f t="shared" si="492"/>
        <v>Q2</v>
      </c>
      <c r="AY131" s="556" t="str">
        <f t="shared" si="492"/>
        <v>Q3</v>
      </c>
      <c r="AZ131" s="556" t="str">
        <f t="shared" si="492"/>
        <v>Q4</v>
      </c>
      <c r="BA131" s="556">
        <f t="shared" si="492"/>
        <v>2017</v>
      </c>
      <c r="BB131" s="556" t="str">
        <f t="shared" si="492"/>
        <v>Q1</v>
      </c>
      <c r="BC131" s="556" t="str">
        <f t="shared" si="492"/>
        <v>Q2</v>
      </c>
      <c r="BD131" s="556" t="str">
        <f t="shared" si="492"/>
        <v>Q3</v>
      </c>
      <c r="BE131" s="556" t="str">
        <f t="shared" si="492"/>
        <v>Q4</v>
      </c>
      <c r="BF131" s="556">
        <f t="shared" si="492"/>
        <v>2018</v>
      </c>
      <c r="BG131" s="556" t="str">
        <f t="shared" si="492"/>
        <v>Q1</v>
      </c>
      <c r="BH131" s="556" t="str">
        <f t="shared" si="492"/>
        <v>Q2</v>
      </c>
      <c r="BI131" s="556" t="str">
        <f t="shared" si="492"/>
        <v>Q3</v>
      </c>
      <c r="BJ131" s="556" t="str">
        <f t="shared" si="492"/>
        <v>Q4</v>
      </c>
      <c r="BK131" s="556">
        <f t="shared" si="492"/>
        <v>2019</v>
      </c>
      <c r="BL131" s="556" t="str">
        <f t="shared" si="492"/>
        <v>Q1</v>
      </c>
      <c r="BM131" s="556" t="str">
        <f t="shared" si="492"/>
        <v>Q2</v>
      </c>
      <c r="BN131" s="556" t="str">
        <f t="shared" si="492"/>
        <v>Q3</v>
      </c>
      <c r="BO131" s="556" t="str">
        <f t="shared" si="492"/>
        <v>Q4</v>
      </c>
      <c r="BP131" s="556">
        <f t="shared" ref="BP131:CT131" si="493">BP$4</f>
        <v>2020</v>
      </c>
      <c r="BQ131" s="556" t="str">
        <f t="shared" si="493"/>
        <v>Q1</v>
      </c>
      <c r="BR131" s="556" t="str">
        <f t="shared" si="493"/>
        <v>Q2</v>
      </c>
      <c r="BS131" s="556" t="str">
        <f t="shared" si="493"/>
        <v>Q3</v>
      </c>
      <c r="BT131" s="556" t="str">
        <f t="shared" si="493"/>
        <v>Q4</v>
      </c>
      <c r="BU131" s="556">
        <f t="shared" si="493"/>
        <v>2021</v>
      </c>
      <c r="BV131" s="556" t="str">
        <f t="shared" si="493"/>
        <v>Q1</v>
      </c>
      <c r="BW131" s="556" t="str">
        <f t="shared" si="493"/>
        <v>Q2</v>
      </c>
      <c r="BX131" s="556" t="str">
        <f t="shared" si="493"/>
        <v>Q3</v>
      </c>
      <c r="BY131" s="556" t="str">
        <f t="shared" si="493"/>
        <v>Q4</v>
      </c>
      <c r="BZ131" s="556">
        <f t="shared" si="493"/>
        <v>2022</v>
      </c>
      <c r="CA131" s="556" t="str">
        <f t="shared" si="493"/>
        <v>Q1</v>
      </c>
      <c r="CB131" s="556" t="str">
        <f t="shared" si="493"/>
        <v>Q2</v>
      </c>
      <c r="CC131" s="556" t="str">
        <f t="shared" si="493"/>
        <v>Q3</v>
      </c>
      <c r="CD131" s="556" t="str">
        <f t="shared" si="493"/>
        <v>Q4</v>
      </c>
      <c r="CE131" s="556">
        <f t="shared" si="493"/>
        <v>2023</v>
      </c>
      <c r="CF131" s="556" t="str">
        <f t="shared" si="493"/>
        <v>Q1</v>
      </c>
      <c r="CG131" s="556" t="str">
        <f t="shared" si="493"/>
        <v>Q2</v>
      </c>
      <c r="CH131" s="556" t="str">
        <f t="shared" si="493"/>
        <v>Q3</v>
      </c>
      <c r="CI131" s="556" t="str">
        <f t="shared" si="493"/>
        <v>Q4</v>
      </c>
      <c r="CJ131" s="556">
        <f t="shared" si="493"/>
        <v>2024</v>
      </c>
      <c r="CK131" s="556" t="str">
        <f t="shared" si="493"/>
        <v>Q1</v>
      </c>
      <c r="CL131" s="556" t="str">
        <f t="shared" si="493"/>
        <v>Q2</v>
      </c>
      <c r="CM131" s="556" t="str">
        <f t="shared" si="493"/>
        <v>Q3</v>
      </c>
      <c r="CN131" s="556"/>
      <c r="CO131" s="556">
        <f t="shared" si="493"/>
        <v>2025</v>
      </c>
      <c r="CP131" s="556">
        <f t="shared" si="493"/>
        <v>2026</v>
      </c>
      <c r="CQ131" s="556">
        <f t="shared" si="493"/>
        <v>2027</v>
      </c>
      <c r="CR131" s="556">
        <f t="shared" si="493"/>
        <v>2028</v>
      </c>
      <c r="CS131" s="556">
        <f t="shared" si="493"/>
        <v>2029</v>
      </c>
      <c r="CT131" s="556">
        <f t="shared" si="493"/>
        <v>2030</v>
      </c>
      <c r="CU131" s="347"/>
      <c r="CV131" s="1363"/>
      <c r="CW131" s="347"/>
      <c r="CX131" s="347"/>
      <c r="CY131" s="347"/>
      <c r="CZ131" s="347"/>
      <c r="DA131" s="347"/>
    </row>
    <row r="132" spans="2:105">
      <c r="B132" s="390" t="s">
        <v>800</v>
      </c>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13">
        <f>Inputs!D33</f>
        <v>127000</v>
      </c>
      <c r="AD132" s="513">
        <f>Inputs!E33</f>
        <v>139000</v>
      </c>
      <c r="AE132" s="513">
        <f>Inputs!F33</f>
        <v>142000</v>
      </c>
      <c r="AF132" s="513">
        <f>Inputs!G33</f>
        <v>120000</v>
      </c>
      <c r="AG132" s="545">
        <f>AVERAGE(AC132:AF132)</f>
        <v>132000</v>
      </c>
      <c r="AH132" s="513">
        <f>Inputs!H33</f>
        <v>113000</v>
      </c>
      <c r="AI132" s="513">
        <f>Inputs!I33</f>
        <v>139000</v>
      </c>
      <c r="AJ132" s="513">
        <f>Inputs!J33</f>
        <v>102000</v>
      </c>
      <c r="AK132" s="513">
        <f>Inputs!K33</f>
        <v>118000</v>
      </c>
      <c r="AL132" s="545">
        <f>AVERAGE(AH132:AK132)</f>
        <v>118000</v>
      </c>
      <c r="AM132" s="513">
        <f>Inputs!L33</f>
        <v>104000</v>
      </c>
      <c r="AN132" s="513">
        <f>Inputs!M33</f>
        <v>104000</v>
      </c>
      <c r="AO132" s="513">
        <f>Inputs!N33</f>
        <v>107000</v>
      </c>
      <c r="AP132" s="513">
        <f>Inputs!O33</f>
        <v>113000</v>
      </c>
      <c r="AQ132" s="545">
        <f>AVERAGE(AM132:AP132)</f>
        <v>107000</v>
      </c>
      <c r="AR132" s="513">
        <f>Inputs!P33</f>
        <v>116000</v>
      </c>
      <c r="AS132" s="513">
        <f>Inputs!Q33</f>
        <v>100000</v>
      </c>
      <c r="AT132" s="513">
        <f>Inputs!R33</f>
        <v>132000</v>
      </c>
      <c r="AU132" s="513">
        <f>Inputs!S33</f>
        <v>116000</v>
      </c>
      <c r="AV132" s="545">
        <f>AVERAGE(AR132:AU132)</f>
        <v>116000</v>
      </c>
      <c r="AW132" s="513">
        <f>Inputs!T33</f>
        <v>124000</v>
      </c>
      <c r="AX132" s="513">
        <f>Inputs!U33</f>
        <v>108000</v>
      </c>
      <c r="AY132" s="513">
        <f>Inputs!V33</f>
        <v>113000</v>
      </c>
      <c r="AZ132" s="513">
        <f>Inputs!W33</f>
        <v>111000</v>
      </c>
      <c r="BA132" s="347">
        <f>AVERAGE(AW132:AZ132)</f>
        <v>114000</v>
      </c>
      <c r="BB132" s="513">
        <f>Inputs!X33</f>
        <v>106000</v>
      </c>
      <c r="BC132" s="513">
        <f>Inputs!Y33</f>
        <v>103000</v>
      </c>
      <c r="BD132" s="513">
        <f>Inputs!Z33</f>
        <v>103000</v>
      </c>
      <c r="BE132" s="513">
        <f>Inputs!AA33</f>
        <v>103000</v>
      </c>
      <c r="BF132" s="347">
        <f>AVERAGE(BB132:BE132)</f>
        <v>103750</v>
      </c>
      <c r="BG132" s="513">
        <f>Inputs!AB33</f>
        <v>114000</v>
      </c>
      <c r="BH132" s="513">
        <f>Inputs!AC33</f>
        <v>109000</v>
      </c>
      <c r="BI132" s="513">
        <f>Inputs!AD33</f>
        <v>111000</v>
      </c>
      <c r="BJ132" s="513">
        <f>Inputs!AE33</f>
        <v>109000</v>
      </c>
      <c r="BK132" s="347">
        <f>AVERAGE(BG132:BJ132)</f>
        <v>110750</v>
      </c>
      <c r="BL132" s="513">
        <f>Inputs!AF33</f>
        <v>114000</v>
      </c>
      <c r="BM132" s="513">
        <f>Inputs!AG33</f>
        <v>111000</v>
      </c>
      <c r="BN132" s="513">
        <f>Inputs!AH33</f>
        <v>110000</v>
      </c>
      <c r="BO132" s="513">
        <f>Inputs!AI33</f>
        <v>110000</v>
      </c>
      <c r="BP132" s="347">
        <f>AVERAGE(BL132:BO132)</f>
        <v>111250</v>
      </c>
      <c r="BQ132" s="513">
        <f>Inputs!AJ33</f>
        <v>108000</v>
      </c>
      <c r="BR132" s="513">
        <f>Inputs!AK33</f>
        <v>108000</v>
      </c>
      <c r="BS132" s="513">
        <f>Inputs!AL33</f>
        <v>105000</v>
      </c>
      <c r="BT132" s="513">
        <f>Inputs!AM33</f>
        <v>106000</v>
      </c>
      <c r="BU132" s="347">
        <f>AVERAGE(BQ132:BT132)</f>
        <v>106750</v>
      </c>
      <c r="BV132" s="513">
        <f>Inputs!AN33</f>
        <v>98000</v>
      </c>
      <c r="BW132" s="513">
        <f>Inputs!AO33</f>
        <v>97000</v>
      </c>
      <c r="BX132" s="513">
        <f>Inputs!AP33</f>
        <v>96000</v>
      </c>
      <c r="BY132" s="513">
        <f>Inputs!AQ33</f>
        <v>92000</v>
      </c>
      <c r="BZ132" s="347">
        <f>BZ316*10^6/BZ319/12</f>
        <v>96508.865248226954</v>
      </c>
      <c r="CA132" s="513">
        <f>Inputs!AR33</f>
        <v>91000</v>
      </c>
      <c r="CB132" s="513">
        <f>Inputs!AS33</f>
        <v>90000</v>
      </c>
      <c r="CC132" s="513">
        <f>Inputs!AT33</f>
        <v>90000</v>
      </c>
      <c r="CD132" s="513">
        <f>Inputs!AU33</f>
        <v>87000</v>
      </c>
      <c r="CE132" s="347">
        <f>CE316*10^6/CE319/12</f>
        <v>88741.93548387097</v>
      </c>
      <c r="CF132" s="513">
        <f>Inputs!AV33</f>
        <v>87000</v>
      </c>
      <c r="CG132" s="513">
        <f>Inputs!AW33</f>
        <v>91000</v>
      </c>
      <c r="CH132" s="513">
        <f>Inputs!AX33</f>
        <v>86000</v>
      </c>
      <c r="CI132" s="513">
        <f>Inputs!AY33</f>
        <v>90000</v>
      </c>
      <c r="CJ132" s="347">
        <f>CJ316*10^6/CJ319/12</f>
        <v>87833.333333333358</v>
      </c>
      <c r="CK132" s="513">
        <f>Inputs!AZ33</f>
        <v>85000</v>
      </c>
      <c r="CL132" s="513">
        <f>Inputs!BA33</f>
        <v>84000</v>
      </c>
      <c r="CM132" s="513">
        <f>Inputs!BB33</f>
        <v>81100</v>
      </c>
      <c r="CN132" s="513"/>
      <c r="CO132" s="347">
        <f>CJ132*(1+CO133)</f>
        <v>84320.000000000015</v>
      </c>
      <c r="CP132" s="347">
        <f t="shared" ref="CP132:CT132" si="494">CO132*(1+CP133)</f>
        <v>84741.6</v>
      </c>
      <c r="CQ132" s="347">
        <f t="shared" si="494"/>
        <v>85165.30799999999</v>
      </c>
      <c r="CR132" s="347">
        <f t="shared" si="494"/>
        <v>85591.134539999985</v>
      </c>
      <c r="CS132" s="347">
        <f t="shared" si="494"/>
        <v>86019.090212699972</v>
      </c>
      <c r="CT132" s="347">
        <f t="shared" si="494"/>
        <v>86449.185663763463</v>
      </c>
      <c r="CU132" s="347" t="s">
        <v>615</v>
      </c>
      <c r="CV132" s="1363"/>
      <c r="CW132" s="347"/>
      <c r="CX132" s="347"/>
      <c r="CY132" s="347"/>
      <c r="CZ132" s="347"/>
      <c r="DA132" s="347"/>
    </row>
    <row r="133" spans="2:105">
      <c r="B133" s="407" t="s">
        <v>561</v>
      </c>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417"/>
      <c r="AD133" s="417"/>
      <c r="AE133" s="417"/>
      <c r="AF133" s="417"/>
      <c r="AG133" s="417"/>
      <c r="AH133" s="417">
        <f t="shared" ref="AH133" si="495">AH132/AC132-1</f>
        <v>-0.11023622047244097</v>
      </c>
      <c r="AI133" s="417">
        <f t="shared" ref="AI133" si="496">AI132/AD132-1</f>
        <v>0</v>
      </c>
      <c r="AJ133" s="417">
        <f t="shared" ref="AJ133" si="497">AJ132/AE132-1</f>
        <v>-0.28169014084507038</v>
      </c>
      <c r="AK133" s="417">
        <f t="shared" ref="AK133" si="498">AK132/AF132-1</f>
        <v>-1.6666666666666718E-2</v>
      </c>
      <c r="AL133" s="417">
        <f t="shared" ref="AL133:AM133" si="499">AL132/AG132-1</f>
        <v>-0.10606060606060608</v>
      </c>
      <c r="AM133" s="417">
        <f t="shared" si="499"/>
        <v>-7.9646017699115057E-2</v>
      </c>
      <c r="AN133" s="417">
        <f t="shared" ref="AN133" si="500">AN132/AI132-1</f>
        <v>-0.25179856115107913</v>
      </c>
      <c r="AO133" s="417">
        <f t="shared" ref="AO133" si="501">AO132/AJ132-1</f>
        <v>4.9019607843137303E-2</v>
      </c>
      <c r="AP133" s="417">
        <f t="shared" ref="AP133" si="502">AP132/AK132-1</f>
        <v>-4.2372881355932202E-2</v>
      </c>
      <c r="AQ133" s="417">
        <f t="shared" ref="AQ133:AR133" si="503">AQ132/AL132-1</f>
        <v>-9.3220338983050821E-2</v>
      </c>
      <c r="AR133" s="417">
        <f t="shared" si="503"/>
        <v>0.11538461538461542</v>
      </c>
      <c r="AS133" s="417">
        <f t="shared" ref="AS133" si="504">AS132/AN132-1</f>
        <v>-3.8461538461538436E-2</v>
      </c>
      <c r="AT133" s="417">
        <f t="shared" ref="AT133" si="505">AT132/AO132-1</f>
        <v>0.23364485981308403</v>
      </c>
      <c r="AU133" s="417">
        <f t="shared" ref="AU133" si="506">AU132/AP132-1</f>
        <v>2.6548672566371723E-2</v>
      </c>
      <c r="AV133" s="417">
        <f t="shared" ref="AV133" si="507">AV132/AQ132-1</f>
        <v>8.4112149532710179E-2</v>
      </c>
      <c r="AW133" s="417">
        <f t="shared" ref="AW133" si="508">AW132/AR132-1</f>
        <v>6.8965517241379226E-2</v>
      </c>
      <c r="AX133" s="417">
        <f t="shared" ref="AX133" si="509">AX132/AS132-1</f>
        <v>8.0000000000000071E-2</v>
      </c>
      <c r="AY133" s="417">
        <f t="shared" ref="AY133" si="510">AY132/AT132-1</f>
        <v>-0.14393939393939392</v>
      </c>
      <c r="AZ133" s="417">
        <f t="shared" ref="AZ133" si="511">AZ132/AU132-1</f>
        <v>-4.31034482758621E-2</v>
      </c>
      <c r="BA133" s="417">
        <f t="shared" ref="BA133:BB133" si="512">BA132/AV132-1</f>
        <v>-1.7241379310344862E-2</v>
      </c>
      <c r="BB133" s="417">
        <f t="shared" si="512"/>
        <v>-0.14516129032258063</v>
      </c>
      <c r="BC133" s="417">
        <f t="shared" ref="BC133" si="513">BC132/AX132-1</f>
        <v>-4.629629629629628E-2</v>
      </c>
      <c r="BD133" s="417">
        <f t="shared" ref="BD133" si="514">BD132/AY132-1</f>
        <v>-8.8495575221238965E-2</v>
      </c>
      <c r="BE133" s="417">
        <f t="shared" ref="BE133" si="515">BE132/AZ132-1</f>
        <v>-7.2072072072072113E-2</v>
      </c>
      <c r="BF133" s="417">
        <f t="shared" ref="BF133:BG133" si="516">BF132/BA132-1</f>
        <v>-8.9912280701754388E-2</v>
      </c>
      <c r="BG133" s="417">
        <f t="shared" si="516"/>
        <v>7.547169811320753E-2</v>
      </c>
      <c r="BH133" s="417">
        <f t="shared" ref="BH133" si="517">BH132/BC132-1</f>
        <v>5.8252427184465994E-2</v>
      </c>
      <c r="BI133" s="417">
        <f t="shared" ref="BI133" si="518">BI132/BD132-1</f>
        <v>7.7669902912621325E-2</v>
      </c>
      <c r="BJ133" s="417">
        <f t="shared" ref="BJ133" si="519">BJ132/BE132-1</f>
        <v>5.8252427184465994E-2</v>
      </c>
      <c r="BK133" s="417">
        <f t="shared" ref="BK133:BL133" si="520">BK132/BF132-1</f>
        <v>6.7469879518072373E-2</v>
      </c>
      <c r="BL133" s="417">
        <f t="shared" si="520"/>
        <v>0</v>
      </c>
      <c r="BM133" s="417">
        <f t="shared" ref="BM133" si="521">BM132/BH132-1</f>
        <v>1.8348623853210899E-2</v>
      </c>
      <c r="BN133" s="417">
        <f t="shared" ref="BN133" si="522">BN132/BI132-1</f>
        <v>-9.009009009009028E-3</v>
      </c>
      <c r="BO133" s="417">
        <f t="shared" ref="BO133" si="523">BO132/BJ132-1</f>
        <v>9.1743119266054496E-3</v>
      </c>
      <c r="BP133" s="417">
        <f t="shared" ref="BP133:BQ133" si="524">BP132/BK132-1</f>
        <v>4.5146726862301811E-3</v>
      </c>
      <c r="BQ133" s="417">
        <f t="shared" si="524"/>
        <v>-5.2631578947368474E-2</v>
      </c>
      <c r="BR133" s="417">
        <f t="shared" ref="BR133" si="525">BR132/BM132-1</f>
        <v>-2.7027027027026973E-2</v>
      </c>
      <c r="BS133" s="417">
        <f t="shared" ref="BS133" si="526">BS132/BN132-1</f>
        <v>-4.5454545454545414E-2</v>
      </c>
      <c r="BT133" s="417">
        <f t="shared" ref="BT133" si="527">BT132/BO132-1</f>
        <v>-3.6363636363636376E-2</v>
      </c>
      <c r="BU133" s="417">
        <f t="shared" ref="BU133:BV133" si="528">BU132/BP132-1</f>
        <v>-4.0449438202247223E-2</v>
      </c>
      <c r="BV133" s="417">
        <f t="shared" si="528"/>
        <v>-9.259259259259256E-2</v>
      </c>
      <c r="BW133" s="417">
        <f t="shared" ref="BW133" si="529">BW132/BR132-1</f>
        <v>-0.10185185185185186</v>
      </c>
      <c r="BX133" s="417">
        <f t="shared" ref="BX133" si="530">BX132/BS132-1</f>
        <v>-8.5714285714285743E-2</v>
      </c>
      <c r="BY133" s="417">
        <f t="shared" ref="BY133" si="531">BY132/BT132-1</f>
        <v>-0.13207547169811318</v>
      </c>
      <c r="BZ133" s="417">
        <f t="shared" ref="BZ133" si="532">BZ132/BU132-1</f>
        <v>-9.5935688541199493E-2</v>
      </c>
      <c r="CA133" s="417">
        <f t="shared" ref="CA133:CM133" si="533">CA132/BV132-1</f>
        <v>-7.1428571428571397E-2</v>
      </c>
      <c r="CB133" s="417">
        <f t="shared" ref="CB133" si="534">CB132/BW132-1</f>
        <v>-7.2164948453608213E-2</v>
      </c>
      <c r="CC133" s="417">
        <f t="shared" ref="CC133" si="535">CC132/BX132-1</f>
        <v>-6.25E-2</v>
      </c>
      <c r="CD133" s="417">
        <f t="shared" ref="CD133" si="536">CD132/BY132-1</f>
        <v>-5.4347826086956541E-2</v>
      </c>
      <c r="CE133" s="417">
        <f t="shared" si="533"/>
        <v>-8.0478925375186416E-2</v>
      </c>
      <c r="CF133" s="417">
        <f t="shared" si="533"/>
        <v>-4.3956043956043911E-2</v>
      </c>
      <c r="CG133" s="417">
        <f t="shared" ref="CG133" si="537">CG132/CB132-1</f>
        <v>1.1111111111111072E-2</v>
      </c>
      <c r="CH133" s="417">
        <f t="shared" ref="CH133" si="538">CH132/CC132-1</f>
        <v>-4.4444444444444398E-2</v>
      </c>
      <c r="CI133" s="417">
        <f t="shared" ref="CI133" si="539">CI132/CD132-1</f>
        <v>3.4482758620689724E-2</v>
      </c>
      <c r="CJ133" s="417">
        <f t="shared" si="533"/>
        <v>-1.0238701078395529E-2</v>
      </c>
      <c r="CK133" s="417">
        <f t="shared" si="533"/>
        <v>-2.2988505747126409E-2</v>
      </c>
      <c r="CL133" s="417">
        <f t="shared" si="533"/>
        <v>-7.6923076923076872E-2</v>
      </c>
      <c r="CM133" s="417">
        <f t="shared" si="533"/>
        <v>-5.697674418604648E-2</v>
      </c>
      <c r="CN133" s="417"/>
      <c r="CO133" s="1334">
        <v>-0.04</v>
      </c>
      <c r="CP133" s="1334">
        <v>5.0000000000000001E-3</v>
      </c>
      <c r="CQ133" s="1334">
        <v>5.0000000000000001E-3</v>
      </c>
      <c r="CR133" s="1334">
        <v>5.0000000000000001E-3</v>
      </c>
      <c r="CS133" s="1334">
        <v>5.0000000000000001E-3</v>
      </c>
      <c r="CT133" s="1334">
        <v>5.0000000000000001E-3</v>
      </c>
      <c r="CU133" s="347"/>
      <c r="CV133" s="1363"/>
      <c r="CW133" s="347"/>
      <c r="CX133" s="347"/>
      <c r="CY133" s="347"/>
      <c r="CZ133" s="347"/>
      <c r="DA133" s="347"/>
    </row>
    <row r="134" spans="2:105">
      <c r="B134" s="390" t="s">
        <v>804</v>
      </c>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13">
        <f>Inputs!D32</f>
        <v>27000</v>
      </c>
      <c r="AD134" s="513">
        <f>Inputs!E32</f>
        <v>27000</v>
      </c>
      <c r="AE134" s="513">
        <f>Inputs!F32</f>
        <v>24000</v>
      </c>
      <c r="AF134" s="513">
        <f>Inputs!G32</f>
        <v>26000</v>
      </c>
      <c r="AG134" s="545">
        <f>AVERAGE(AC134:AF134)</f>
        <v>26000</v>
      </c>
      <c r="AH134" s="513">
        <f>Inputs!H32</f>
        <v>22000</v>
      </c>
      <c r="AI134" s="513">
        <f>Inputs!I32</f>
        <v>26000</v>
      </c>
      <c r="AJ134" s="513">
        <f>Inputs!J32</f>
        <v>27000</v>
      </c>
      <c r="AK134" s="513">
        <f>Inputs!K32</f>
        <v>25000</v>
      </c>
      <c r="AL134" s="545">
        <f>AVERAGE(AH134:AK134)</f>
        <v>25000</v>
      </c>
      <c r="AM134" s="513">
        <f>Inputs!L32</f>
        <v>27000</v>
      </c>
      <c r="AN134" s="513">
        <f>Inputs!M32</f>
        <v>31000</v>
      </c>
      <c r="AO134" s="513">
        <f>Inputs!N32</f>
        <v>38000</v>
      </c>
      <c r="AP134" s="513">
        <f>Inputs!O32</f>
        <v>40000</v>
      </c>
      <c r="AQ134" s="545">
        <f>AVERAGE(AM134:AP134)</f>
        <v>34000</v>
      </c>
      <c r="AR134" s="513">
        <f>Inputs!P32</f>
        <v>38000</v>
      </c>
      <c r="AS134" s="513">
        <f>Inputs!Q32</f>
        <v>34000</v>
      </c>
      <c r="AT134" s="513">
        <f>Inputs!R32</f>
        <v>33000</v>
      </c>
      <c r="AU134" s="513">
        <f>Inputs!S32</f>
        <v>31000</v>
      </c>
      <c r="AV134" s="545">
        <f>AVERAGE(AR134:AU134)</f>
        <v>34000</v>
      </c>
      <c r="AW134" s="513">
        <f>Inputs!T32</f>
        <v>32000</v>
      </c>
      <c r="AX134" s="513">
        <f>Inputs!U32</f>
        <v>34000</v>
      </c>
      <c r="AY134" s="513">
        <f>Inputs!V32</f>
        <v>33000</v>
      </c>
      <c r="AZ134" s="513">
        <f>Inputs!W32</f>
        <v>33000</v>
      </c>
      <c r="BA134" s="347">
        <f>AVERAGE(AW134:AZ134)</f>
        <v>33000</v>
      </c>
      <c r="BB134" s="513">
        <f>Inputs!X32</f>
        <v>29000</v>
      </c>
      <c r="BC134" s="513">
        <f>Inputs!Y32</f>
        <v>30000</v>
      </c>
      <c r="BD134" s="513">
        <f>Inputs!Z32</f>
        <v>30000</v>
      </c>
      <c r="BE134" s="513">
        <f>Inputs!AA32</f>
        <v>31000</v>
      </c>
      <c r="BF134" s="347">
        <f>AVERAGE(BB134:BE134)</f>
        <v>30000</v>
      </c>
      <c r="BG134" s="513">
        <f>Inputs!AB32</f>
        <v>31000</v>
      </c>
      <c r="BH134" s="513">
        <f>Inputs!AC32</f>
        <v>33000</v>
      </c>
      <c r="BI134" s="513">
        <f>Inputs!AD32</f>
        <v>34000</v>
      </c>
      <c r="BJ134" s="513">
        <f>Inputs!AE32</f>
        <v>34000</v>
      </c>
      <c r="BK134" s="347">
        <f>AVERAGE(BG134:BJ134)</f>
        <v>33000</v>
      </c>
      <c r="BL134" s="513">
        <f>Inputs!AF32</f>
        <v>34000</v>
      </c>
      <c r="BM134" s="513">
        <f>Inputs!AG32</f>
        <v>36000</v>
      </c>
      <c r="BN134" s="513">
        <f>Inputs!AH32</f>
        <v>35000</v>
      </c>
      <c r="BO134" s="513">
        <f>Inputs!AI32</f>
        <v>33000</v>
      </c>
      <c r="BP134" s="347">
        <f>AVERAGE(BL134:BO134)</f>
        <v>34500</v>
      </c>
      <c r="BQ134" s="513">
        <f>Inputs!AJ32</f>
        <v>33000</v>
      </c>
      <c r="BR134" s="513">
        <f>Inputs!AK32</f>
        <v>36000</v>
      </c>
      <c r="BS134" s="513">
        <f>Inputs!AL32</f>
        <v>36000</v>
      </c>
      <c r="BT134" s="513">
        <f>Inputs!AM32</f>
        <v>36000</v>
      </c>
      <c r="BU134" s="347">
        <f>AVERAGE(BQ134:BT134)</f>
        <v>35250</v>
      </c>
      <c r="BV134" s="513">
        <f>Inputs!AN32</f>
        <v>36000</v>
      </c>
      <c r="BW134" s="513">
        <f>Inputs!AO32</f>
        <v>38000</v>
      </c>
      <c r="BX134" s="513">
        <f>Inputs!AP32</f>
        <v>38000</v>
      </c>
      <c r="BY134" s="513">
        <f>Inputs!AQ32</f>
        <v>38000</v>
      </c>
      <c r="BZ134" s="347">
        <f>BZ321*10^6/BZ324/12</f>
        <v>37242.561506350474</v>
      </c>
      <c r="CA134" s="513">
        <f>Inputs!AR32</f>
        <v>38000</v>
      </c>
      <c r="CB134" s="513">
        <f>Inputs!AS32</f>
        <v>40000</v>
      </c>
      <c r="CC134" s="513">
        <f>Inputs!AT32</f>
        <v>40000</v>
      </c>
      <c r="CD134" s="513">
        <f>Inputs!AU32</f>
        <v>41000</v>
      </c>
      <c r="CE134" s="347">
        <f>CE321*10^6/CE324/12</f>
        <v>39917.336907953526</v>
      </c>
      <c r="CF134" s="513">
        <f>Inputs!AV32</f>
        <v>42000</v>
      </c>
      <c r="CG134" s="513">
        <f>Inputs!AW32</f>
        <v>43000</v>
      </c>
      <c r="CH134" s="513">
        <f>Inputs!AX32</f>
        <v>40000</v>
      </c>
      <c r="CI134" s="513">
        <f>Inputs!AY32</f>
        <v>40000</v>
      </c>
      <c r="CJ134" s="347">
        <f>CJ321*10^6/CJ324/12</f>
        <v>41297.566371681416</v>
      </c>
      <c r="CK134" s="513">
        <f>Inputs!AZ32</f>
        <v>38000</v>
      </c>
      <c r="CL134" s="513">
        <f>Inputs!BA32</f>
        <v>36000</v>
      </c>
      <c r="CM134" s="513">
        <f>Inputs!BB32</f>
        <v>37900</v>
      </c>
      <c r="CN134" s="513"/>
      <c r="CO134" s="347">
        <f>CJ134*(1+CO135)</f>
        <v>37167.809734513277</v>
      </c>
      <c r="CP134" s="347">
        <f t="shared" ref="CP134:CT134" si="540">CO134*(1+CP135)</f>
        <v>38282.844026548679</v>
      </c>
      <c r="CQ134" s="347">
        <f t="shared" si="540"/>
        <v>39431.329347345141</v>
      </c>
      <c r="CR134" s="347">
        <f t="shared" si="540"/>
        <v>40614.269227765493</v>
      </c>
      <c r="CS134" s="347">
        <f t="shared" si="540"/>
        <v>41832.697304598456</v>
      </c>
      <c r="CT134" s="347">
        <f t="shared" si="540"/>
        <v>43087.67822373641</v>
      </c>
      <c r="CU134" s="347"/>
      <c r="CV134" s="1363"/>
      <c r="CW134" s="347"/>
      <c r="CX134" s="347"/>
      <c r="CY134" s="347"/>
      <c r="CZ134" s="347"/>
      <c r="DA134" s="347"/>
    </row>
    <row r="135" spans="2:105">
      <c r="B135" s="407" t="s">
        <v>561</v>
      </c>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417"/>
      <c r="AH135" s="417">
        <f t="shared" ref="AH135" si="541">AH134/AC134-1</f>
        <v>-0.18518518518518523</v>
      </c>
      <c r="AI135" s="417">
        <f t="shared" ref="AI135" si="542">AI134/AD134-1</f>
        <v>-3.703703703703709E-2</v>
      </c>
      <c r="AJ135" s="417">
        <f t="shared" ref="AJ135" si="543">AJ134/AE134-1</f>
        <v>0.125</v>
      </c>
      <c r="AK135" s="417">
        <f t="shared" ref="AK135:AL135" si="544">AK134/AF134-1</f>
        <v>-3.8461538461538436E-2</v>
      </c>
      <c r="AL135" s="417">
        <f t="shared" si="544"/>
        <v>-3.8461538461538436E-2</v>
      </c>
      <c r="AM135" s="417">
        <f t="shared" ref="AM135" si="545">AM134/AH134-1</f>
        <v>0.22727272727272729</v>
      </c>
      <c r="AN135" s="417">
        <f t="shared" ref="AN135" si="546">AN134/AI134-1</f>
        <v>0.19230769230769229</v>
      </c>
      <c r="AO135" s="417">
        <f t="shared" ref="AO135" si="547">AO134/AJ134-1</f>
        <v>0.40740740740740744</v>
      </c>
      <c r="AP135" s="417">
        <f t="shared" ref="AP135" si="548">AP134/AK134-1</f>
        <v>0.60000000000000009</v>
      </c>
      <c r="AQ135" s="417">
        <f t="shared" ref="AQ135" si="549">AQ134/AL134-1</f>
        <v>0.3600000000000001</v>
      </c>
      <c r="AR135" s="417">
        <f t="shared" ref="AR135" si="550">AR134/AM134-1</f>
        <v>0.40740740740740744</v>
      </c>
      <c r="AS135" s="417">
        <f t="shared" ref="AS135" si="551">AS134/AN134-1</f>
        <v>9.6774193548387011E-2</v>
      </c>
      <c r="AT135" s="417">
        <f t="shared" ref="AT135" si="552">AT134/AO134-1</f>
        <v>-0.13157894736842102</v>
      </c>
      <c r="AU135" s="417">
        <f t="shared" ref="AU135:AV135" si="553">AU134/AP134-1</f>
        <v>-0.22499999999999998</v>
      </c>
      <c r="AV135" s="417">
        <f t="shared" si="553"/>
        <v>0</v>
      </c>
      <c r="AW135" s="417">
        <f t="shared" ref="AW135" si="554">AW134/AR134-1</f>
        <v>-0.15789473684210531</v>
      </c>
      <c r="AX135" s="417">
        <f t="shared" ref="AX135" si="555">AX134/AS134-1</f>
        <v>0</v>
      </c>
      <c r="AY135" s="417">
        <f t="shared" ref="AY135" si="556">AY134/AT134-1</f>
        <v>0</v>
      </c>
      <c r="AZ135" s="417">
        <f t="shared" ref="AZ135" si="557">AZ134/AU134-1</f>
        <v>6.4516129032258007E-2</v>
      </c>
      <c r="BA135" s="417">
        <f t="shared" ref="BA135:BB135" si="558">BA134/AV134-1</f>
        <v>-2.9411764705882359E-2</v>
      </c>
      <c r="BB135" s="417">
        <f t="shared" si="558"/>
        <v>-9.375E-2</v>
      </c>
      <c r="BC135" s="417">
        <f t="shared" ref="BC135" si="559">BC134/AX134-1</f>
        <v>-0.11764705882352944</v>
      </c>
      <c r="BD135" s="417">
        <f t="shared" ref="BD135" si="560">BD134/AY134-1</f>
        <v>-9.0909090909090939E-2</v>
      </c>
      <c r="BE135" s="417">
        <f t="shared" ref="BE135" si="561">BE134/AZ134-1</f>
        <v>-6.0606060606060552E-2</v>
      </c>
      <c r="BF135" s="417">
        <f t="shared" ref="BF135:BG135" si="562">BF134/BA134-1</f>
        <v>-9.0909090909090939E-2</v>
      </c>
      <c r="BG135" s="417">
        <f t="shared" si="562"/>
        <v>6.8965517241379226E-2</v>
      </c>
      <c r="BH135" s="417">
        <f t="shared" ref="BH135" si="563">BH134/BC134-1</f>
        <v>0.10000000000000009</v>
      </c>
      <c r="BI135" s="417">
        <f t="shared" ref="BI135" si="564">BI134/BD134-1</f>
        <v>0.1333333333333333</v>
      </c>
      <c r="BJ135" s="417">
        <f t="shared" ref="BJ135" si="565">BJ134/BE134-1</f>
        <v>9.6774193548387011E-2</v>
      </c>
      <c r="BK135" s="417">
        <f t="shared" ref="BK135:BL135" si="566">BK134/BF134-1</f>
        <v>0.10000000000000009</v>
      </c>
      <c r="BL135" s="417">
        <f t="shared" si="566"/>
        <v>9.6774193548387011E-2</v>
      </c>
      <c r="BM135" s="417">
        <f t="shared" ref="BM135" si="567">BM134/BH134-1</f>
        <v>9.0909090909090828E-2</v>
      </c>
      <c r="BN135" s="417">
        <f t="shared" ref="BN135" si="568">BN134/BI134-1</f>
        <v>2.9411764705882248E-2</v>
      </c>
      <c r="BO135" s="417">
        <f t="shared" ref="BO135" si="569">BO134/BJ134-1</f>
        <v>-2.9411764705882359E-2</v>
      </c>
      <c r="BP135" s="417">
        <f t="shared" ref="BP135:BQ135" si="570">BP134/BK134-1</f>
        <v>4.5454545454545414E-2</v>
      </c>
      <c r="BQ135" s="417">
        <f t="shared" si="570"/>
        <v>-2.9411764705882359E-2</v>
      </c>
      <c r="BR135" s="417">
        <f t="shared" ref="BR135" si="571">BR134/BM134-1</f>
        <v>0</v>
      </c>
      <c r="BS135" s="417">
        <f t="shared" ref="BS135" si="572">BS134/BN134-1</f>
        <v>2.857142857142847E-2</v>
      </c>
      <c r="BT135" s="417">
        <f t="shared" ref="BT135" si="573">BT134/BO134-1</f>
        <v>9.0909090909090828E-2</v>
      </c>
      <c r="BU135" s="417">
        <f t="shared" ref="BU135:BV135" si="574">BU134/BP134-1</f>
        <v>2.1739130434782705E-2</v>
      </c>
      <c r="BV135" s="417">
        <f t="shared" si="574"/>
        <v>9.0909090909090828E-2</v>
      </c>
      <c r="BW135" s="417">
        <f t="shared" ref="BW135" si="575">BW134/BR134-1</f>
        <v>5.555555555555558E-2</v>
      </c>
      <c r="BX135" s="417">
        <f t="shared" ref="BX135" si="576">BX134/BS134-1</f>
        <v>5.555555555555558E-2</v>
      </c>
      <c r="BY135" s="417">
        <f t="shared" ref="BY135" si="577">BY134/BT134-1</f>
        <v>5.555555555555558E-2</v>
      </c>
      <c r="BZ135" s="417">
        <f t="shared" ref="BZ135" si="578">BZ134/BU134-1</f>
        <v>5.6526567556041796E-2</v>
      </c>
      <c r="CA135" s="417">
        <f t="shared" ref="CA135:CM135" si="579">CA134/BV134-1</f>
        <v>5.555555555555558E-2</v>
      </c>
      <c r="CB135" s="417">
        <f t="shared" ref="CB135" si="580">CB134/BW134-1</f>
        <v>5.2631578947368363E-2</v>
      </c>
      <c r="CC135" s="417">
        <f t="shared" ref="CC135" si="581">CC134/BX134-1</f>
        <v>5.2631578947368363E-2</v>
      </c>
      <c r="CD135" s="417">
        <f t="shared" ref="CD135" si="582">CD134/BY134-1</f>
        <v>7.8947368421052655E-2</v>
      </c>
      <c r="CE135" s="417">
        <f t="shared" si="579"/>
        <v>7.1820392943352074E-2</v>
      </c>
      <c r="CF135" s="417">
        <f t="shared" si="579"/>
        <v>0.10526315789473695</v>
      </c>
      <c r="CG135" s="417">
        <f t="shared" ref="CG135" si="583">CG134/CB134-1</f>
        <v>7.4999999999999956E-2</v>
      </c>
      <c r="CH135" s="417">
        <f t="shared" ref="CH135" si="584">CH134/CC134-1</f>
        <v>0</v>
      </c>
      <c r="CI135" s="417">
        <f t="shared" ref="CI135" si="585">CI134/CD134-1</f>
        <v>-2.4390243902439046E-2</v>
      </c>
      <c r="CJ135" s="417">
        <f t="shared" si="579"/>
        <v>3.4577193035462139E-2</v>
      </c>
      <c r="CK135" s="417">
        <f t="shared" si="579"/>
        <v>-9.5238095238095233E-2</v>
      </c>
      <c r="CL135" s="417">
        <f t="shared" si="579"/>
        <v>-0.16279069767441856</v>
      </c>
      <c r="CM135" s="417">
        <f t="shared" si="579"/>
        <v>-5.2499999999999991E-2</v>
      </c>
      <c r="CN135" s="417"/>
      <c r="CO135" s="1334">
        <v>-0.1</v>
      </c>
      <c r="CP135" s="1334">
        <v>0.03</v>
      </c>
      <c r="CQ135" s="1334">
        <v>0.03</v>
      </c>
      <c r="CR135" s="1334">
        <v>0.03</v>
      </c>
      <c r="CS135" s="1334">
        <v>0.03</v>
      </c>
      <c r="CT135" s="1334">
        <v>0.03</v>
      </c>
      <c r="CU135" s="347"/>
      <c r="CV135" s="1363"/>
      <c r="CW135" s="347"/>
      <c r="CX135" s="347"/>
      <c r="CY135" s="347"/>
      <c r="CZ135" s="347"/>
      <c r="DA135" s="347"/>
    </row>
    <row r="136" spans="2:105">
      <c r="B136" s="414" t="s">
        <v>506</v>
      </c>
      <c r="C136" s="432">
        <v>53273.05943379872</v>
      </c>
      <c r="D136" s="432">
        <v>51633.298432102049</v>
      </c>
      <c r="E136" s="432">
        <v>51077.105455602104</v>
      </c>
      <c r="F136" s="432">
        <v>46096.73213020464</v>
      </c>
      <c r="G136" s="432">
        <v>38562.602900025442</v>
      </c>
      <c r="H136" s="432">
        <v>48455.264955204686</v>
      </c>
      <c r="I136" s="432">
        <v>38003.15730337079</v>
      </c>
      <c r="J136" s="432">
        <v>44508.066217415864</v>
      </c>
      <c r="K136" s="432">
        <v>47277.219066937119</v>
      </c>
      <c r="L136" s="432">
        <v>46597.295979202776</v>
      </c>
      <c r="M136" s="432">
        <v>36000</v>
      </c>
      <c r="N136" s="432">
        <v>35000</v>
      </c>
      <c r="O136" s="432">
        <v>33000</v>
      </c>
      <c r="P136" s="432">
        <v>34000</v>
      </c>
      <c r="Q136" s="432">
        <v>34000</v>
      </c>
      <c r="R136" s="432">
        <v>34000</v>
      </c>
      <c r="S136" s="432">
        <v>32000</v>
      </c>
      <c r="T136" s="432">
        <v>32000</v>
      </c>
      <c r="U136" s="432">
        <v>32000</v>
      </c>
      <c r="V136" s="432">
        <v>32000</v>
      </c>
      <c r="W136" s="432">
        <v>32000</v>
      </c>
      <c r="X136" s="432">
        <v>29000</v>
      </c>
      <c r="Y136" s="432">
        <v>31000</v>
      </c>
      <c r="Z136" s="432">
        <v>32000</v>
      </c>
      <c r="AA136" s="432">
        <v>32000</v>
      </c>
      <c r="AB136" s="432">
        <v>31000</v>
      </c>
      <c r="AC136" s="432">
        <v>27000</v>
      </c>
      <c r="AD136" s="432">
        <v>27000</v>
      </c>
      <c r="AE136" s="432">
        <v>27000</v>
      </c>
      <c r="AF136" s="432">
        <v>27000</v>
      </c>
      <c r="AG136" s="432">
        <v>27000</v>
      </c>
      <c r="AH136" s="432">
        <v>23000</v>
      </c>
      <c r="AI136" s="432">
        <v>25000</v>
      </c>
      <c r="AJ136" s="432">
        <v>27000</v>
      </c>
      <c r="AK136" s="432">
        <v>21000</v>
      </c>
      <c r="AL136" s="432">
        <v>24000</v>
      </c>
      <c r="AM136" s="432">
        <v>28000</v>
      </c>
      <c r="AN136" s="432">
        <v>32000</v>
      </c>
      <c r="AO136" s="432">
        <v>36000</v>
      </c>
      <c r="AP136" s="432">
        <f>AQ136*4-AO136-AN136-AM136</f>
        <v>40000</v>
      </c>
      <c r="AQ136" s="432">
        <v>34000</v>
      </c>
      <c r="AR136" s="432">
        <v>39000</v>
      </c>
      <c r="AS136" s="432">
        <v>35000</v>
      </c>
      <c r="AT136" s="432">
        <v>34000</v>
      </c>
      <c r="AU136" s="432">
        <f>AV136*4-AT136-AS136-AR136</f>
        <v>32000</v>
      </c>
      <c r="AV136" s="432">
        <v>35000</v>
      </c>
      <c r="AW136" s="433">
        <f>Inputs!T34</f>
        <v>33000</v>
      </c>
      <c r="AX136" s="433">
        <f>Inputs!U34</f>
        <v>35000</v>
      </c>
      <c r="AY136" s="433">
        <f>Inputs!V34</f>
        <v>34000</v>
      </c>
      <c r="AZ136" s="433">
        <f>Inputs!W34</f>
        <v>34000</v>
      </c>
      <c r="BA136" s="364">
        <f>AVERAGE(AW136:AZ136)</f>
        <v>34000</v>
      </c>
      <c r="BB136" s="433">
        <f>Inputs!X34</f>
        <v>30000</v>
      </c>
      <c r="BC136" s="433">
        <f>Inputs!Y34</f>
        <v>31000</v>
      </c>
      <c r="BD136" s="433">
        <f>Inputs!Z34</f>
        <v>32000</v>
      </c>
      <c r="BE136" s="433">
        <f>Inputs!AA34</f>
        <v>33000</v>
      </c>
      <c r="BF136" s="364">
        <f>AVERAGE(BB136:BE136)</f>
        <v>31500</v>
      </c>
      <c r="BG136" s="433">
        <f>Inputs!AB34</f>
        <v>33000</v>
      </c>
      <c r="BH136" s="433">
        <f>Inputs!AC34</f>
        <v>34000</v>
      </c>
      <c r="BI136" s="433">
        <f>Inputs!AD34</f>
        <v>35000</v>
      </c>
      <c r="BJ136" s="433">
        <f>Inputs!AE34</f>
        <v>36000</v>
      </c>
      <c r="BK136" s="364">
        <f>AVERAGE(BG136:BJ136)</f>
        <v>34500</v>
      </c>
      <c r="BL136" s="433">
        <f>Inputs!AF34</f>
        <v>36000</v>
      </c>
      <c r="BM136" s="433">
        <f>Inputs!AG34</f>
        <v>37000</v>
      </c>
      <c r="BN136" s="433">
        <f>Inputs!AH34</f>
        <v>36000</v>
      </c>
      <c r="BO136" s="433">
        <f>Inputs!AI34</f>
        <v>34000</v>
      </c>
      <c r="BP136" s="364">
        <f>AVERAGE(BL136:BO136)</f>
        <v>35750</v>
      </c>
      <c r="BQ136" s="433">
        <f>Inputs!AJ34</f>
        <v>35000</v>
      </c>
      <c r="BR136" s="433">
        <f>Inputs!AK34</f>
        <v>37000</v>
      </c>
      <c r="BS136" s="433">
        <f>Inputs!AL34</f>
        <v>37000</v>
      </c>
      <c r="BT136" s="433">
        <f>Inputs!AM34</f>
        <v>37000</v>
      </c>
      <c r="BU136" s="364">
        <f>AVERAGE(BQ136:BT136)</f>
        <v>36500</v>
      </c>
      <c r="BV136" s="433">
        <f>Inputs!AN34</f>
        <v>36000</v>
      </c>
      <c r="BW136" s="433">
        <f>Inputs!AO34</f>
        <v>39000</v>
      </c>
      <c r="BX136" s="433">
        <f>Inputs!AP34</f>
        <v>40000</v>
      </c>
      <c r="BY136" s="433">
        <f>Inputs!AQ34</f>
        <v>40000</v>
      </c>
      <c r="BZ136" s="364">
        <f>AVERAGE(BV136:BY136)</f>
        <v>38750</v>
      </c>
      <c r="CA136" s="433">
        <f>Inputs!AR34</f>
        <v>40000</v>
      </c>
      <c r="CB136" s="433">
        <f>Inputs!AS34</f>
        <v>42000</v>
      </c>
      <c r="CC136" s="433">
        <f>Inputs!AT34</f>
        <v>42000</v>
      </c>
      <c r="CD136" s="433">
        <f>Inputs!AU34</f>
        <v>43000</v>
      </c>
      <c r="CE136" s="364">
        <f>AVERAGE(CA136:CD136)</f>
        <v>41750</v>
      </c>
      <c r="CF136" s="433">
        <f>Inputs!AV34</f>
        <v>44000</v>
      </c>
      <c r="CG136" s="433">
        <f>Inputs!AW34</f>
        <v>44000</v>
      </c>
      <c r="CH136" s="433">
        <f>Inputs!AX34</f>
        <v>41000</v>
      </c>
      <c r="CI136" s="433">
        <f>Inputs!AY34</f>
        <v>41000</v>
      </c>
      <c r="CJ136" s="364">
        <f>AVERAGE(CF136:CI136)</f>
        <v>42500</v>
      </c>
      <c r="CK136" s="433">
        <f>Inputs!AZ34</f>
        <v>40000</v>
      </c>
      <c r="CL136" s="433">
        <f>Inputs!BA34</f>
        <v>36000</v>
      </c>
      <c r="CM136" s="433">
        <f>Inputs!BB34</f>
        <v>38900</v>
      </c>
      <c r="CN136" s="433"/>
      <c r="CO136" s="364">
        <f>(CO304+CO305)*10^6/CO97/12</f>
        <v>35590.859765589783</v>
      </c>
      <c r="CP136" s="364">
        <f t="shared" ref="CP136:CR136" si="586">(CP304+CP305)*10^6/CP97/12</f>
        <v>39374.791688700709</v>
      </c>
      <c r="CQ136" s="364">
        <f t="shared" si="586"/>
        <v>40551.975897513599</v>
      </c>
      <c r="CR136" s="364">
        <f t="shared" si="586"/>
        <v>41761.340435812359</v>
      </c>
      <c r="CS136" s="364">
        <f>(CS304+CS305)*10^6/CS97/12</f>
        <v>43003.794818341128</v>
      </c>
      <c r="CT136" s="364">
        <f>(CT304+CT305)*10^6/CT97/12</f>
        <v>44280.274625380138</v>
      </c>
      <c r="CU136" s="347"/>
      <c r="CV136" s="1363"/>
      <c r="CW136" s="347"/>
      <c r="CX136" s="347"/>
      <c r="CY136" s="347"/>
      <c r="CZ136" s="347"/>
      <c r="DA136" s="347"/>
    </row>
    <row r="137" spans="2:105">
      <c r="B137" s="407" t="s">
        <v>561</v>
      </c>
      <c r="C137" s="417"/>
      <c r="D137" s="417"/>
      <c r="E137" s="417"/>
      <c r="F137" s="417"/>
      <c r="G137" s="417"/>
      <c r="H137" s="417">
        <f>H136/C136-1</f>
        <v>-9.0435851250123989E-2</v>
      </c>
      <c r="I137" s="417"/>
      <c r="J137" s="417"/>
      <c r="K137" s="417"/>
      <c r="L137" s="417"/>
      <c r="M137" s="417">
        <f t="shared" ref="M137:AP137" si="587">M136/H136-1</f>
        <v>-0.25704667937981918</v>
      </c>
      <c r="N137" s="417">
        <f t="shared" si="587"/>
        <v>-7.9023889499423738E-2</v>
      </c>
      <c r="O137" s="417">
        <f t="shared" si="587"/>
        <v>-0.25856136191584966</v>
      </c>
      <c r="P137" s="417">
        <f t="shared" si="587"/>
        <v>-0.28083756466594745</v>
      </c>
      <c r="Q137" s="417">
        <f t="shared" si="587"/>
        <v>-0.27034392692711562</v>
      </c>
      <c r="R137" s="417">
        <f t="shared" si="587"/>
        <v>-5.555555555555558E-2</v>
      </c>
      <c r="S137" s="417">
        <f t="shared" si="587"/>
        <v>-8.5714285714285743E-2</v>
      </c>
      <c r="T137" s="417">
        <f t="shared" si="587"/>
        <v>-3.0303030303030276E-2</v>
      </c>
      <c r="U137" s="417">
        <f t="shared" si="587"/>
        <v>-5.8823529411764719E-2</v>
      </c>
      <c r="V137" s="417">
        <f t="shared" si="587"/>
        <v>-5.8823529411764719E-2</v>
      </c>
      <c r="W137" s="417">
        <f t="shared" si="587"/>
        <v>-5.8823529411764719E-2</v>
      </c>
      <c r="X137" s="417">
        <f t="shared" si="587"/>
        <v>-9.375E-2</v>
      </c>
      <c r="Y137" s="417">
        <f t="shared" si="587"/>
        <v>-3.125E-2</v>
      </c>
      <c r="Z137" s="417">
        <f t="shared" si="587"/>
        <v>0</v>
      </c>
      <c r="AA137" s="417">
        <f t="shared" si="587"/>
        <v>0</v>
      </c>
      <c r="AB137" s="417">
        <f t="shared" si="587"/>
        <v>-3.125E-2</v>
      </c>
      <c r="AC137" s="417">
        <f t="shared" si="587"/>
        <v>-6.8965517241379337E-2</v>
      </c>
      <c r="AD137" s="417">
        <f t="shared" si="587"/>
        <v>-0.12903225806451613</v>
      </c>
      <c r="AE137" s="417">
        <f t="shared" si="587"/>
        <v>-0.15625</v>
      </c>
      <c r="AF137" s="417">
        <f t="shared" si="587"/>
        <v>-0.15625</v>
      </c>
      <c r="AG137" s="417">
        <f t="shared" si="587"/>
        <v>-0.12903225806451613</v>
      </c>
      <c r="AH137" s="417">
        <f t="shared" si="587"/>
        <v>-0.14814814814814814</v>
      </c>
      <c r="AI137" s="417">
        <f t="shared" si="587"/>
        <v>-7.407407407407407E-2</v>
      </c>
      <c r="AJ137" s="417">
        <f t="shared" si="587"/>
        <v>0</v>
      </c>
      <c r="AK137" s="417">
        <f t="shared" si="587"/>
        <v>-0.22222222222222221</v>
      </c>
      <c r="AL137" s="417">
        <f t="shared" si="587"/>
        <v>-0.11111111111111116</v>
      </c>
      <c r="AM137" s="417">
        <f t="shared" si="587"/>
        <v>0.21739130434782616</v>
      </c>
      <c r="AN137" s="417">
        <f t="shared" si="587"/>
        <v>0.28000000000000003</v>
      </c>
      <c r="AO137" s="417">
        <f t="shared" si="587"/>
        <v>0.33333333333333326</v>
      </c>
      <c r="AP137" s="417">
        <f t="shared" si="587"/>
        <v>0.90476190476190466</v>
      </c>
      <c r="AQ137" s="417">
        <f>AQ136/AL136-1</f>
        <v>0.41666666666666674</v>
      </c>
      <c r="AR137" s="417">
        <f t="shared" ref="AR137:AX137" si="588">AR136/AM136-1</f>
        <v>0.39285714285714279</v>
      </c>
      <c r="AS137" s="417">
        <f t="shared" si="588"/>
        <v>9.375E-2</v>
      </c>
      <c r="AT137" s="417">
        <f t="shared" si="588"/>
        <v>-5.555555555555558E-2</v>
      </c>
      <c r="AU137" s="417">
        <f t="shared" si="588"/>
        <v>-0.19999999999999996</v>
      </c>
      <c r="AV137" s="417">
        <f>AV136/AQ136-1</f>
        <v>2.9411764705882248E-2</v>
      </c>
      <c r="AW137" s="417">
        <f t="shared" si="588"/>
        <v>-0.15384615384615385</v>
      </c>
      <c r="AX137" s="417">
        <f t="shared" si="588"/>
        <v>0</v>
      </c>
      <c r="AY137" s="417">
        <f t="shared" ref="AY137:BF137" si="589">AY136/AT136-1</f>
        <v>0</v>
      </c>
      <c r="AZ137" s="417">
        <f t="shared" si="589"/>
        <v>6.25E-2</v>
      </c>
      <c r="BA137" s="417">
        <f t="shared" si="589"/>
        <v>-2.8571428571428581E-2</v>
      </c>
      <c r="BB137" s="417">
        <f t="shared" si="589"/>
        <v>-9.0909090909090939E-2</v>
      </c>
      <c r="BC137" s="417">
        <f t="shared" si="589"/>
        <v>-0.11428571428571432</v>
      </c>
      <c r="BD137" s="417">
        <f t="shared" si="589"/>
        <v>-5.8823529411764719E-2</v>
      </c>
      <c r="BE137" s="417">
        <f t="shared" si="589"/>
        <v>-2.9411764705882359E-2</v>
      </c>
      <c r="BF137" s="417">
        <f t="shared" si="589"/>
        <v>-7.3529411764705843E-2</v>
      </c>
      <c r="BG137" s="417">
        <f t="shared" ref="BG137:BI137" si="590">BG136/BB136-1</f>
        <v>0.10000000000000009</v>
      </c>
      <c r="BH137" s="417">
        <f t="shared" si="590"/>
        <v>9.6774193548387011E-2</v>
      </c>
      <c r="BI137" s="417">
        <f t="shared" si="590"/>
        <v>9.375E-2</v>
      </c>
      <c r="BJ137" s="417">
        <f t="shared" ref="BJ137:BU137" si="591">BJ136/BE136-1</f>
        <v>9.0909090909090828E-2</v>
      </c>
      <c r="BK137" s="417">
        <f t="shared" si="591"/>
        <v>9.5238095238095344E-2</v>
      </c>
      <c r="BL137" s="417">
        <f t="shared" si="591"/>
        <v>9.0909090909090828E-2</v>
      </c>
      <c r="BM137" s="417">
        <f t="shared" si="591"/>
        <v>8.8235294117646967E-2</v>
      </c>
      <c r="BN137" s="417">
        <f t="shared" si="591"/>
        <v>2.857142857142847E-2</v>
      </c>
      <c r="BO137" s="417">
        <f t="shared" si="591"/>
        <v>-5.555555555555558E-2</v>
      </c>
      <c r="BP137" s="417">
        <f t="shared" si="591"/>
        <v>3.6231884057970953E-2</v>
      </c>
      <c r="BQ137" s="417">
        <f t="shared" si="591"/>
        <v>-2.777777777777779E-2</v>
      </c>
      <c r="BR137" s="417">
        <f t="shared" ref="BR137" si="592">BR136/BM136-1</f>
        <v>0</v>
      </c>
      <c r="BS137" s="417">
        <f t="shared" ref="BS137" si="593">BS136/BN136-1</f>
        <v>2.7777777777777679E-2</v>
      </c>
      <c r="BT137" s="417">
        <f t="shared" ref="BT137" si="594">BT136/BO136-1</f>
        <v>8.8235294117646967E-2</v>
      </c>
      <c r="BU137" s="417">
        <f t="shared" si="591"/>
        <v>2.0979020979021046E-2</v>
      </c>
      <c r="BV137" s="417">
        <f t="shared" ref="BV137:CM137" si="595">BV136/BQ136-1</f>
        <v>2.857142857142847E-2</v>
      </c>
      <c r="BW137" s="417">
        <f t="shared" ref="BW137" si="596">BW136/BR136-1</f>
        <v>5.4054054054053946E-2</v>
      </c>
      <c r="BX137" s="417">
        <f t="shared" ref="BX137" si="597">BX136/BS136-1</f>
        <v>8.1081081081081141E-2</v>
      </c>
      <c r="BY137" s="417">
        <f t="shared" ref="BY137" si="598">BY136/BT136-1</f>
        <v>8.1081081081081141E-2</v>
      </c>
      <c r="BZ137" s="417">
        <f t="shared" si="595"/>
        <v>6.164383561643838E-2</v>
      </c>
      <c r="CA137" s="417">
        <f t="shared" si="595"/>
        <v>0.11111111111111116</v>
      </c>
      <c r="CB137" s="417">
        <f t="shared" si="595"/>
        <v>7.6923076923076872E-2</v>
      </c>
      <c r="CC137" s="417">
        <f t="shared" si="595"/>
        <v>5.0000000000000044E-2</v>
      </c>
      <c r="CD137" s="417">
        <f t="shared" si="595"/>
        <v>7.4999999999999956E-2</v>
      </c>
      <c r="CE137" s="417">
        <f t="shared" si="595"/>
        <v>7.7419354838709653E-2</v>
      </c>
      <c r="CF137" s="417">
        <f t="shared" si="595"/>
        <v>0.10000000000000009</v>
      </c>
      <c r="CG137" s="417">
        <f t="shared" si="595"/>
        <v>4.7619047619047672E-2</v>
      </c>
      <c r="CH137" s="417">
        <f t="shared" si="595"/>
        <v>-2.3809523809523836E-2</v>
      </c>
      <c r="CI137" s="417">
        <f t="shared" si="595"/>
        <v>-4.6511627906976716E-2</v>
      </c>
      <c r="CJ137" s="417">
        <f t="shared" si="595"/>
        <v>1.7964071856287456E-2</v>
      </c>
      <c r="CK137" s="417">
        <f t="shared" si="595"/>
        <v>-9.0909090909090939E-2</v>
      </c>
      <c r="CL137" s="417">
        <f t="shared" si="595"/>
        <v>-0.18181818181818177</v>
      </c>
      <c r="CM137" s="417">
        <f t="shared" si="595"/>
        <v>-5.1219512195121997E-2</v>
      </c>
      <c r="CN137" s="417"/>
      <c r="CO137" s="417">
        <f>CO136/CJ136-1</f>
        <v>-0.16256800551553452</v>
      </c>
      <c r="CP137" s="417">
        <f t="shared" ref="CP137:CT137" si="599">CP136/CO136-1</f>
        <v>0.10631751938651779</v>
      </c>
      <c r="CQ137" s="417">
        <f t="shared" si="599"/>
        <v>2.9896899979046765E-2</v>
      </c>
      <c r="CR137" s="417">
        <f t="shared" si="599"/>
        <v>2.9822579825830697E-2</v>
      </c>
      <c r="CS137" s="417">
        <f t="shared" si="599"/>
        <v>2.9751305144010809E-2</v>
      </c>
      <c r="CT137" s="417">
        <f t="shared" si="599"/>
        <v>2.9682957339722815E-2</v>
      </c>
      <c r="CU137" s="347"/>
      <c r="CV137" s="1363"/>
      <c r="CW137" s="347"/>
      <c r="CX137" s="347"/>
    </row>
    <row r="138" spans="2:105">
      <c r="B138" s="562" t="s">
        <v>517</v>
      </c>
      <c r="C138" s="434">
        <f t="shared" ref="C138:AH138" si="600">((C219-C216)/C97/C153)*1000000</f>
        <v>43338.533957408217</v>
      </c>
      <c r="D138" s="434">
        <f t="shared" si="600"/>
        <v>41554.709107193827</v>
      </c>
      <c r="E138" s="434">
        <f t="shared" si="600"/>
        <v>42246.813731425202</v>
      </c>
      <c r="F138" s="434">
        <f t="shared" si="600"/>
        <v>37413.690104058129</v>
      </c>
      <c r="G138" s="434">
        <f t="shared" si="600"/>
        <v>30617.902406251429</v>
      </c>
      <c r="H138" s="434">
        <f t="shared" si="600"/>
        <v>37001.325780402556</v>
      </c>
      <c r="I138" s="434">
        <f t="shared" si="600"/>
        <v>19682.56462638485</v>
      </c>
      <c r="J138" s="434">
        <f t="shared" si="600"/>
        <v>22933.311812336913</v>
      </c>
      <c r="K138" s="434">
        <f t="shared" si="600"/>
        <v>23638.63317210173</v>
      </c>
      <c r="L138" s="434">
        <f t="shared" si="600"/>
        <v>23547.082611207399</v>
      </c>
      <c r="M138" s="434">
        <f t="shared" si="600"/>
        <v>32740.387982351702</v>
      </c>
      <c r="N138" s="434">
        <f t="shared" si="600"/>
        <v>35604.395604395606</v>
      </c>
      <c r="O138" s="434">
        <f t="shared" si="600"/>
        <v>34703.38483311711</v>
      </c>
      <c r="P138" s="434">
        <f t="shared" si="600"/>
        <v>32939.112823016687</v>
      </c>
      <c r="Q138" s="434">
        <f t="shared" si="600"/>
        <v>32513.730460498526</v>
      </c>
      <c r="R138" s="434">
        <f t="shared" si="600"/>
        <v>33622.377622377622</v>
      </c>
      <c r="S138" s="434">
        <f t="shared" si="600"/>
        <v>30798.828941865326</v>
      </c>
      <c r="T138" s="434">
        <f t="shared" si="600"/>
        <v>31960.784313725489</v>
      </c>
      <c r="U138" s="434">
        <f t="shared" si="600"/>
        <v>31972.458485216688</v>
      </c>
      <c r="V138" s="434">
        <f t="shared" si="600"/>
        <v>30363.771343726799</v>
      </c>
      <c r="W138" s="434">
        <f t="shared" si="600"/>
        <v>28713.51766513057</v>
      </c>
      <c r="X138" s="434">
        <f t="shared" si="600"/>
        <v>29382.183908045979</v>
      </c>
      <c r="Y138" s="434">
        <f t="shared" si="600"/>
        <v>30480.317804261467</v>
      </c>
      <c r="Z138" s="434">
        <f t="shared" si="600"/>
        <v>33250.188964474677</v>
      </c>
      <c r="AA138" s="434">
        <f t="shared" si="600"/>
        <v>32122.587968217937</v>
      </c>
      <c r="AB138" s="434">
        <f t="shared" si="600"/>
        <v>30647.143890094001</v>
      </c>
      <c r="AC138" s="434">
        <f t="shared" si="600"/>
        <v>32834.562697576395</v>
      </c>
      <c r="AD138" s="434">
        <f t="shared" si="600"/>
        <v>31952.242658922234</v>
      </c>
      <c r="AE138" s="434">
        <f t="shared" si="600"/>
        <v>31279.311368358562</v>
      </c>
      <c r="AF138" s="434">
        <f t="shared" si="600"/>
        <v>29600.899381675099</v>
      </c>
      <c r="AG138" s="434">
        <f t="shared" si="600"/>
        <v>26406.39698965193</v>
      </c>
      <c r="AH138" s="434">
        <f t="shared" si="600"/>
        <v>22180.878552971575</v>
      </c>
      <c r="AI138" s="434">
        <f t="shared" ref="AI138:BN138" si="601">((AI219-AI216)/AI97/AI153)*1000000</f>
        <v>25155.796439518501</v>
      </c>
      <c r="AJ138" s="434">
        <f t="shared" si="601"/>
        <v>27332.870997214977</v>
      </c>
      <c r="AK138" s="434">
        <f t="shared" si="601"/>
        <v>27660.874287265815</v>
      </c>
      <c r="AL138" s="434">
        <f t="shared" si="601"/>
        <v>26512.628365251177</v>
      </c>
      <c r="AM138" s="434">
        <f t="shared" si="601"/>
        <v>27496.269770217848</v>
      </c>
      <c r="AN138" s="434">
        <f t="shared" si="601"/>
        <v>32307.169554875974</v>
      </c>
      <c r="AO138" s="434">
        <f t="shared" si="601"/>
        <v>38171.428571428572</v>
      </c>
      <c r="AP138" s="434">
        <f t="shared" si="601"/>
        <v>40574.850299401201</v>
      </c>
      <c r="AQ138" s="434">
        <f t="shared" si="601"/>
        <v>31911.08923884515</v>
      </c>
      <c r="AR138" s="434">
        <f t="shared" si="601"/>
        <v>38122.287968441808</v>
      </c>
      <c r="AS138" s="434">
        <f t="shared" si="601"/>
        <v>34944.123314065509</v>
      </c>
      <c r="AT138" s="434">
        <f t="shared" si="601"/>
        <v>34501.872659176028</v>
      </c>
      <c r="AU138" s="434">
        <f t="shared" si="601"/>
        <v>34787.193973634654</v>
      </c>
      <c r="AV138" s="434">
        <f t="shared" si="601"/>
        <v>35009.416195856873</v>
      </c>
      <c r="AW138" s="434">
        <f t="shared" si="601"/>
        <v>32945.32627865961</v>
      </c>
      <c r="AX138" s="434">
        <f t="shared" si="601"/>
        <v>34510.998307952621</v>
      </c>
      <c r="AY138" s="434">
        <f t="shared" si="601"/>
        <v>34666.666666666664</v>
      </c>
      <c r="AZ138" s="434">
        <f t="shared" si="601"/>
        <v>34044.025157232703</v>
      </c>
      <c r="BA138" s="434">
        <f t="shared" si="601"/>
        <v>34230</v>
      </c>
      <c r="BB138" s="434">
        <f t="shared" si="601"/>
        <v>29958.722222222223</v>
      </c>
      <c r="BC138" s="434">
        <f t="shared" si="601"/>
        <v>30058.708876474244</v>
      </c>
      <c r="BD138" s="434">
        <f t="shared" si="601"/>
        <v>29893.558052434459</v>
      </c>
      <c r="BE138" s="434">
        <f t="shared" si="601"/>
        <v>31444.656862745098</v>
      </c>
      <c r="BF138" s="434">
        <f t="shared" si="601"/>
        <v>30160.650369003688</v>
      </c>
      <c r="BG138" s="434">
        <f t="shared" si="601"/>
        <v>32302.375757575752</v>
      </c>
      <c r="BH138" s="434">
        <f t="shared" si="601"/>
        <v>33519.576245896751</v>
      </c>
      <c r="BI138" s="434">
        <f t="shared" si="601"/>
        <v>35033.898305084746</v>
      </c>
      <c r="BJ138" s="434">
        <f t="shared" si="601"/>
        <v>34624.028520499109</v>
      </c>
      <c r="BK138" s="434">
        <f t="shared" si="601"/>
        <v>33847.477598566307</v>
      </c>
      <c r="BL138" s="434">
        <f t="shared" si="601"/>
        <v>35143.554089788166</v>
      </c>
      <c r="BM138" s="434">
        <f t="shared" si="601"/>
        <v>36398.00287873335</v>
      </c>
      <c r="BN138" s="434">
        <f t="shared" si="601"/>
        <v>35747.442618095673</v>
      </c>
      <c r="BO138" s="434">
        <f t="shared" ref="BO138:CT138" si="602">((BO219-BO216)/BO97/BO153)*1000000</f>
        <v>33852.475966425605</v>
      </c>
      <c r="BP138" s="434">
        <f t="shared" si="602"/>
        <v>34683.176251563535</v>
      </c>
      <c r="BQ138" s="434">
        <f t="shared" si="602"/>
        <v>34780.362891425226</v>
      </c>
      <c r="BR138" s="434">
        <f t="shared" si="602"/>
        <v>38029.000413784954</v>
      </c>
      <c r="BS138" s="434">
        <f t="shared" si="602"/>
        <v>37716.438634713144</v>
      </c>
      <c r="BT138" s="434">
        <f t="shared" si="602"/>
        <v>37740.598843731117</v>
      </c>
      <c r="BU138" s="434">
        <f t="shared" si="602"/>
        <v>36597.826712723079</v>
      </c>
      <c r="BV138" s="434">
        <f t="shared" si="602"/>
        <v>38338.525802802193</v>
      </c>
      <c r="BW138" s="434">
        <f t="shared" si="602"/>
        <v>43501.531996848455</v>
      </c>
      <c r="BX138" s="434">
        <f t="shared" si="602"/>
        <v>43319.497513739865</v>
      </c>
      <c r="BY138" s="434">
        <f t="shared" si="602"/>
        <v>44458.619089062951</v>
      </c>
      <c r="BZ138" s="434">
        <f t="shared" si="602"/>
        <v>42129.515062241866</v>
      </c>
      <c r="CA138" s="434">
        <f t="shared" si="602"/>
        <v>43619.139225880986</v>
      </c>
      <c r="CB138" s="434">
        <f t="shared" ref="CB138:CC138" si="603">((CB219-CB216)/CB97/CB153)*1000000</f>
        <v>47296.750071901064</v>
      </c>
      <c r="CC138" s="434">
        <f t="shared" si="603"/>
        <v>46794.002886002891</v>
      </c>
      <c r="CD138" s="434">
        <f t="shared" ref="CD138:CE138" si="604">((CD219-CD216)/CD97/CD153)*1000000</f>
        <v>49026.597101449268</v>
      </c>
      <c r="CE138" s="434" t="e">
        <f t="shared" si="604"/>
        <v>#DIV/0!</v>
      </c>
      <c r="CF138" s="434">
        <f t="shared" ref="CF138:CG138" si="605">((CF219-CF216)/CF97/CF153)*1000000</f>
        <v>48882.861280046338</v>
      </c>
      <c r="CG138" s="434">
        <f t="shared" si="605"/>
        <v>50708.573069193219</v>
      </c>
      <c r="CH138" s="434">
        <f t="shared" ref="CH138" si="606">((CH219-CH216)/CH97/CH153)*1000000</f>
        <v>46062.550526615429</v>
      </c>
      <c r="CI138" s="434">
        <f t="shared" ref="CI138:CK138" si="607">((CI219-CI216)/CI97/CI153)*1000000</f>
        <v>51278.73935264055</v>
      </c>
      <c r="CJ138" s="434">
        <f t="shared" si="607"/>
        <v>0</v>
      </c>
      <c r="CK138" s="434">
        <f t="shared" si="607"/>
        <v>48718.079864061176</v>
      </c>
      <c r="CL138" s="434">
        <f t="shared" ref="CL138" si="608">((CL219-CL216)/CL97/CL153)*1000000</f>
        <v>0</v>
      </c>
      <c r="CM138" s="434">
        <f t="shared" ref="CM138" si="609">((CM219-CM216)/CM97/CM153)*1000000</f>
        <v>0</v>
      </c>
      <c r="CN138" s="434"/>
      <c r="CO138" s="434">
        <f t="shared" si="602"/>
        <v>0</v>
      </c>
      <c r="CP138" s="434">
        <f t="shared" si="602"/>
        <v>0</v>
      </c>
      <c r="CQ138" s="434">
        <f t="shared" si="602"/>
        <v>0</v>
      </c>
      <c r="CR138" s="434">
        <f t="shared" si="602"/>
        <v>0</v>
      </c>
      <c r="CS138" s="434">
        <f t="shared" si="602"/>
        <v>0</v>
      </c>
      <c r="CT138" s="434">
        <f t="shared" si="602"/>
        <v>0</v>
      </c>
      <c r="CU138" s="347"/>
      <c r="CV138" s="1363"/>
      <c r="CW138" s="347"/>
      <c r="CX138" s="347"/>
    </row>
    <row r="139" spans="2:105">
      <c r="B139" s="407"/>
      <c r="C139" s="417"/>
      <c r="D139" s="417"/>
      <c r="E139" s="417"/>
      <c r="F139" s="417"/>
      <c r="G139" s="417"/>
      <c r="H139" s="417"/>
      <c r="I139" s="417"/>
      <c r="J139" s="417"/>
      <c r="K139" s="417"/>
      <c r="L139" s="417"/>
      <c r="M139" s="417"/>
      <c r="N139" s="417"/>
      <c r="O139" s="417"/>
      <c r="P139" s="417"/>
      <c r="Q139" s="417"/>
      <c r="R139" s="417"/>
      <c r="S139" s="417"/>
      <c r="T139" s="417"/>
      <c r="U139" s="417"/>
      <c r="V139" s="417"/>
      <c r="W139" s="417"/>
      <c r="X139" s="417"/>
      <c r="Y139" s="417"/>
      <c r="Z139" s="417"/>
      <c r="AA139" s="417"/>
      <c r="AB139" s="417"/>
      <c r="AC139" s="417"/>
      <c r="AD139" s="417"/>
      <c r="AE139" s="417"/>
      <c r="AF139" s="417"/>
      <c r="AG139" s="417"/>
      <c r="AH139" s="417"/>
      <c r="AI139" s="417"/>
      <c r="AJ139" s="417"/>
      <c r="AK139" s="417"/>
      <c r="AL139" s="417"/>
      <c r="AM139" s="417"/>
      <c r="AN139" s="417"/>
      <c r="AO139" s="417"/>
      <c r="AP139" s="417"/>
      <c r="AQ139" s="417"/>
      <c r="AR139" s="417"/>
      <c r="AS139" s="417"/>
      <c r="AT139" s="417"/>
      <c r="AU139" s="417"/>
      <c r="AV139" s="417"/>
      <c r="AW139" s="417"/>
      <c r="AX139" s="417"/>
      <c r="AY139" s="417"/>
      <c r="AZ139" s="417"/>
      <c r="BA139" s="417"/>
      <c r="BB139" s="417"/>
      <c r="BC139" s="417"/>
      <c r="BD139" s="417"/>
      <c r="BE139" s="417"/>
      <c r="BF139" s="417"/>
      <c r="BG139" s="417"/>
      <c r="BH139" s="417"/>
      <c r="BI139" s="417"/>
      <c r="BJ139" s="417"/>
      <c r="BK139" s="417"/>
      <c r="BL139" s="417"/>
      <c r="BM139" s="417"/>
      <c r="BN139" s="417"/>
      <c r="BO139" s="417"/>
      <c r="BP139" s="417"/>
      <c r="BQ139" s="417"/>
      <c r="BR139" s="417"/>
      <c r="BS139" s="417"/>
      <c r="BT139" s="417"/>
      <c r="BU139" s="417"/>
      <c r="BV139" s="417"/>
      <c r="BW139" s="417"/>
      <c r="BX139" s="417"/>
      <c r="BY139" s="417"/>
      <c r="BZ139" s="417"/>
      <c r="CA139" s="417"/>
      <c r="CB139" s="417"/>
      <c r="CC139" s="417"/>
      <c r="CD139" s="417"/>
      <c r="CE139" s="417"/>
      <c r="CF139" s="417"/>
      <c r="CG139" s="417"/>
      <c r="CH139" s="417"/>
      <c r="CI139" s="417"/>
      <c r="CJ139" s="417"/>
      <c r="CK139" s="417"/>
      <c r="CL139" s="417"/>
      <c r="CM139" s="417"/>
      <c r="CN139" s="417"/>
      <c r="CO139" s="417"/>
      <c r="CP139" s="417"/>
      <c r="CQ139" s="417"/>
      <c r="CR139" s="417"/>
      <c r="CS139" s="417"/>
      <c r="CT139" s="417"/>
      <c r="CU139" s="347"/>
      <c r="CV139" s="1363"/>
      <c r="CW139" s="347"/>
      <c r="CX139" s="347"/>
    </row>
    <row r="140" spans="2:105">
      <c r="B140" s="559" t="s">
        <v>801</v>
      </c>
      <c r="C140" s="417"/>
      <c r="D140" s="417"/>
      <c r="E140" s="417"/>
      <c r="F140" s="417"/>
      <c r="G140" s="417"/>
      <c r="H140" s="417"/>
      <c r="I140" s="417"/>
      <c r="J140" s="417"/>
      <c r="K140" s="417"/>
      <c r="L140" s="417"/>
      <c r="M140" s="417"/>
      <c r="N140" s="417"/>
      <c r="O140" s="417"/>
      <c r="P140" s="417"/>
      <c r="Q140" s="417"/>
      <c r="R140" s="417"/>
      <c r="S140" s="417"/>
      <c r="T140" s="417"/>
      <c r="U140" s="417"/>
      <c r="V140" s="417"/>
      <c r="W140" s="417"/>
      <c r="X140" s="417"/>
      <c r="Y140" s="417"/>
      <c r="Z140" s="417"/>
      <c r="AA140" s="417"/>
      <c r="AB140" s="417"/>
      <c r="AC140" s="417"/>
      <c r="AD140" s="417"/>
      <c r="AE140" s="417"/>
      <c r="AF140" s="417"/>
      <c r="AG140" s="417"/>
      <c r="AH140" s="417"/>
      <c r="AI140" s="417"/>
      <c r="AJ140" s="417"/>
      <c r="AK140" s="417"/>
      <c r="AL140" s="417"/>
      <c r="AM140" s="417"/>
      <c r="AN140" s="417"/>
      <c r="AO140" s="417"/>
      <c r="AP140" s="417"/>
      <c r="AQ140" s="417"/>
      <c r="AR140" s="417"/>
      <c r="AS140" s="417"/>
      <c r="AT140" s="417"/>
      <c r="AU140" s="417"/>
      <c r="AV140" s="417"/>
      <c r="AW140" s="417"/>
      <c r="AX140" s="417"/>
      <c r="AY140" s="417"/>
      <c r="AZ140" s="417"/>
      <c r="BA140" s="417"/>
      <c r="BB140" s="417"/>
      <c r="BC140" s="417"/>
      <c r="BD140" s="417"/>
      <c r="BE140" s="417"/>
      <c r="BF140" s="417"/>
      <c r="BG140" s="417"/>
      <c r="BH140" s="417"/>
      <c r="BI140" s="417"/>
      <c r="BJ140" s="417"/>
      <c r="BK140" s="417"/>
      <c r="BL140" s="417"/>
      <c r="BM140" s="417"/>
      <c r="BN140" s="417"/>
      <c r="BO140" s="417"/>
      <c r="BP140" s="417"/>
      <c r="BQ140" s="417"/>
      <c r="BR140" s="417"/>
      <c r="BS140" s="417"/>
      <c r="BT140" s="417"/>
      <c r="BU140" s="417"/>
      <c r="BV140" s="417"/>
      <c r="BW140" s="417"/>
      <c r="BX140" s="417"/>
      <c r="BY140" s="417"/>
      <c r="BZ140" s="417"/>
      <c r="CA140" s="417"/>
      <c r="CB140" s="417"/>
      <c r="CC140" s="417"/>
      <c r="CD140" s="417"/>
      <c r="CE140" s="417"/>
      <c r="CF140" s="417"/>
      <c r="CG140" s="417"/>
      <c r="CH140" s="417"/>
      <c r="CI140" s="417"/>
      <c r="CJ140" s="417">
        <v>2.2499999999999999E-2</v>
      </c>
      <c r="CK140" s="417"/>
      <c r="CL140" s="417"/>
      <c r="CM140" s="417"/>
      <c r="CN140" s="417"/>
      <c r="CO140" s="417">
        <v>0.02</v>
      </c>
      <c r="CP140" s="417">
        <v>0.02</v>
      </c>
      <c r="CQ140" s="417">
        <v>1.4903094275497741E-2</v>
      </c>
      <c r="CR140" s="417">
        <v>0.01</v>
      </c>
      <c r="CS140" s="417">
        <v>0.01</v>
      </c>
      <c r="CT140" s="417">
        <v>0.01</v>
      </c>
      <c r="CU140" s="347"/>
      <c r="CV140" s="1363"/>
      <c r="CW140" s="347"/>
      <c r="CX140" s="347"/>
    </row>
    <row r="141" spans="2:105" hidden="1" outlineLevel="1">
      <c r="B141" s="414" t="s">
        <v>261</v>
      </c>
      <c r="C141" s="417"/>
      <c r="D141" s="417"/>
      <c r="E141" s="417"/>
      <c r="F141" s="417"/>
      <c r="G141" s="417"/>
      <c r="H141" s="417"/>
      <c r="I141" s="417"/>
      <c r="J141" s="417"/>
      <c r="K141" s="417"/>
      <c r="L141" s="417"/>
      <c r="M141" s="417"/>
      <c r="N141" s="417"/>
      <c r="O141" s="417"/>
      <c r="P141" s="417"/>
      <c r="Q141" s="417"/>
      <c r="R141" s="417"/>
      <c r="S141" s="417"/>
      <c r="T141" s="417"/>
      <c r="U141" s="417"/>
      <c r="V141" s="417"/>
      <c r="W141" s="417"/>
      <c r="X141" s="417"/>
      <c r="Y141" s="417"/>
      <c r="Z141" s="417"/>
      <c r="AA141" s="417"/>
      <c r="AB141" s="417"/>
      <c r="AC141" s="417"/>
      <c r="AD141" s="417"/>
      <c r="AE141" s="417"/>
      <c r="AF141" s="417"/>
      <c r="AG141" s="417"/>
      <c r="AH141" s="417"/>
      <c r="AI141" s="417"/>
      <c r="AJ141" s="417"/>
      <c r="AK141" s="417"/>
      <c r="AL141" s="417"/>
      <c r="AM141" s="417"/>
      <c r="AN141" s="417"/>
      <c r="AO141" s="417"/>
      <c r="AP141" s="417"/>
      <c r="AQ141" s="417"/>
      <c r="AR141" s="417"/>
      <c r="AS141" s="417"/>
      <c r="AT141" s="417"/>
      <c r="AU141" s="417"/>
      <c r="AV141" s="417"/>
      <c r="AW141" s="417"/>
      <c r="AX141" s="417"/>
      <c r="AY141" s="417"/>
      <c r="AZ141" s="417"/>
      <c r="BA141" s="417"/>
      <c r="BB141" s="417"/>
      <c r="BC141" s="417"/>
      <c r="BD141" s="417"/>
      <c r="BE141" s="417"/>
      <c r="BF141" s="417"/>
      <c r="BG141" s="417"/>
      <c r="BH141" s="417"/>
      <c r="BI141" s="417"/>
      <c r="BJ141" s="417"/>
      <c r="BK141" s="417"/>
      <c r="BL141" s="417"/>
      <c r="BM141" s="417"/>
      <c r="BN141" s="417"/>
      <c r="BO141" s="417"/>
      <c r="BP141" s="417"/>
      <c r="BQ141" s="417"/>
      <c r="BR141" s="417"/>
      <c r="BS141" s="417"/>
      <c r="BT141" s="417"/>
      <c r="BU141" s="417"/>
      <c r="BV141" s="417"/>
      <c r="BW141" s="417"/>
      <c r="BX141" s="417"/>
      <c r="BY141" s="417"/>
      <c r="BZ141" s="417"/>
      <c r="CA141" s="417"/>
      <c r="CB141" s="417"/>
      <c r="CC141" s="417"/>
      <c r="CD141" s="417"/>
      <c r="CE141" s="417"/>
      <c r="CF141" s="417"/>
      <c r="CG141" s="417"/>
      <c r="CH141" s="417"/>
      <c r="CI141" s="417"/>
      <c r="CJ141" s="417"/>
      <c r="CK141" s="417"/>
      <c r="CL141" s="417"/>
      <c r="CM141" s="417"/>
      <c r="CN141" s="417"/>
      <c r="CO141" s="417"/>
      <c r="CP141" s="417"/>
      <c r="CQ141" s="417"/>
      <c r="CR141" s="417"/>
      <c r="CS141" s="417"/>
      <c r="CT141" s="417"/>
      <c r="CU141" s="347"/>
      <c r="CV141" s="1363"/>
      <c r="CW141" s="347"/>
      <c r="CX141" s="347"/>
    </row>
    <row r="142" spans="2:105" hidden="1" outlineLevel="1">
      <c r="B142" s="407" t="s">
        <v>262</v>
      </c>
      <c r="C142" s="417"/>
      <c r="D142" s="417"/>
      <c r="E142" s="417"/>
      <c r="F142" s="417"/>
      <c r="G142" s="417"/>
      <c r="H142" s="417"/>
      <c r="I142" s="417"/>
      <c r="J142" s="417"/>
      <c r="K142" s="417"/>
      <c r="L142" s="417"/>
      <c r="M142" s="417"/>
      <c r="N142" s="417"/>
      <c r="O142" s="417"/>
      <c r="P142" s="417"/>
      <c r="Q142" s="417"/>
      <c r="R142" s="435">
        <f t="shared" ref="R142:AR142" si="610">R210*1000/R97/R153</f>
        <v>19.713286713286713</v>
      </c>
      <c r="S142" s="435">
        <f t="shared" si="610"/>
        <v>16.269343370974486</v>
      </c>
      <c r="T142" s="435">
        <f t="shared" si="610"/>
        <v>16.462063086104006</v>
      </c>
      <c r="U142" s="435">
        <f t="shared" si="610"/>
        <v>15.828270554880518</v>
      </c>
      <c r="V142" s="435">
        <f t="shared" si="610"/>
        <v>15.10022271714922</v>
      </c>
      <c r="W142" s="435">
        <f t="shared" si="610"/>
        <v>15.09984639016897</v>
      </c>
      <c r="X142" s="435">
        <f t="shared" si="610"/>
        <v>14.597701149425289</v>
      </c>
      <c r="Y142" s="435">
        <f t="shared" si="610"/>
        <v>15.160707836764175</v>
      </c>
      <c r="Z142" s="435">
        <f t="shared" si="610"/>
        <v>16.069538926681783</v>
      </c>
      <c r="AA142" s="435">
        <f t="shared" si="610"/>
        <v>15.520242149073022</v>
      </c>
      <c r="AB142" s="435">
        <f t="shared" si="610"/>
        <v>15.018076644974693</v>
      </c>
      <c r="AC142" s="435">
        <f t="shared" si="610"/>
        <v>12.743238496663153</v>
      </c>
      <c r="AD142" s="435">
        <f t="shared" si="610"/>
        <v>12.423362374959664</v>
      </c>
      <c r="AE142" s="435">
        <f t="shared" si="610"/>
        <v>11.772039180765807</v>
      </c>
      <c r="AF142" s="435">
        <f t="shared" si="610"/>
        <v>11.051152332771219</v>
      </c>
      <c r="AG142" s="435">
        <f t="shared" si="610"/>
        <v>12.053935402947632</v>
      </c>
      <c r="AH142" s="435">
        <f t="shared" si="610"/>
        <v>9.6899224806201545</v>
      </c>
      <c r="AI142" s="435">
        <f t="shared" si="610"/>
        <v>10.428719322818342</v>
      </c>
      <c r="AJ142" s="435">
        <f t="shared" si="610"/>
        <v>11.079554836366038</v>
      </c>
      <c r="AK142" s="435">
        <f t="shared" si="610"/>
        <v>11.279301294234772</v>
      </c>
      <c r="AL142" s="435">
        <f t="shared" si="610"/>
        <v>11.014432417429921</v>
      </c>
      <c r="AM142" s="435">
        <f t="shared" si="610"/>
        <v>11.154879140555058</v>
      </c>
      <c r="AN142" s="435">
        <f t="shared" si="610"/>
        <v>13.557594291539246</v>
      </c>
      <c r="AO142" s="435">
        <f t="shared" si="610"/>
        <v>16.914285714285715</v>
      </c>
      <c r="AP142" s="435">
        <f t="shared" si="610"/>
        <v>17.500998003992017</v>
      </c>
      <c r="AQ142" s="435">
        <f t="shared" si="610"/>
        <v>13.576115485564303</v>
      </c>
      <c r="AR142" s="435">
        <f t="shared" si="610"/>
        <v>15.826429980276133</v>
      </c>
      <c r="AS142" s="435"/>
      <c r="AT142" s="435"/>
      <c r="AU142" s="435"/>
      <c r="AV142" s="435">
        <f>AV210*1000/AV97/AV153</f>
        <v>14.030131826741995</v>
      </c>
      <c r="AW142" s="435"/>
      <c r="AX142" s="435"/>
      <c r="AY142" s="435"/>
      <c r="AZ142" s="435"/>
      <c r="BA142" s="435">
        <f>BA210*1000/BA97/BA153</f>
        <v>9.5600262467191595</v>
      </c>
      <c r="BB142" s="435"/>
      <c r="BC142" s="435"/>
      <c r="BD142" s="435"/>
      <c r="BE142" s="435"/>
      <c r="BF142" s="435">
        <f>BF210*1000/BF97/BF153</f>
        <v>6.9740979284369118</v>
      </c>
      <c r="BG142" s="435"/>
      <c r="BH142" s="435"/>
      <c r="BI142" s="435"/>
      <c r="BJ142" s="435"/>
      <c r="BK142" s="435">
        <f>BK210*1000/BK97/BK153</f>
        <v>5.5723042448210904</v>
      </c>
      <c r="BL142" s="435"/>
      <c r="BM142" s="435"/>
      <c r="BN142" s="435"/>
      <c r="BO142" s="435"/>
      <c r="BP142" s="435">
        <f>BP210*1000/BP97/BP153</f>
        <v>4.4522710916120509</v>
      </c>
      <c r="BQ142" s="435"/>
      <c r="BR142" s="435"/>
      <c r="BS142" s="435"/>
      <c r="BT142" s="435"/>
      <c r="BU142" s="435">
        <f>BU210*1000/BU97/BU153</f>
        <v>3.5573646021980294</v>
      </c>
      <c r="BV142" s="435"/>
      <c r="BW142" s="435"/>
      <c r="BX142" s="435"/>
      <c r="BY142" s="435"/>
      <c r="BZ142" s="435">
        <f>BZ210*1000/BZ97/BZ153</f>
        <v>2.8423343171562245</v>
      </c>
      <c r="CA142" s="435"/>
      <c r="CB142" s="435"/>
      <c r="CC142" s="435"/>
      <c r="CD142" s="435"/>
      <c r="CE142" s="435" t="e">
        <f>CE210*1000/CE97/CE153</f>
        <v>#DIV/0!</v>
      </c>
      <c r="CF142" s="435"/>
      <c r="CG142" s="435"/>
      <c r="CH142" s="435"/>
      <c r="CI142" s="435"/>
      <c r="CJ142" s="435">
        <f t="shared" ref="CJ142:CT142" si="611">CJ210*1000/CJ97/CJ153</f>
        <v>0</v>
      </c>
      <c r="CK142" s="435"/>
      <c r="CL142" s="435"/>
      <c r="CM142" s="435"/>
      <c r="CN142" s="435"/>
      <c r="CO142" s="435">
        <f t="shared" si="611"/>
        <v>0</v>
      </c>
      <c r="CP142" s="435">
        <f t="shared" si="611"/>
        <v>0</v>
      </c>
      <c r="CQ142" s="435">
        <f t="shared" si="611"/>
        <v>0</v>
      </c>
      <c r="CR142" s="435">
        <f t="shared" si="611"/>
        <v>0</v>
      </c>
      <c r="CS142" s="435">
        <f t="shared" si="611"/>
        <v>0</v>
      </c>
      <c r="CT142" s="435">
        <f t="shared" si="611"/>
        <v>0</v>
      </c>
      <c r="CU142" s="347"/>
      <c r="CV142" s="1363"/>
      <c r="CW142" s="347"/>
      <c r="CX142" s="347"/>
    </row>
    <row r="143" spans="2:105" hidden="1" outlineLevel="1">
      <c r="B143" s="407" t="s">
        <v>263</v>
      </c>
      <c r="C143" s="417"/>
      <c r="D143" s="417"/>
      <c r="E143" s="417"/>
      <c r="F143" s="417"/>
      <c r="G143" s="417"/>
      <c r="H143" s="417"/>
      <c r="I143" s="417"/>
      <c r="J143" s="417"/>
      <c r="K143" s="417"/>
      <c r="L143" s="417"/>
      <c r="M143" s="417"/>
      <c r="N143" s="417"/>
      <c r="O143" s="417"/>
      <c r="P143" s="417"/>
      <c r="Q143" s="417"/>
      <c r="R143" s="435">
        <f t="shared" ref="R143:AR143" si="612">R208*1000/R97/R153</f>
        <v>5.4358974358974352</v>
      </c>
      <c r="S143" s="435">
        <f t="shared" si="612"/>
        <v>6.0309493935591805</v>
      </c>
      <c r="T143" s="435">
        <f t="shared" si="612"/>
        <v>6.9820971867007673</v>
      </c>
      <c r="U143" s="435">
        <f t="shared" si="612"/>
        <v>7.3147023086269742</v>
      </c>
      <c r="V143" s="435">
        <f t="shared" si="612"/>
        <v>6.5924276169265035</v>
      </c>
      <c r="W143" s="435">
        <f t="shared" si="612"/>
        <v>5.4089861751152073</v>
      </c>
      <c r="X143" s="435">
        <f t="shared" si="612"/>
        <v>6.1566091954022992</v>
      </c>
      <c r="Y143" s="435">
        <f t="shared" si="612"/>
        <v>6.5438786565547131</v>
      </c>
      <c r="Z143" s="435">
        <f t="shared" si="612"/>
        <v>7.226001511715797</v>
      </c>
      <c r="AA143" s="435">
        <f t="shared" si="612"/>
        <v>7.5595913734392743</v>
      </c>
      <c r="AB143" s="435">
        <f t="shared" si="612"/>
        <v>6.720896601590745</v>
      </c>
      <c r="AC143" s="435">
        <f t="shared" si="612"/>
        <v>6.0484720758693369</v>
      </c>
      <c r="AD143" s="435">
        <f t="shared" si="612"/>
        <v>5.9373991610196839</v>
      </c>
      <c r="AE143" s="435">
        <f t="shared" si="612"/>
        <v>6.0136539032353822</v>
      </c>
      <c r="AF143" s="435">
        <f t="shared" si="612"/>
        <v>5.992130410342889</v>
      </c>
      <c r="AG143" s="435">
        <f t="shared" si="612"/>
        <v>6.0520539354029479</v>
      </c>
      <c r="AH143" s="435">
        <f t="shared" si="612"/>
        <v>5.7984496124031004</v>
      </c>
      <c r="AI143" s="435">
        <f t="shared" si="612"/>
        <v>7.2315936910054193</v>
      </c>
      <c r="AJ143" s="435">
        <f t="shared" si="612"/>
        <v>7.9863060444943477</v>
      </c>
      <c r="AK143" s="435">
        <f t="shared" si="612"/>
        <v>8.2926056656711022</v>
      </c>
      <c r="AL143" s="435">
        <f t="shared" si="612"/>
        <v>7.5825700804884812</v>
      </c>
      <c r="AM143" s="435">
        <f t="shared" si="612"/>
        <v>8.6362279916442848</v>
      </c>
      <c r="AN143" s="435">
        <f t="shared" si="612"/>
        <v>9.9762147468569484</v>
      </c>
      <c r="AO143" s="435">
        <f t="shared" si="612"/>
        <v>11.702857142857143</v>
      </c>
      <c r="AP143" s="435">
        <f t="shared" si="612"/>
        <v>14.091816367265467</v>
      </c>
      <c r="AQ143" s="435">
        <f t="shared" si="612"/>
        <v>10.196850393700787</v>
      </c>
      <c r="AR143" s="435">
        <f t="shared" si="612"/>
        <v>14.059171597633137</v>
      </c>
      <c r="AS143" s="435"/>
      <c r="AT143" s="435"/>
      <c r="AU143" s="435"/>
      <c r="AV143" s="435">
        <f>AV208*1000/AV97/AV153</f>
        <v>15.305084745762713</v>
      </c>
      <c r="AW143" s="435"/>
      <c r="AX143" s="435"/>
      <c r="AY143" s="435"/>
      <c r="AZ143" s="435"/>
      <c r="BA143" s="435">
        <f>BA208*1000/BA97/BA153</f>
        <v>21.813333333333333</v>
      </c>
      <c r="BB143" s="435"/>
      <c r="BC143" s="435"/>
      <c r="BD143" s="435"/>
      <c r="BE143" s="435"/>
      <c r="BF143" s="435">
        <f>BF208*1000/BF97/BF153</f>
        <v>23.579335793357931</v>
      </c>
      <c r="BG143" s="435"/>
      <c r="BH143" s="435"/>
      <c r="BI143" s="435"/>
      <c r="BJ143" s="435"/>
      <c r="BK143" s="435">
        <f>BK208*1000/BK97/BK153</f>
        <v>30.247909199522102</v>
      </c>
      <c r="BL143" s="435"/>
      <c r="BM143" s="435"/>
      <c r="BN143" s="435"/>
      <c r="BO143" s="435"/>
      <c r="BP143" s="435">
        <f>BP208*1000/BP97/BP153</f>
        <v>32.294848299735285</v>
      </c>
      <c r="BQ143" s="435"/>
      <c r="BR143" s="435"/>
      <c r="BS143" s="435"/>
      <c r="BT143" s="435"/>
      <c r="BU143" s="435">
        <f>BU208*1000/BU97/BU153</f>
        <v>33.69170984455959</v>
      </c>
      <c r="BV143" s="435"/>
      <c r="BW143" s="435"/>
      <c r="BX143" s="435"/>
      <c r="BY143" s="435"/>
      <c r="BZ143" s="435">
        <f>BZ208*1000/BZ97/BZ153</f>
        <v>37.886664933714584</v>
      </c>
      <c r="CA143" s="435"/>
      <c r="CB143" s="435"/>
      <c r="CC143" s="435"/>
      <c r="CD143" s="435"/>
      <c r="CE143" s="435" t="e">
        <f>CE208*1000/CE97/CE153</f>
        <v>#DIV/0!</v>
      </c>
      <c r="CF143" s="435"/>
      <c r="CG143" s="435"/>
      <c r="CH143" s="435"/>
      <c r="CI143" s="435"/>
      <c r="CJ143" s="435">
        <f t="shared" ref="CJ143:CT143" si="613">CJ208*1000/CJ97/CJ153</f>
        <v>0</v>
      </c>
      <c r="CK143" s="435"/>
      <c r="CL143" s="435"/>
      <c r="CM143" s="435"/>
      <c r="CN143" s="435"/>
      <c r="CO143" s="435">
        <f t="shared" si="613"/>
        <v>0</v>
      </c>
      <c r="CP143" s="435">
        <f t="shared" si="613"/>
        <v>0</v>
      </c>
      <c r="CQ143" s="435">
        <f t="shared" si="613"/>
        <v>0</v>
      </c>
      <c r="CR143" s="435">
        <f t="shared" si="613"/>
        <v>0</v>
      </c>
      <c r="CS143" s="435">
        <f t="shared" si="613"/>
        <v>0</v>
      </c>
      <c r="CT143" s="435">
        <f t="shared" si="613"/>
        <v>0</v>
      </c>
      <c r="CU143" s="347"/>
      <c r="CV143" s="1363"/>
      <c r="CW143" s="347"/>
      <c r="CX143" s="347"/>
    </row>
    <row r="144" spans="2:105" hidden="1" outlineLevel="1">
      <c r="B144" s="407" t="s">
        <v>256</v>
      </c>
      <c r="C144" s="417"/>
      <c r="D144" s="417"/>
      <c r="E144" s="417"/>
      <c r="F144" s="417"/>
      <c r="G144" s="417"/>
      <c r="H144" s="417"/>
      <c r="I144" s="417"/>
      <c r="J144" s="417"/>
      <c r="K144" s="417"/>
      <c r="L144" s="417"/>
      <c r="M144" s="417"/>
      <c r="N144" s="417"/>
      <c r="O144" s="417"/>
      <c r="P144" s="417"/>
      <c r="Q144" s="417"/>
      <c r="R144" s="435">
        <f t="shared" ref="R144:AR144" si="614">R212*1000/R97/R153</f>
        <v>8.104895104895105</v>
      </c>
      <c r="S144" s="435">
        <f t="shared" si="614"/>
        <v>8.1388540359682136</v>
      </c>
      <c r="T144" s="435">
        <f t="shared" si="614"/>
        <v>8.1159420289855078</v>
      </c>
      <c r="U144" s="435">
        <f t="shared" si="614"/>
        <v>8.3677602268124751</v>
      </c>
      <c r="V144" s="435">
        <f t="shared" si="614"/>
        <v>8.307349665924276</v>
      </c>
      <c r="W144" s="435">
        <f t="shared" si="614"/>
        <v>7.8283410138248852</v>
      </c>
      <c r="X144" s="435">
        <f t="shared" si="614"/>
        <v>8.2327586206896548</v>
      </c>
      <c r="Y144" s="435">
        <f t="shared" si="614"/>
        <v>8.4073672806067172</v>
      </c>
      <c r="Z144" s="435">
        <f t="shared" si="614"/>
        <v>9.6069538926681783</v>
      </c>
      <c r="AA144" s="435">
        <f t="shared" si="614"/>
        <v>8.6870979947029898</v>
      </c>
      <c r="AB144" s="435">
        <f t="shared" si="614"/>
        <v>8.5484454085321762</v>
      </c>
      <c r="AC144" s="435">
        <f t="shared" si="614"/>
        <v>7.5588338602037233</v>
      </c>
      <c r="AD144" s="435">
        <f t="shared" si="614"/>
        <v>7.3701193933526943</v>
      </c>
      <c r="AE144" s="435">
        <f t="shared" si="614"/>
        <v>7.1593944790739092</v>
      </c>
      <c r="AF144" s="435">
        <f t="shared" si="614"/>
        <v>6.2956717256885888</v>
      </c>
      <c r="AG144" s="435">
        <f t="shared" si="614"/>
        <v>7.124490435873315</v>
      </c>
      <c r="AH144" s="435">
        <f t="shared" si="614"/>
        <v>5.6692506459948317</v>
      </c>
      <c r="AI144" s="435">
        <f t="shared" si="614"/>
        <v>6.2166331729695719</v>
      </c>
      <c r="AJ144" s="435">
        <f t="shared" si="614"/>
        <v>6.7368977246458179</v>
      </c>
      <c r="AK144" s="435">
        <f t="shared" si="614"/>
        <v>6.5051135849398136</v>
      </c>
      <c r="AL144" s="435">
        <f t="shared" si="614"/>
        <v>6.5167915625867332</v>
      </c>
      <c r="AM144" s="435">
        <f t="shared" si="614"/>
        <v>5.998209489704565</v>
      </c>
      <c r="AN144" s="435">
        <f t="shared" si="614"/>
        <v>6.6802582398912671</v>
      </c>
      <c r="AO144" s="435">
        <f t="shared" si="614"/>
        <v>7.5733333333333333</v>
      </c>
      <c r="AP144" s="435">
        <f t="shared" si="614"/>
        <v>7.2495009980039917</v>
      </c>
      <c r="AQ144" s="435">
        <f t="shared" si="614"/>
        <v>6.3812335958005244</v>
      </c>
      <c r="AR144" s="435">
        <f t="shared" si="614"/>
        <v>6.5325443786982254</v>
      </c>
      <c r="AS144" s="435"/>
      <c r="AT144" s="435"/>
      <c r="AU144" s="435"/>
      <c r="AV144" s="435">
        <f>AQ144*(1+AV150)</f>
        <v>4.7859251968503935</v>
      </c>
      <c r="AW144" s="435"/>
      <c r="AX144" s="435"/>
      <c r="AY144" s="435"/>
      <c r="AZ144" s="435"/>
      <c r="BA144" s="435">
        <f>AV144*(1+BA150)</f>
        <v>1.9143700787401574</v>
      </c>
      <c r="BB144" s="435"/>
      <c r="BC144" s="435"/>
      <c r="BD144" s="435"/>
      <c r="BE144" s="435"/>
      <c r="BF144" s="435">
        <f>BA144*(1+BF150)</f>
        <v>1.5314960629921259</v>
      </c>
      <c r="BG144" s="435"/>
      <c r="BH144" s="435"/>
      <c r="BI144" s="435"/>
      <c r="BJ144" s="435"/>
      <c r="BK144" s="435">
        <f>BF144*(1+BK150)</f>
        <v>1.2251968503937007</v>
      </c>
      <c r="BL144" s="435"/>
      <c r="BM144" s="435"/>
      <c r="BN144" s="435"/>
      <c r="BO144" s="435"/>
      <c r="BP144" s="435">
        <f>BK144*(1+BP150)</f>
        <v>0.98015748031496064</v>
      </c>
      <c r="BQ144" s="435"/>
      <c r="BR144" s="435"/>
      <c r="BS144" s="435"/>
      <c r="BT144" s="435"/>
      <c r="BU144" s="435">
        <f>BP144*(1+BU150)</f>
        <v>0.78412598425196856</v>
      </c>
      <c r="BV144" s="435"/>
      <c r="BW144" s="435"/>
      <c r="BX144" s="435"/>
      <c r="BY144" s="435"/>
      <c r="BZ144" s="435">
        <f>BU144*(1+BZ150)</f>
        <v>0.62730078740157491</v>
      </c>
      <c r="CA144" s="435"/>
      <c r="CB144" s="435"/>
      <c r="CC144" s="435"/>
      <c r="CD144" s="435"/>
      <c r="CE144" s="435">
        <f>BZ144*(1+CE150)</f>
        <v>0.62730078740157491</v>
      </c>
      <c r="CF144" s="435"/>
      <c r="CG144" s="435"/>
      <c r="CH144" s="435"/>
      <c r="CI144" s="435"/>
      <c r="CJ144" s="435">
        <f>CE144*(1+CJ150)</f>
        <v>0.62730078740157491</v>
      </c>
      <c r="CK144" s="435"/>
      <c r="CL144" s="435"/>
      <c r="CM144" s="435"/>
      <c r="CN144" s="435"/>
      <c r="CO144" s="435">
        <f>CJ144*(1+CO150)</f>
        <v>0.62730078740157491</v>
      </c>
      <c r="CP144" s="435">
        <f t="shared" ref="CP144:CR144" si="615">CO144*(1+CP150)</f>
        <v>0.62730078740157491</v>
      </c>
      <c r="CQ144" s="435">
        <f t="shared" si="615"/>
        <v>0.62730078740157491</v>
      </c>
      <c r="CR144" s="435">
        <f t="shared" si="615"/>
        <v>0.62730078740157491</v>
      </c>
      <c r="CS144" s="435">
        <f t="shared" ref="CS144:CS145" si="616">CR144*(1+CS150)</f>
        <v>0.62730078740157491</v>
      </c>
      <c r="CT144" s="435">
        <f t="shared" ref="CT144:CT145" si="617">CS144*(1+CT150)</f>
        <v>0.62730078740157491</v>
      </c>
      <c r="CU144" s="347"/>
      <c r="CV144" s="1363"/>
      <c r="CW144" s="347"/>
      <c r="CX144" s="347"/>
    </row>
    <row r="145" spans="2:109" hidden="1" outlineLevel="1">
      <c r="B145" s="407" t="s">
        <v>257</v>
      </c>
      <c r="C145" s="417"/>
      <c r="D145" s="417"/>
      <c r="E145" s="417"/>
      <c r="F145" s="417"/>
      <c r="G145" s="417"/>
      <c r="H145" s="417"/>
      <c r="I145" s="417"/>
      <c r="J145" s="417"/>
      <c r="K145" s="417"/>
      <c r="L145" s="417"/>
      <c r="M145" s="417"/>
      <c r="N145" s="417"/>
      <c r="O145" s="417"/>
      <c r="P145" s="417"/>
      <c r="Q145" s="417"/>
      <c r="R145" s="435">
        <f t="shared" ref="R145:AR145" si="618">R214*1000/R97/R153</f>
        <v>0</v>
      </c>
      <c r="S145" s="435">
        <f t="shared" si="618"/>
        <v>0</v>
      </c>
      <c r="T145" s="435">
        <f t="shared" si="618"/>
        <v>0</v>
      </c>
      <c r="U145" s="435">
        <f t="shared" si="618"/>
        <v>0</v>
      </c>
      <c r="V145" s="435">
        <f t="shared" si="618"/>
        <v>0</v>
      </c>
      <c r="W145" s="435">
        <f t="shared" si="618"/>
        <v>0</v>
      </c>
      <c r="X145" s="435">
        <f t="shared" si="618"/>
        <v>0</v>
      </c>
      <c r="Y145" s="435">
        <f t="shared" si="618"/>
        <v>0</v>
      </c>
      <c r="Z145" s="435">
        <f t="shared" si="618"/>
        <v>0</v>
      </c>
      <c r="AA145" s="435">
        <f t="shared" si="618"/>
        <v>0</v>
      </c>
      <c r="AB145" s="435">
        <f t="shared" si="618"/>
        <v>0</v>
      </c>
      <c r="AC145" s="435">
        <f t="shared" si="618"/>
        <v>6.0484720758693369</v>
      </c>
      <c r="AD145" s="435">
        <f t="shared" si="618"/>
        <v>5.9373991610196839</v>
      </c>
      <c r="AE145" s="435">
        <f t="shared" si="618"/>
        <v>6.0136539032353822</v>
      </c>
      <c r="AF145" s="435">
        <f t="shared" si="618"/>
        <v>5.992130410342889</v>
      </c>
      <c r="AG145" s="435">
        <f t="shared" si="618"/>
        <v>0.84979617434932575</v>
      </c>
      <c r="AH145" s="435">
        <f t="shared" si="618"/>
        <v>0.77519379844961245</v>
      </c>
      <c r="AI145" s="435">
        <f t="shared" si="618"/>
        <v>1.0301849258063862</v>
      </c>
      <c r="AJ145" s="435">
        <f t="shared" si="618"/>
        <v>1.1833603029402375</v>
      </c>
      <c r="AK145" s="435">
        <f t="shared" si="618"/>
        <v>1.3745587836003257</v>
      </c>
      <c r="AL145" s="435">
        <f t="shared" si="618"/>
        <v>1.1254510130446851</v>
      </c>
      <c r="AM145" s="435">
        <f t="shared" si="618"/>
        <v>1.3190092509698597</v>
      </c>
      <c r="AN145" s="435">
        <f t="shared" si="618"/>
        <v>1.6241930003397893</v>
      </c>
      <c r="AO145" s="435">
        <f t="shared" si="618"/>
        <v>1.4019047619047618</v>
      </c>
      <c r="AP145" s="435">
        <f t="shared" si="618"/>
        <v>1.3333333333333333</v>
      </c>
      <c r="AQ145" s="435">
        <f t="shared" si="618"/>
        <v>1.3303805774278215</v>
      </c>
      <c r="AR145" s="435">
        <f t="shared" si="618"/>
        <v>1.3017751479289941</v>
      </c>
      <c r="AS145" s="435"/>
      <c r="AT145" s="435"/>
      <c r="AU145" s="435"/>
      <c r="AV145" s="435">
        <f>AQ145*(1+AV151)</f>
        <v>0.79822834645669283</v>
      </c>
      <c r="AW145" s="435"/>
      <c r="AX145" s="435"/>
      <c r="AY145" s="435"/>
      <c r="AZ145" s="435"/>
      <c r="BA145" s="435">
        <f>AV145*(1+BA151)</f>
        <v>0.47893700787401566</v>
      </c>
      <c r="BB145" s="435"/>
      <c r="BC145" s="435"/>
      <c r="BD145" s="435"/>
      <c r="BE145" s="435"/>
      <c r="BF145" s="435">
        <f>BA145*(1+BF151)</f>
        <v>0.40709645669291328</v>
      </c>
      <c r="BG145" s="435"/>
      <c r="BH145" s="435"/>
      <c r="BI145" s="435"/>
      <c r="BJ145" s="435"/>
      <c r="BK145" s="435">
        <f>BF145*(1+BK151)</f>
        <v>0.34603198818897629</v>
      </c>
      <c r="BL145" s="435"/>
      <c r="BM145" s="435"/>
      <c r="BN145" s="435"/>
      <c r="BO145" s="435"/>
      <c r="BP145" s="435">
        <f>BK145*(1+BP151)</f>
        <v>0.29412718996062986</v>
      </c>
      <c r="BQ145" s="435"/>
      <c r="BR145" s="435"/>
      <c r="BS145" s="435"/>
      <c r="BT145" s="435"/>
      <c r="BU145" s="435">
        <f>BP145*(1+BU151)</f>
        <v>0.2500081114665354</v>
      </c>
      <c r="BV145" s="435"/>
      <c r="BW145" s="435"/>
      <c r="BX145" s="435"/>
      <c r="BY145" s="435"/>
      <c r="BZ145" s="435">
        <f>BU145*(1+BZ151)</f>
        <v>0.2125068947465551</v>
      </c>
      <c r="CA145" s="435"/>
      <c r="CB145" s="435"/>
      <c r="CC145" s="435"/>
      <c r="CD145" s="435"/>
      <c r="CE145" s="435">
        <f>BZ145*(1+CE151)</f>
        <v>0.2125068947465551</v>
      </c>
      <c r="CF145" s="435"/>
      <c r="CG145" s="435"/>
      <c r="CH145" s="435"/>
      <c r="CI145" s="435"/>
      <c r="CJ145" s="435">
        <f>CE145*(1+CJ151)</f>
        <v>0.2125068947465551</v>
      </c>
      <c r="CK145" s="435"/>
      <c r="CL145" s="435"/>
      <c r="CM145" s="435"/>
      <c r="CN145" s="435"/>
      <c r="CO145" s="435">
        <f>CJ145*(1+CO151)</f>
        <v>0.2125068947465551</v>
      </c>
      <c r="CP145" s="435">
        <f t="shared" ref="CP145:CR145" si="619">CO145*(1+CP151)</f>
        <v>0.2125068947465551</v>
      </c>
      <c r="CQ145" s="435">
        <f t="shared" si="619"/>
        <v>0.2125068947465551</v>
      </c>
      <c r="CR145" s="435">
        <f t="shared" si="619"/>
        <v>0.2125068947465551</v>
      </c>
      <c r="CS145" s="435">
        <f t="shared" si="616"/>
        <v>0.2125068947465551</v>
      </c>
      <c r="CT145" s="435">
        <f t="shared" si="617"/>
        <v>0.2125068947465551</v>
      </c>
      <c r="CU145" s="347"/>
      <c r="CV145" s="1363"/>
      <c r="CW145" s="347"/>
      <c r="CX145" s="347"/>
    </row>
    <row r="146" spans="2:109" hidden="1" outlineLevel="1">
      <c r="B146" s="407"/>
      <c r="C146" s="417"/>
      <c r="D146" s="417"/>
      <c r="E146" s="417"/>
      <c r="F146" s="417"/>
      <c r="G146" s="417"/>
      <c r="H146" s="417"/>
      <c r="I146" s="417"/>
      <c r="J146" s="417"/>
      <c r="K146" s="417"/>
      <c r="L146" s="417"/>
      <c r="M146" s="417"/>
      <c r="N146" s="417"/>
      <c r="O146" s="417"/>
      <c r="P146" s="417"/>
      <c r="Q146" s="417"/>
      <c r="R146" s="417"/>
      <c r="S146" s="417"/>
      <c r="T146" s="417"/>
      <c r="U146" s="417"/>
      <c r="V146" s="417"/>
      <c r="W146" s="417"/>
      <c r="X146" s="417"/>
      <c r="Y146" s="417"/>
      <c r="Z146" s="417"/>
      <c r="AA146" s="417"/>
      <c r="AB146" s="417"/>
      <c r="AC146" s="417"/>
      <c r="AD146" s="417"/>
      <c r="AE146" s="417"/>
      <c r="AF146" s="417"/>
      <c r="AG146" s="417"/>
      <c r="AH146" s="417"/>
      <c r="AI146" s="417"/>
      <c r="AJ146" s="417"/>
      <c r="AK146" s="417"/>
      <c r="AL146" s="417"/>
      <c r="AM146" s="417"/>
      <c r="AN146" s="417"/>
      <c r="AO146" s="417"/>
      <c r="AP146" s="417"/>
      <c r="AQ146" s="417"/>
      <c r="AR146" s="417"/>
      <c r="AS146" s="417"/>
      <c r="AT146" s="417"/>
      <c r="AU146" s="417"/>
      <c r="AV146" s="417"/>
      <c r="AW146" s="417"/>
      <c r="AX146" s="417"/>
      <c r="AY146" s="417"/>
      <c r="AZ146" s="417"/>
      <c r="BA146" s="417"/>
      <c r="BB146" s="417"/>
      <c r="BC146" s="417"/>
      <c r="BD146" s="417"/>
      <c r="BE146" s="417"/>
      <c r="BF146" s="417"/>
      <c r="BG146" s="417"/>
      <c r="BH146" s="417"/>
      <c r="BI146" s="417"/>
      <c r="BJ146" s="417"/>
      <c r="BK146" s="417"/>
      <c r="BL146" s="417"/>
      <c r="BM146" s="417"/>
      <c r="BN146" s="417"/>
      <c r="BO146" s="417"/>
      <c r="BP146" s="417"/>
      <c r="BQ146" s="417"/>
      <c r="BR146" s="417"/>
      <c r="BS146" s="417"/>
      <c r="BT146" s="417"/>
      <c r="BU146" s="417"/>
      <c r="BV146" s="417"/>
      <c r="BW146" s="417"/>
      <c r="BX146" s="417"/>
      <c r="BY146" s="417"/>
      <c r="BZ146" s="417"/>
      <c r="CA146" s="417"/>
      <c r="CB146" s="417"/>
      <c r="CC146" s="417"/>
      <c r="CD146" s="417"/>
      <c r="CE146" s="417"/>
      <c r="CF146" s="417"/>
      <c r="CG146" s="417"/>
      <c r="CH146" s="417"/>
      <c r="CI146" s="417"/>
      <c r="CJ146" s="417"/>
      <c r="CK146" s="417"/>
      <c r="CL146" s="417"/>
      <c r="CM146" s="417"/>
      <c r="CN146" s="417"/>
      <c r="CO146" s="417"/>
      <c r="CP146" s="417"/>
      <c r="CQ146" s="417"/>
      <c r="CR146" s="417"/>
      <c r="CS146" s="417"/>
      <c r="CT146" s="417"/>
      <c r="CU146" s="347"/>
      <c r="CV146" s="1363"/>
      <c r="CW146" s="347"/>
      <c r="CX146" s="347"/>
    </row>
    <row r="147" spans="2:109" hidden="1" outlineLevel="1">
      <c r="B147" s="407" t="s">
        <v>266</v>
      </c>
      <c r="C147" s="417"/>
      <c r="D147" s="417"/>
      <c r="E147" s="417"/>
      <c r="F147" s="417"/>
      <c r="G147" s="417"/>
      <c r="H147" s="417"/>
      <c r="I147" s="417"/>
      <c r="J147" s="417"/>
      <c r="K147" s="417"/>
      <c r="L147" s="417"/>
      <c r="M147" s="417"/>
      <c r="N147" s="417"/>
      <c r="O147" s="417"/>
      <c r="P147" s="417"/>
      <c r="Q147" s="417"/>
      <c r="R147" s="417"/>
      <c r="S147" s="417"/>
      <c r="T147" s="417"/>
      <c r="U147" s="417"/>
      <c r="V147" s="417"/>
      <c r="W147" s="417"/>
      <c r="X147" s="417"/>
      <c r="Y147" s="417"/>
      <c r="Z147" s="417"/>
      <c r="AA147" s="417"/>
      <c r="AB147" s="417"/>
      <c r="AC147" s="417"/>
      <c r="AD147" s="417"/>
      <c r="AE147" s="417"/>
      <c r="AF147" s="417"/>
      <c r="AG147" s="417"/>
      <c r="AH147" s="417"/>
      <c r="AI147" s="417"/>
      <c r="AJ147" s="417"/>
      <c r="AK147" s="417"/>
      <c r="AL147" s="417"/>
      <c r="AM147" s="417"/>
      <c r="AN147" s="417"/>
      <c r="AO147" s="417"/>
      <c r="AP147" s="417"/>
      <c r="AQ147" s="417"/>
      <c r="AR147" s="417"/>
      <c r="AS147" s="417"/>
      <c r="AT147" s="417"/>
      <c r="AU147" s="417"/>
      <c r="AV147" s="417"/>
      <c r="AW147" s="417"/>
      <c r="AX147" s="417"/>
      <c r="AY147" s="417"/>
      <c r="AZ147" s="417"/>
      <c r="BA147" s="417"/>
      <c r="BB147" s="417"/>
      <c r="BC147" s="417"/>
      <c r="BD147" s="417"/>
      <c r="BE147" s="417"/>
      <c r="BF147" s="417"/>
      <c r="BG147" s="417"/>
      <c r="BH147" s="417"/>
      <c r="BI147" s="417"/>
      <c r="BJ147" s="417"/>
      <c r="BK147" s="417"/>
      <c r="BL147" s="417"/>
      <c r="BM147" s="417"/>
      <c r="BN147" s="417"/>
      <c r="BO147" s="417"/>
      <c r="BP147" s="417"/>
      <c r="BQ147" s="417"/>
      <c r="BR147" s="417"/>
      <c r="BS147" s="417"/>
      <c r="BT147" s="417"/>
      <c r="BU147" s="417"/>
      <c r="BV147" s="417"/>
      <c r="BW147" s="417"/>
      <c r="BX147" s="417"/>
      <c r="BY147" s="417"/>
      <c r="BZ147" s="417"/>
      <c r="CA147" s="417"/>
      <c r="CB147" s="417"/>
      <c r="CC147" s="417"/>
      <c r="CD147" s="417"/>
      <c r="CE147" s="417"/>
      <c r="CF147" s="417"/>
      <c r="CG147" s="417"/>
      <c r="CH147" s="417"/>
      <c r="CI147" s="417"/>
      <c r="CJ147" s="417"/>
      <c r="CK147" s="417"/>
      <c r="CL147" s="417"/>
      <c r="CM147" s="417"/>
      <c r="CN147" s="417"/>
      <c r="CO147" s="417"/>
      <c r="CP147" s="417"/>
      <c r="CQ147" s="417"/>
      <c r="CR147" s="417"/>
      <c r="CS147" s="417"/>
      <c r="CT147" s="417"/>
      <c r="CU147" s="347"/>
      <c r="CV147" s="1363"/>
      <c r="CW147" s="347"/>
      <c r="CX147" s="347"/>
    </row>
    <row r="148" spans="2:109" hidden="1" outlineLevel="1">
      <c r="B148" s="407" t="s">
        <v>262</v>
      </c>
      <c r="C148" s="417"/>
      <c r="D148" s="417"/>
      <c r="E148" s="417"/>
      <c r="F148" s="417"/>
      <c r="G148" s="417"/>
      <c r="H148" s="417"/>
      <c r="I148" s="417"/>
      <c r="J148" s="417"/>
      <c r="K148" s="417"/>
      <c r="L148" s="417"/>
      <c r="M148" s="417"/>
      <c r="N148" s="417"/>
      <c r="O148" s="417"/>
      <c r="P148" s="417"/>
      <c r="Q148" s="417"/>
      <c r="R148" s="417"/>
      <c r="S148" s="417"/>
      <c r="T148" s="417"/>
      <c r="U148" s="417"/>
      <c r="V148" s="417"/>
      <c r="W148" s="417">
        <f t="shared" ref="W148:AF150" si="620">W142/R142-1</f>
        <v>-0.23402694792686674</v>
      </c>
      <c r="X148" s="417">
        <f t="shared" si="620"/>
        <v>-0.10274798333481061</v>
      </c>
      <c r="Y148" s="417">
        <f t="shared" si="620"/>
        <v>-7.9051771490192824E-2</v>
      </c>
      <c r="Z148" s="417">
        <f t="shared" si="620"/>
        <v>1.5242876406789341E-2</v>
      </c>
      <c r="AA148" s="417">
        <f t="shared" si="620"/>
        <v>2.781544615542586E-2</v>
      </c>
      <c r="AB148" s="417">
        <f t="shared" si="620"/>
        <v>-5.4152700021845579E-3</v>
      </c>
      <c r="AC148" s="417">
        <f t="shared" si="620"/>
        <v>-0.12703799274827232</v>
      </c>
      <c r="AD148" s="417">
        <f t="shared" si="620"/>
        <v>-0.18055525449587162</v>
      </c>
      <c r="AE148" s="417">
        <f t="shared" si="620"/>
        <v>-0.26743142821480892</v>
      </c>
      <c r="AF148" s="417">
        <f t="shared" si="620"/>
        <v>-0.28795232531656911</v>
      </c>
      <c r="AG148" s="417">
        <f t="shared" ref="AG148:AP150" si="621">AG142/AB142-1</f>
        <v>-0.19737156175847015</v>
      </c>
      <c r="AH148" s="417">
        <f t="shared" si="621"/>
        <v>-0.23960283069664878</v>
      </c>
      <c r="AI148" s="417">
        <f t="shared" si="621"/>
        <v>-0.16055581346976511</v>
      </c>
      <c r="AJ148" s="417">
        <f t="shared" si="621"/>
        <v>-5.8824502175562898E-2</v>
      </c>
      <c r="AK148" s="417">
        <f t="shared" si="621"/>
        <v>2.0644811924906525E-2</v>
      </c>
      <c r="AL148" s="417">
        <f t="shared" si="621"/>
        <v>-8.6237643621643545E-2</v>
      </c>
      <c r="AM148" s="417">
        <f t="shared" si="621"/>
        <v>0.15118352730528217</v>
      </c>
      <c r="AN148" s="417">
        <f t="shared" si="621"/>
        <v>0.30002485174520266</v>
      </c>
      <c r="AO148" s="417">
        <f t="shared" si="621"/>
        <v>0.52662141792633599</v>
      </c>
      <c r="AP148" s="417">
        <f t="shared" si="621"/>
        <v>0.55160302464279076</v>
      </c>
      <c r="AQ148" s="417">
        <f t="shared" ref="AQ148:AR150" si="622">AQ142/AL142-1</f>
        <v>0.23257513152294762</v>
      </c>
      <c r="AR148" s="417">
        <f t="shared" si="622"/>
        <v>0.41878991075188132</v>
      </c>
      <c r="AS148" s="417"/>
      <c r="AT148" s="417"/>
      <c r="AU148" s="417"/>
      <c r="AV148" s="417">
        <f>AV142/AQ142-1</f>
        <v>3.3442286319710135E-2</v>
      </c>
      <c r="AW148" s="417"/>
      <c r="AX148" s="417"/>
      <c r="AY148" s="417"/>
      <c r="AZ148" s="417"/>
      <c r="BA148" s="417">
        <f>BA142/AV142-1</f>
        <v>-0.31860752523384239</v>
      </c>
      <c r="BB148" s="417"/>
      <c r="BC148" s="417"/>
      <c r="BD148" s="417"/>
      <c r="BE148" s="417"/>
      <c r="BF148" s="417">
        <f>BF142/BA142-1</f>
        <v>-0.27049385132908965</v>
      </c>
      <c r="BG148" s="417"/>
      <c r="BH148" s="417"/>
      <c r="BI148" s="417"/>
      <c r="BJ148" s="417"/>
      <c r="BK148" s="417">
        <f>BK142/BF142-1</f>
        <v>-0.20100000000000029</v>
      </c>
      <c r="BL148" s="417"/>
      <c r="BM148" s="417"/>
      <c r="BN148" s="417"/>
      <c r="BO148" s="417"/>
      <c r="BP148" s="417">
        <f>BP142/BK142-1</f>
        <v>-0.20100000000000007</v>
      </c>
      <c r="BQ148" s="417"/>
      <c r="BR148" s="417"/>
      <c r="BS148" s="417"/>
      <c r="BT148" s="417"/>
      <c r="BU148" s="417">
        <f>BU142/BP142-1</f>
        <v>-0.20099999999999985</v>
      </c>
      <c r="BV148" s="417"/>
      <c r="BW148" s="417"/>
      <c r="BX148" s="417"/>
      <c r="BY148" s="417"/>
      <c r="BZ148" s="417">
        <f>BZ142/BU142-1</f>
        <v>-0.20100000000000029</v>
      </c>
      <c r="CA148" s="417"/>
      <c r="CB148" s="417"/>
      <c r="CC148" s="417"/>
      <c r="CD148" s="417"/>
      <c r="CE148" s="417" t="e">
        <f>CE142/BZ142-1</f>
        <v>#DIV/0!</v>
      </c>
      <c r="CF148" s="417"/>
      <c r="CG148" s="417"/>
      <c r="CH148" s="417"/>
      <c r="CI148" s="417"/>
      <c r="CJ148" s="417" t="e">
        <f>CJ142/CE142-1</f>
        <v>#DIV/0!</v>
      </c>
      <c r="CK148" s="417"/>
      <c r="CL148" s="417"/>
      <c r="CM148" s="417"/>
      <c r="CN148" s="417"/>
      <c r="CO148" s="417" t="e">
        <f>CO142/CJ142-1</f>
        <v>#DIV/0!</v>
      </c>
      <c r="CP148" s="417" t="e">
        <f t="shared" ref="CP148:CR148" si="623">CP142/CO142-1</f>
        <v>#DIV/0!</v>
      </c>
      <c r="CQ148" s="417" t="e">
        <f t="shared" si="623"/>
        <v>#DIV/0!</v>
      </c>
      <c r="CR148" s="417" t="e">
        <f t="shared" si="623"/>
        <v>#DIV/0!</v>
      </c>
      <c r="CS148" s="417" t="e">
        <f t="shared" ref="CS148:CS149" si="624">CS142/CR142-1</f>
        <v>#DIV/0!</v>
      </c>
      <c r="CT148" s="417" t="e">
        <f t="shared" ref="CT148:CT149" si="625">CT142/CS142-1</f>
        <v>#DIV/0!</v>
      </c>
      <c r="CU148" s="347"/>
      <c r="CV148" s="1363"/>
      <c r="CW148" s="347"/>
      <c r="CX148" s="347"/>
    </row>
    <row r="149" spans="2:109" hidden="1" outlineLevel="1">
      <c r="B149" s="407" t="s">
        <v>263</v>
      </c>
      <c r="C149" s="417"/>
      <c r="D149" s="417"/>
      <c r="E149" s="417"/>
      <c r="F149" s="417"/>
      <c r="G149" s="417"/>
      <c r="H149" s="417"/>
      <c r="I149" s="417"/>
      <c r="J149" s="417"/>
      <c r="K149" s="417"/>
      <c r="L149" s="417"/>
      <c r="M149" s="417"/>
      <c r="N149" s="417"/>
      <c r="O149" s="417"/>
      <c r="P149" s="417"/>
      <c r="Q149" s="417"/>
      <c r="R149" s="417"/>
      <c r="S149" s="417"/>
      <c r="T149" s="417"/>
      <c r="U149" s="417"/>
      <c r="V149" s="417"/>
      <c r="W149" s="417">
        <f t="shared" si="620"/>
        <v>-4.9506564646550899E-3</v>
      </c>
      <c r="X149" s="417">
        <f t="shared" si="620"/>
        <v>2.0835824286192572E-2</v>
      </c>
      <c r="Y149" s="417">
        <f t="shared" si="620"/>
        <v>-6.2763166771834134E-2</v>
      </c>
      <c r="Z149" s="417">
        <f t="shared" si="620"/>
        <v>-1.212637140496664E-2</v>
      </c>
      <c r="AA149" s="417">
        <f t="shared" si="620"/>
        <v>0.14670828603859265</v>
      </c>
      <c r="AB149" s="417">
        <f t="shared" si="620"/>
        <v>0.24254275829196303</v>
      </c>
      <c r="AC149" s="417">
        <f t="shared" si="620"/>
        <v>-1.7564395611421646E-2</v>
      </c>
      <c r="AD149" s="417">
        <f t="shared" si="620"/>
        <v>-9.2678903042852978E-2</v>
      </c>
      <c r="AE149" s="417">
        <f t="shared" si="620"/>
        <v>-0.16777572029493604</v>
      </c>
      <c r="AF149" s="417">
        <f t="shared" si="620"/>
        <v>-0.20734731358677405</v>
      </c>
      <c r="AG149" s="417">
        <f t="shared" si="621"/>
        <v>-9.9516880832460797E-2</v>
      </c>
      <c r="AH149" s="417">
        <f t="shared" si="621"/>
        <v>-4.1336466520811577E-2</v>
      </c>
      <c r="AI149" s="417">
        <f t="shared" si="621"/>
        <v>0.21797330697966277</v>
      </c>
      <c r="AJ149" s="417">
        <f t="shared" si="621"/>
        <v>0.32802887778388223</v>
      </c>
      <c r="AK149" s="417">
        <f t="shared" si="621"/>
        <v>0.38391608623160334</v>
      </c>
      <c r="AL149" s="417">
        <f t="shared" si="621"/>
        <v>0.25289202003511746</v>
      </c>
      <c r="AM149" s="417">
        <f t="shared" si="621"/>
        <v>0.48940295577822557</v>
      </c>
      <c r="AN149" s="417">
        <f t="shared" si="621"/>
        <v>0.37953197775274083</v>
      </c>
      <c r="AO149" s="417">
        <f t="shared" si="621"/>
        <v>0.46536547405730033</v>
      </c>
      <c r="AP149" s="417">
        <f t="shared" si="621"/>
        <v>0.69932310004819787</v>
      </c>
      <c r="AQ149" s="417">
        <f t="shared" si="622"/>
        <v>0.34477496224392157</v>
      </c>
      <c r="AR149" s="417">
        <f t="shared" si="622"/>
        <v>0.62792964836450049</v>
      </c>
      <c r="AS149" s="417"/>
      <c r="AT149" s="417"/>
      <c r="AU149" s="417"/>
      <c r="AV149" s="417">
        <f>AV143/AQ143-1</f>
        <v>0.50096197892808081</v>
      </c>
      <c r="AW149" s="417"/>
      <c r="AX149" s="417"/>
      <c r="AY149" s="417"/>
      <c r="AZ149" s="417"/>
      <c r="BA149" s="417">
        <f>BA143/AV143-1</f>
        <v>0.42523440383905475</v>
      </c>
      <c r="BB149" s="417"/>
      <c r="BC149" s="417"/>
      <c r="BD149" s="417"/>
      <c r="BE149" s="417"/>
      <c r="BF149" s="417">
        <f>BF143/BA143-1</f>
        <v>8.0959770477900372E-2</v>
      </c>
      <c r="BG149" s="417"/>
      <c r="BH149" s="417"/>
      <c r="BI149" s="417"/>
      <c r="BJ149" s="417"/>
      <c r="BK149" s="417">
        <f>BK143/BF143-1</f>
        <v>0.28281430251494366</v>
      </c>
      <c r="BL149" s="417"/>
      <c r="BM149" s="417"/>
      <c r="BN149" s="417"/>
      <c r="BO149" s="417"/>
      <c r="BP149" s="417">
        <f>BP143/BK143-1</f>
        <v>6.7672085588167619E-2</v>
      </c>
      <c r="BQ149" s="417"/>
      <c r="BR149" s="417"/>
      <c r="BS149" s="417"/>
      <c r="BT149" s="417"/>
      <c r="BU149" s="417">
        <f>BU143/BP143-1</f>
        <v>4.3253386170442276E-2</v>
      </c>
      <c r="BV149" s="417"/>
      <c r="BW149" s="417"/>
      <c r="BX149" s="417"/>
      <c r="BY149" s="417"/>
      <c r="BZ149" s="417">
        <f>BZ143/BU143-1</f>
        <v>0.12451000879768004</v>
      </c>
      <c r="CA149" s="417"/>
      <c r="CB149" s="417"/>
      <c r="CC149" s="417"/>
      <c r="CD149" s="417"/>
      <c r="CE149" s="417" t="e">
        <f>CE143/BZ143-1</f>
        <v>#DIV/0!</v>
      </c>
      <c r="CF149" s="417"/>
      <c r="CG149" s="417"/>
      <c r="CH149" s="417"/>
      <c r="CI149" s="417"/>
      <c r="CJ149" s="417" t="e">
        <f>CJ143/CE143-1</f>
        <v>#DIV/0!</v>
      </c>
      <c r="CK149" s="417"/>
      <c r="CL149" s="417"/>
      <c r="CM149" s="417"/>
      <c r="CN149" s="417"/>
      <c r="CO149" s="417" t="e">
        <f>CO143/CJ143-1</f>
        <v>#DIV/0!</v>
      </c>
      <c r="CP149" s="417" t="e">
        <f t="shared" ref="CP149:CR149" si="626">CP143/CO143-1</f>
        <v>#DIV/0!</v>
      </c>
      <c r="CQ149" s="417" t="e">
        <f t="shared" si="626"/>
        <v>#DIV/0!</v>
      </c>
      <c r="CR149" s="417" t="e">
        <f t="shared" si="626"/>
        <v>#DIV/0!</v>
      </c>
      <c r="CS149" s="417" t="e">
        <f t="shared" si="624"/>
        <v>#DIV/0!</v>
      </c>
      <c r="CT149" s="417" t="e">
        <f t="shared" si="625"/>
        <v>#DIV/0!</v>
      </c>
      <c r="CU149" s="347"/>
      <c r="CV149" s="1363"/>
      <c r="CW149" s="347"/>
      <c r="CX149" s="347"/>
    </row>
    <row r="150" spans="2:109" hidden="1" outlineLevel="1">
      <c r="B150" s="407" t="s">
        <v>256</v>
      </c>
      <c r="C150" s="417"/>
      <c r="D150" s="417"/>
      <c r="E150" s="417"/>
      <c r="F150" s="417"/>
      <c r="G150" s="417"/>
      <c r="H150" s="417"/>
      <c r="I150" s="417"/>
      <c r="J150" s="417"/>
      <c r="K150" s="417"/>
      <c r="L150" s="417"/>
      <c r="M150" s="417"/>
      <c r="N150" s="417"/>
      <c r="O150" s="417"/>
      <c r="P150" s="417"/>
      <c r="Q150" s="417"/>
      <c r="R150" s="417"/>
      <c r="S150" s="417"/>
      <c r="T150" s="417"/>
      <c r="U150" s="417"/>
      <c r="V150" s="417"/>
      <c r="W150" s="417">
        <f t="shared" si="620"/>
        <v>-3.4121859381399E-2</v>
      </c>
      <c r="X150" s="417">
        <f t="shared" si="620"/>
        <v>1.1537814083708353E-2</v>
      </c>
      <c r="Y150" s="417">
        <f t="shared" si="620"/>
        <v>3.5907754217613386E-2</v>
      </c>
      <c r="Z150" s="417">
        <f t="shared" si="620"/>
        <v>0.14809144051295897</v>
      </c>
      <c r="AA150" s="417">
        <f t="shared" si="620"/>
        <v>4.5712332338242012E-2</v>
      </c>
      <c r="AB150" s="417">
        <f t="shared" si="620"/>
        <v>9.1986845416619278E-2</v>
      </c>
      <c r="AC150" s="417">
        <f t="shared" si="620"/>
        <v>-8.1858923786772841E-2</v>
      </c>
      <c r="AD150" s="417">
        <f t="shared" si="620"/>
        <v>-0.12337368555869366</v>
      </c>
      <c r="AE150" s="417">
        <f t="shared" si="620"/>
        <v>-0.25476955973133109</v>
      </c>
      <c r="AF150" s="417">
        <f t="shared" si="620"/>
        <v>-0.27528482704725876</v>
      </c>
      <c r="AG150" s="417">
        <f t="shared" si="621"/>
        <v>-0.16657472845736565</v>
      </c>
      <c r="AH150" s="417">
        <f t="shared" si="621"/>
        <v>-0.24998342987233801</v>
      </c>
      <c r="AI150" s="417">
        <f t="shared" si="621"/>
        <v>-0.15650848498105496</v>
      </c>
      <c r="AJ150" s="417">
        <f t="shared" si="621"/>
        <v>-5.9012917316262015E-2</v>
      </c>
      <c r="AK150" s="417">
        <f t="shared" si="621"/>
        <v>3.3267595322136412E-2</v>
      </c>
      <c r="AL150" s="417">
        <f t="shared" si="621"/>
        <v>-8.5297170198543548E-2</v>
      </c>
      <c r="AM150" s="417">
        <f t="shared" si="621"/>
        <v>5.8025101420085212E-2</v>
      </c>
      <c r="AN150" s="417">
        <f t="shared" si="621"/>
        <v>7.4578160560860418E-2</v>
      </c>
      <c r="AO150" s="417">
        <f t="shared" si="621"/>
        <v>0.12415738562091505</v>
      </c>
      <c r="AP150" s="417">
        <f t="shared" si="621"/>
        <v>0.11443111689664143</v>
      </c>
      <c r="AQ150" s="417">
        <f t="shared" si="622"/>
        <v>-2.0801335363318185E-2</v>
      </c>
      <c r="AR150" s="417">
        <f t="shared" si="622"/>
        <v>8.9082398657599704E-2</v>
      </c>
      <c r="AS150" s="417"/>
      <c r="AT150" s="417"/>
      <c r="AU150" s="417"/>
      <c r="AV150" s="424">
        <v>-0.25</v>
      </c>
      <c r="AW150" s="417"/>
      <c r="AX150" s="417"/>
      <c r="AY150" s="417"/>
      <c r="AZ150" s="417"/>
      <c r="BA150" s="424">
        <v>-0.6</v>
      </c>
      <c r="BB150" s="417"/>
      <c r="BC150" s="417"/>
      <c r="BD150" s="417"/>
      <c r="BE150" s="417"/>
      <c r="BF150" s="424">
        <v>-0.2</v>
      </c>
      <c r="BG150" s="417"/>
      <c r="BH150" s="417"/>
      <c r="BI150" s="417"/>
      <c r="BJ150" s="417"/>
      <c r="BK150" s="424">
        <v>-0.2</v>
      </c>
      <c r="BL150" s="417"/>
      <c r="BM150" s="417"/>
      <c r="BN150" s="417"/>
      <c r="BO150" s="417"/>
      <c r="BP150" s="424">
        <v>-0.2</v>
      </c>
      <c r="BQ150" s="417"/>
      <c r="BR150" s="417"/>
      <c r="BS150" s="417"/>
      <c r="BT150" s="417"/>
      <c r="BU150" s="424">
        <v>-0.2</v>
      </c>
      <c r="BV150" s="417"/>
      <c r="BW150" s="417"/>
      <c r="BX150" s="417"/>
      <c r="BY150" s="417"/>
      <c r="BZ150" s="424">
        <v>-0.2</v>
      </c>
      <c r="CA150" s="417"/>
      <c r="CB150" s="417"/>
      <c r="CC150" s="417"/>
      <c r="CD150" s="417"/>
      <c r="CE150" s="424"/>
      <c r="CF150" s="417"/>
      <c r="CG150" s="417"/>
      <c r="CH150" s="417"/>
      <c r="CI150" s="417"/>
      <c r="CJ150" s="424">
        <f>CE150*0.8</f>
        <v>0</v>
      </c>
      <c r="CK150" s="417"/>
      <c r="CL150" s="417"/>
      <c r="CM150" s="417"/>
      <c r="CN150" s="417"/>
      <c r="CO150" s="424">
        <f>CJ150*0.8</f>
        <v>0</v>
      </c>
      <c r="CP150" s="424">
        <f t="shared" ref="CP150:CR150" si="627">CO150*0.8</f>
        <v>0</v>
      </c>
      <c r="CQ150" s="424">
        <f t="shared" si="627"/>
        <v>0</v>
      </c>
      <c r="CR150" s="424">
        <f t="shared" si="627"/>
        <v>0</v>
      </c>
      <c r="CS150" s="424">
        <f t="shared" ref="CS150" si="628">CR150*0.8</f>
        <v>0</v>
      </c>
      <c r="CT150" s="424">
        <f t="shared" ref="CT150" si="629">CS150*0.8</f>
        <v>0</v>
      </c>
      <c r="CU150" s="347"/>
      <c r="CV150" s="1363"/>
      <c r="CW150" s="347"/>
      <c r="CX150" s="347"/>
    </row>
    <row r="151" spans="2:109" hidden="1" outlineLevel="1">
      <c r="B151" s="407" t="s">
        <v>257</v>
      </c>
      <c r="C151" s="417"/>
      <c r="D151" s="417"/>
      <c r="E151" s="417"/>
      <c r="F151" s="417"/>
      <c r="G151" s="417"/>
      <c r="H151" s="417"/>
      <c r="I151" s="417"/>
      <c r="J151" s="417"/>
      <c r="K151" s="417"/>
      <c r="L151" s="417"/>
      <c r="M151" s="417"/>
      <c r="N151" s="417"/>
      <c r="O151" s="417"/>
      <c r="P151" s="417"/>
      <c r="Q151" s="417"/>
      <c r="R151" s="417"/>
      <c r="S151" s="417"/>
      <c r="T151" s="417"/>
      <c r="U151" s="417"/>
      <c r="V151" s="417"/>
      <c r="W151" s="417"/>
      <c r="X151" s="417" t="e">
        <f>X145/S145-1</f>
        <v>#DIV/0!</v>
      </c>
      <c r="Y151" s="417" t="e">
        <f>Y145/T145-1</f>
        <v>#DIV/0!</v>
      </c>
      <c r="Z151" s="417" t="e">
        <f>Z145/U145-1</f>
        <v>#DIV/0!</v>
      </c>
      <c r="AA151" s="417" t="e">
        <f>AA145/V145-1</f>
        <v>#DIV/0!</v>
      </c>
      <c r="AB151" s="417"/>
      <c r="AC151" s="417" t="e">
        <f>AC145/X145-1</f>
        <v>#DIV/0!</v>
      </c>
      <c r="AD151" s="417" t="e">
        <f>AD145/Y145-1</f>
        <v>#DIV/0!</v>
      </c>
      <c r="AE151" s="417" t="e">
        <f>AE145/Z145-1</f>
        <v>#DIV/0!</v>
      </c>
      <c r="AF151" s="417" t="e">
        <f>AF145/AA145-1</f>
        <v>#DIV/0!</v>
      </c>
      <c r="AG151" s="417"/>
      <c r="AH151" s="417">
        <f t="shared" ref="AH151:AR151" si="630">AH145/AC145-1</f>
        <v>-0.87183642600545608</v>
      </c>
      <c r="AI151" s="417">
        <f t="shared" si="630"/>
        <v>-0.82649222363728314</v>
      </c>
      <c r="AJ151" s="417">
        <f t="shared" si="630"/>
        <v>-0.80322108289211946</v>
      </c>
      <c r="AK151" s="417">
        <f t="shared" si="630"/>
        <v>-0.77060599662054607</v>
      </c>
      <c r="AL151" s="417">
        <f t="shared" si="630"/>
        <v>0.32437759431715896</v>
      </c>
      <c r="AM151" s="417">
        <f t="shared" si="630"/>
        <v>0.70152193375111893</v>
      </c>
      <c r="AN151" s="417">
        <f t="shared" si="630"/>
        <v>0.57660334533475921</v>
      </c>
      <c r="AO151" s="417">
        <f t="shared" si="630"/>
        <v>0.18468124916943518</v>
      </c>
      <c r="AP151" s="417">
        <f t="shared" si="630"/>
        <v>-2.9991769547325076E-2</v>
      </c>
      <c r="AQ151" s="417">
        <f t="shared" si="630"/>
        <v>0.18208661417322825</v>
      </c>
      <c r="AR151" s="417">
        <f t="shared" si="630"/>
        <v>-1.30659455407105E-2</v>
      </c>
      <c r="AS151" s="417"/>
      <c r="AT151" s="417"/>
      <c r="AU151" s="417"/>
      <c r="AV151" s="424">
        <v>-0.4</v>
      </c>
      <c r="AW151" s="417"/>
      <c r="AX151" s="417"/>
      <c r="AY151" s="417"/>
      <c r="AZ151" s="417"/>
      <c r="BA151" s="424">
        <v>-0.4</v>
      </c>
      <c r="BB151" s="417"/>
      <c r="BC151" s="417"/>
      <c r="BD151" s="417"/>
      <c r="BE151" s="417"/>
      <c r="BF151" s="424">
        <v>-0.15</v>
      </c>
      <c r="BG151" s="417"/>
      <c r="BH151" s="417"/>
      <c r="BI151" s="417"/>
      <c r="BJ151" s="417"/>
      <c r="BK151" s="424">
        <v>-0.15</v>
      </c>
      <c r="BL151" s="417"/>
      <c r="BM151" s="417"/>
      <c r="BN151" s="417"/>
      <c r="BO151" s="417"/>
      <c r="BP151" s="424">
        <v>-0.15</v>
      </c>
      <c r="BQ151" s="417"/>
      <c r="BR151" s="417"/>
      <c r="BS151" s="417"/>
      <c r="BT151" s="417"/>
      <c r="BU151" s="424">
        <v>-0.15</v>
      </c>
      <c r="BV151" s="417"/>
      <c r="BW151" s="417"/>
      <c r="BX151" s="417"/>
      <c r="BY151" s="417"/>
      <c r="BZ151" s="424">
        <v>-0.15</v>
      </c>
      <c r="CA151" s="417"/>
      <c r="CB151" s="417"/>
      <c r="CC151" s="417"/>
      <c r="CD151" s="417"/>
      <c r="CE151" s="424"/>
      <c r="CF151" s="417"/>
      <c r="CG151" s="417"/>
      <c r="CH151" s="417"/>
      <c r="CI151" s="417"/>
      <c r="CJ151" s="424">
        <f>CE151*0.9</f>
        <v>0</v>
      </c>
      <c r="CK151" s="417"/>
      <c r="CL151" s="417"/>
      <c r="CM151" s="417"/>
      <c r="CN151" s="417"/>
      <c r="CO151" s="424">
        <f>CJ151*0.9</f>
        <v>0</v>
      </c>
      <c r="CP151" s="424">
        <f t="shared" ref="CP151:CR151" si="631">CO151*0.9</f>
        <v>0</v>
      </c>
      <c r="CQ151" s="424">
        <f t="shared" si="631"/>
        <v>0</v>
      </c>
      <c r="CR151" s="424">
        <f t="shared" si="631"/>
        <v>0</v>
      </c>
      <c r="CS151" s="424">
        <f t="shared" ref="CS151" si="632">CR151*0.9</f>
        <v>0</v>
      </c>
      <c r="CT151" s="424">
        <f t="shared" ref="CT151" si="633">CS151*0.9</f>
        <v>0</v>
      </c>
      <c r="CU151" s="347"/>
      <c r="CV151" s="1363"/>
      <c r="CW151" s="347"/>
      <c r="CX151" s="347"/>
    </row>
    <row r="152" spans="2:109" collapsed="1">
      <c r="B152" s="407"/>
      <c r="C152" s="417"/>
      <c r="D152" s="417"/>
      <c r="E152" s="417"/>
      <c r="F152" s="417"/>
      <c r="G152" s="417"/>
      <c r="H152" s="417"/>
      <c r="I152" s="417"/>
      <c r="J152" s="417"/>
      <c r="K152" s="417"/>
      <c r="L152" s="417"/>
      <c r="M152" s="417"/>
      <c r="N152" s="417"/>
      <c r="O152" s="417"/>
      <c r="P152" s="417"/>
      <c r="Q152" s="417"/>
      <c r="R152" s="417"/>
      <c r="S152" s="417"/>
      <c r="T152" s="417"/>
      <c r="U152" s="417"/>
      <c r="V152" s="417"/>
      <c r="W152" s="417"/>
      <c r="X152" s="417"/>
      <c r="Y152" s="417"/>
      <c r="Z152" s="417"/>
      <c r="AA152" s="417"/>
      <c r="AB152" s="417"/>
      <c r="AC152" s="417"/>
      <c r="AD152" s="417"/>
      <c r="AE152" s="417"/>
      <c r="AF152" s="417"/>
      <c r="AG152" s="417"/>
      <c r="AH152" s="417"/>
      <c r="AI152" s="417"/>
      <c r="AJ152" s="417"/>
      <c r="AK152" s="417"/>
      <c r="AL152" s="417"/>
      <c r="AM152" s="417"/>
      <c r="AN152" s="417"/>
      <c r="AO152" s="417"/>
      <c r="AP152" s="417"/>
      <c r="AQ152" s="417"/>
      <c r="AR152" s="417"/>
      <c r="AS152" s="417"/>
      <c r="AT152" s="417"/>
      <c r="AU152" s="417"/>
      <c r="AV152" s="417"/>
      <c r="AW152" s="417"/>
      <c r="AX152" s="417"/>
      <c r="AY152" s="417"/>
      <c r="AZ152" s="417"/>
      <c r="BA152" s="417"/>
      <c r="BB152" s="417"/>
      <c r="BC152" s="417"/>
      <c r="BD152" s="417"/>
      <c r="BE152" s="417"/>
      <c r="BF152" s="417"/>
      <c r="BG152" s="417"/>
      <c r="BH152" s="417"/>
      <c r="BI152" s="417"/>
      <c r="BJ152" s="417"/>
      <c r="BK152" s="417"/>
      <c r="BL152" s="417"/>
      <c r="BM152" s="417"/>
      <c r="BN152" s="417"/>
      <c r="BO152" s="417"/>
      <c r="BP152" s="417"/>
      <c r="BQ152" s="417"/>
      <c r="BR152" s="417"/>
      <c r="BS152" s="417"/>
      <c r="BT152" s="417"/>
      <c r="BU152" s="417"/>
      <c r="BV152" s="417"/>
      <c r="BW152" s="417"/>
      <c r="BX152" s="417"/>
      <c r="BY152" s="417"/>
      <c r="BZ152" s="417"/>
      <c r="CA152" s="417"/>
      <c r="CB152" s="417"/>
      <c r="CC152" s="417"/>
      <c r="CD152" s="417"/>
      <c r="CE152" s="417"/>
      <c r="CF152" s="417"/>
      <c r="CG152" s="417"/>
      <c r="CH152" s="417"/>
      <c r="CI152" s="417"/>
      <c r="CJ152" s="417"/>
      <c r="CK152" s="417"/>
      <c r="CL152" s="417"/>
      <c r="CM152" s="417"/>
      <c r="CN152" s="417"/>
      <c r="CO152" s="417"/>
      <c r="CP152" s="417"/>
      <c r="CQ152" s="417"/>
      <c r="CR152" s="417"/>
      <c r="CS152" s="417"/>
      <c r="CT152" s="417"/>
      <c r="CU152" s="347"/>
      <c r="CV152" s="1363"/>
      <c r="CW152" s="347"/>
      <c r="CX152" s="347"/>
    </row>
    <row r="153" spans="2:109">
      <c r="B153" s="414" t="s">
        <v>264</v>
      </c>
      <c r="C153" s="436">
        <v>12</v>
      </c>
      <c r="D153" s="436">
        <v>3</v>
      </c>
      <c r="E153" s="436">
        <v>3</v>
      </c>
      <c r="F153" s="436">
        <v>3</v>
      </c>
      <c r="G153" s="436">
        <v>3</v>
      </c>
      <c r="H153" s="436">
        <v>12</v>
      </c>
      <c r="I153" s="436">
        <v>3</v>
      </c>
      <c r="J153" s="436">
        <v>3</v>
      </c>
      <c r="K153" s="436">
        <v>3</v>
      </c>
      <c r="L153" s="436">
        <v>3</v>
      </c>
      <c r="M153" s="436">
        <v>12</v>
      </c>
      <c r="N153" s="436">
        <v>3</v>
      </c>
      <c r="O153" s="436">
        <v>3</v>
      </c>
      <c r="P153" s="436">
        <v>3</v>
      </c>
      <c r="Q153" s="436">
        <v>3</v>
      </c>
      <c r="R153" s="436">
        <v>12</v>
      </c>
      <c r="S153" s="436">
        <v>3</v>
      </c>
      <c r="T153" s="436">
        <v>3</v>
      </c>
      <c r="U153" s="436">
        <v>3</v>
      </c>
      <c r="V153" s="436">
        <v>3</v>
      </c>
      <c r="W153" s="436">
        <v>12</v>
      </c>
      <c r="X153" s="436">
        <v>3</v>
      </c>
      <c r="Y153" s="436">
        <v>3</v>
      </c>
      <c r="Z153" s="436">
        <v>3</v>
      </c>
      <c r="AA153" s="436">
        <v>3</v>
      </c>
      <c r="AB153" s="436">
        <v>12</v>
      </c>
      <c r="AC153" s="436">
        <v>3</v>
      </c>
      <c r="AD153" s="436">
        <v>3</v>
      </c>
      <c r="AE153" s="436">
        <v>3</v>
      </c>
      <c r="AF153" s="436">
        <v>3</v>
      </c>
      <c r="AG153" s="436">
        <v>12</v>
      </c>
      <c r="AH153" s="436">
        <v>3</v>
      </c>
      <c r="AI153" s="436">
        <v>3</v>
      </c>
      <c r="AJ153" s="436">
        <v>3</v>
      </c>
      <c r="AK153" s="436">
        <v>3</v>
      </c>
      <c r="AL153" s="436">
        <v>12</v>
      </c>
      <c r="AM153" s="436">
        <v>3</v>
      </c>
      <c r="AN153" s="436">
        <v>3</v>
      </c>
      <c r="AO153" s="436">
        <v>3</v>
      </c>
      <c r="AP153" s="436">
        <v>3</v>
      </c>
      <c r="AQ153" s="436">
        <v>12</v>
      </c>
      <c r="AR153" s="436">
        <v>3</v>
      </c>
      <c r="AS153" s="436">
        <v>3</v>
      </c>
      <c r="AT153" s="436">
        <v>3</v>
      </c>
      <c r="AU153" s="436">
        <v>3</v>
      </c>
      <c r="AV153" s="436">
        <v>12</v>
      </c>
      <c r="AW153" s="436">
        <v>3</v>
      </c>
      <c r="AX153" s="436">
        <v>3</v>
      </c>
      <c r="AY153" s="436">
        <v>3</v>
      </c>
      <c r="AZ153" s="436">
        <v>3</v>
      </c>
      <c r="BA153" s="436">
        <v>12</v>
      </c>
      <c r="BB153" s="436">
        <v>3</v>
      </c>
      <c r="BC153" s="436">
        <v>3</v>
      </c>
      <c r="BD153" s="436">
        <v>3</v>
      </c>
      <c r="BE153" s="436">
        <v>3</v>
      </c>
      <c r="BF153" s="436">
        <v>12</v>
      </c>
      <c r="BG153" s="436">
        <v>3</v>
      </c>
      <c r="BH153" s="436">
        <v>3</v>
      </c>
      <c r="BI153" s="436">
        <v>3</v>
      </c>
      <c r="BJ153" s="436">
        <v>3</v>
      </c>
      <c r="BK153" s="436">
        <v>12</v>
      </c>
      <c r="BL153" s="436">
        <v>3</v>
      </c>
      <c r="BM153" s="436">
        <v>3</v>
      </c>
      <c r="BN153" s="436">
        <v>3</v>
      </c>
      <c r="BO153" s="436">
        <v>3</v>
      </c>
      <c r="BP153" s="436">
        <v>12</v>
      </c>
      <c r="BQ153" s="436">
        <v>3</v>
      </c>
      <c r="BR153" s="436">
        <v>3</v>
      </c>
      <c r="BS153" s="436">
        <v>3</v>
      </c>
      <c r="BT153" s="436">
        <v>3</v>
      </c>
      <c r="BU153" s="436">
        <v>12</v>
      </c>
      <c r="BV153" s="436">
        <v>3</v>
      </c>
      <c r="BW153" s="436">
        <v>3</v>
      </c>
      <c r="BX153" s="436">
        <v>3</v>
      </c>
      <c r="BY153" s="436">
        <v>3</v>
      </c>
      <c r="BZ153" s="436">
        <v>12</v>
      </c>
      <c r="CA153" s="436">
        <v>3</v>
      </c>
      <c r="CB153" s="436">
        <v>3</v>
      </c>
      <c r="CC153" s="436">
        <v>3</v>
      </c>
      <c r="CD153" s="436">
        <v>3</v>
      </c>
      <c r="CE153" s="436"/>
      <c r="CF153" s="436">
        <v>3</v>
      </c>
      <c r="CG153" s="436">
        <v>3</v>
      </c>
      <c r="CH153" s="436">
        <v>3</v>
      </c>
      <c r="CI153" s="436">
        <v>3</v>
      </c>
      <c r="CJ153" s="436">
        <v>12</v>
      </c>
      <c r="CK153" s="436">
        <v>3</v>
      </c>
      <c r="CL153" s="436">
        <v>3</v>
      </c>
      <c r="CM153" s="436">
        <v>3</v>
      </c>
      <c r="CN153" s="436"/>
      <c r="CO153" s="436">
        <v>12</v>
      </c>
      <c r="CP153" s="436">
        <v>12</v>
      </c>
      <c r="CQ153" s="436">
        <v>12</v>
      </c>
      <c r="CR153" s="436">
        <v>12</v>
      </c>
      <c r="CS153" s="436">
        <v>12</v>
      </c>
      <c r="CT153" s="436">
        <v>12</v>
      </c>
      <c r="CU153" s="347"/>
      <c r="CV153" s="1363"/>
      <c r="CW153" s="347"/>
      <c r="CX153" s="347"/>
    </row>
    <row r="154" spans="2:109">
      <c r="B154" s="407"/>
      <c r="C154" s="417"/>
      <c r="D154" s="417"/>
      <c r="E154" s="417"/>
      <c r="F154" s="417"/>
      <c r="G154" s="417"/>
      <c r="H154" s="417"/>
      <c r="I154" s="417"/>
      <c r="J154" s="417"/>
      <c r="K154" s="417"/>
      <c r="L154" s="417"/>
      <c r="M154" s="417"/>
      <c r="N154" s="417"/>
      <c r="O154" s="417"/>
      <c r="P154" s="417"/>
      <c r="Q154" s="417"/>
      <c r="R154" s="417"/>
      <c r="S154" s="417"/>
      <c r="T154" s="417"/>
      <c r="U154" s="417"/>
      <c r="V154" s="417"/>
      <c r="W154" s="417"/>
      <c r="X154" s="417"/>
      <c r="Y154" s="417"/>
      <c r="Z154" s="417"/>
      <c r="AA154" s="417"/>
      <c r="AB154" s="417"/>
      <c r="AC154" s="417"/>
      <c r="AD154" s="417"/>
      <c r="AE154" s="417"/>
      <c r="AF154" s="417"/>
      <c r="AG154" s="417"/>
      <c r="AH154" s="417"/>
      <c r="AI154" s="417"/>
      <c r="AJ154" s="417"/>
      <c r="AK154" s="417"/>
      <c r="AL154" s="417"/>
      <c r="AM154" s="417"/>
      <c r="AN154" s="417"/>
      <c r="AO154" s="417"/>
      <c r="AP154" s="417"/>
      <c r="AQ154" s="417"/>
      <c r="AR154" s="417"/>
      <c r="AS154" s="417"/>
      <c r="AT154" s="417"/>
      <c r="AU154" s="417"/>
      <c r="AV154" s="417"/>
      <c r="AW154" s="417"/>
      <c r="AX154" s="417"/>
      <c r="AY154" s="417"/>
      <c r="AZ154" s="417"/>
      <c r="BA154" s="417"/>
      <c r="BB154" s="417"/>
      <c r="BC154" s="417"/>
      <c r="BD154" s="417"/>
      <c r="BE154" s="417"/>
      <c r="BF154" s="417"/>
      <c r="BG154" s="417"/>
      <c r="BH154" s="417"/>
      <c r="BI154" s="417"/>
      <c r="BJ154" s="417"/>
      <c r="BK154" s="417"/>
      <c r="BL154" s="417"/>
      <c r="BM154" s="417"/>
      <c r="BN154" s="417"/>
      <c r="BO154" s="417"/>
      <c r="BP154" s="417"/>
      <c r="BQ154" s="417"/>
      <c r="BR154" s="417"/>
      <c r="BS154" s="417"/>
      <c r="BT154" s="417"/>
      <c r="BU154" s="417"/>
      <c r="BV154" s="417"/>
      <c r="BW154" s="417"/>
      <c r="BX154" s="417"/>
      <c r="BY154" s="417"/>
      <c r="BZ154" s="417"/>
      <c r="CA154" s="417"/>
      <c r="CB154" s="417"/>
      <c r="CC154" s="417"/>
      <c r="CD154" s="417"/>
      <c r="CE154" s="417"/>
      <c r="CF154" s="417"/>
      <c r="CG154" s="417"/>
      <c r="CH154" s="417"/>
      <c r="CI154" s="417"/>
      <c r="CJ154" s="417"/>
      <c r="CK154" s="417"/>
      <c r="CL154" s="417"/>
      <c r="CM154" s="417"/>
      <c r="CN154" s="417"/>
      <c r="CO154" s="417"/>
      <c r="CP154" s="417"/>
      <c r="CQ154" s="417"/>
      <c r="CR154" s="417"/>
      <c r="CS154" s="417"/>
      <c r="CT154" s="417"/>
      <c r="CU154" s="347"/>
      <c r="CV154" s="1363"/>
      <c r="CW154" s="347"/>
      <c r="CX154" s="347"/>
    </row>
    <row r="155" spans="2:109">
      <c r="BW155" s="349">
        <f>(BW208*1000)/(BW158)</f>
        <v>3349.9747856782651</v>
      </c>
      <c r="BX155" s="349">
        <f>(BX208*1000)/(BX158)</f>
        <v>3346.041055718475</v>
      </c>
      <c r="BY155" s="349">
        <f>(BY208*1000)/(BY158)</f>
        <v>3245.9639126305792</v>
      </c>
    </row>
    <row r="157" spans="2:109">
      <c r="B157" s="383" t="s">
        <v>267</v>
      </c>
      <c r="C157" s="556">
        <f>C$4</f>
        <v>2007</v>
      </c>
      <c r="D157" s="556" t="str">
        <f t="shared" ref="D157:BO157" si="634">D$4</f>
        <v>Q1</v>
      </c>
      <c r="E157" s="556" t="str">
        <f t="shared" si="634"/>
        <v>Q2</v>
      </c>
      <c r="F157" s="556" t="str">
        <f t="shared" si="634"/>
        <v>Q3</v>
      </c>
      <c r="G157" s="556" t="str">
        <f t="shared" si="634"/>
        <v>Q4</v>
      </c>
      <c r="H157" s="556">
        <f t="shared" si="634"/>
        <v>2008</v>
      </c>
      <c r="I157" s="556" t="str">
        <f t="shared" si="634"/>
        <v>Q1</v>
      </c>
      <c r="J157" s="556" t="str">
        <f t="shared" si="634"/>
        <v>Q2</v>
      </c>
      <c r="K157" s="556" t="str">
        <f t="shared" si="634"/>
        <v>Q3</v>
      </c>
      <c r="L157" s="556" t="str">
        <f t="shared" si="634"/>
        <v>Q4</v>
      </c>
      <c r="M157" s="556">
        <f t="shared" si="634"/>
        <v>2009</v>
      </c>
      <c r="N157" s="556" t="str">
        <f t="shared" si="634"/>
        <v>Q1</v>
      </c>
      <c r="O157" s="556" t="str">
        <f t="shared" si="634"/>
        <v>Q2</v>
      </c>
      <c r="P157" s="556" t="str">
        <f t="shared" si="634"/>
        <v>Q3</v>
      </c>
      <c r="Q157" s="556" t="str">
        <f t="shared" si="634"/>
        <v>Q4</v>
      </c>
      <c r="R157" s="556">
        <f t="shared" si="634"/>
        <v>2010</v>
      </c>
      <c r="S157" s="556" t="str">
        <f t="shared" si="634"/>
        <v>Q1</v>
      </c>
      <c r="T157" s="556" t="str">
        <f t="shared" si="634"/>
        <v>Q2</v>
      </c>
      <c r="U157" s="556" t="str">
        <f t="shared" si="634"/>
        <v>Q3</v>
      </c>
      <c r="V157" s="556" t="str">
        <f t="shared" si="634"/>
        <v>Q4</v>
      </c>
      <c r="W157" s="556">
        <f t="shared" si="634"/>
        <v>2011</v>
      </c>
      <c r="X157" s="556" t="str">
        <f t="shared" si="634"/>
        <v>Q1</v>
      </c>
      <c r="Y157" s="556" t="str">
        <f t="shared" si="634"/>
        <v>Q2</v>
      </c>
      <c r="Z157" s="556" t="str">
        <f t="shared" si="634"/>
        <v>Q3</v>
      </c>
      <c r="AA157" s="556" t="str">
        <f t="shared" si="634"/>
        <v>Q4</v>
      </c>
      <c r="AB157" s="556">
        <f t="shared" si="634"/>
        <v>2012</v>
      </c>
      <c r="AC157" s="556" t="str">
        <f t="shared" si="634"/>
        <v>Q1</v>
      </c>
      <c r="AD157" s="556" t="str">
        <f t="shared" si="634"/>
        <v>Q2</v>
      </c>
      <c r="AE157" s="556" t="str">
        <f t="shared" si="634"/>
        <v>Q3</v>
      </c>
      <c r="AF157" s="556" t="str">
        <f t="shared" si="634"/>
        <v>Q4</v>
      </c>
      <c r="AG157" s="556">
        <f t="shared" si="634"/>
        <v>2013</v>
      </c>
      <c r="AH157" s="556" t="str">
        <f t="shared" si="634"/>
        <v>Q1</v>
      </c>
      <c r="AI157" s="556" t="str">
        <f t="shared" si="634"/>
        <v>Q2</v>
      </c>
      <c r="AJ157" s="556" t="str">
        <f t="shared" si="634"/>
        <v>Q3</v>
      </c>
      <c r="AK157" s="556" t="str">
        <f t="shared" si="634"/>
        <v>Q4</v>
      </c>
      <c r="AL157" s="556">
        <f t="shared" si="634"/>
        <v>2014</v>
      </c>
      <c r="AM157" s="556" t="str">
        <f t="shared" si="634"/>
        <v>Q1</v>
      </c>
      <c r="AN157" s="556" t="str">
        <f t="shared" si="634"/>
        <v>Q2</v>
      </c>
      <c r="AO157" s="556" t="str">
        <f t="shared" si="634"/>
        <v>Q3</v>
      </c>
      <c r="AP157" s="556" t="str">
        <f t="shared" si="634"/>
        <v>Q4</v>
      </c>
      <c r="AQ157" s="556">
        <f t="shared" si="634"/>
        <v>2015</v>
      </c>
      <c r="AR157" s="556" t="str">
        <f t="shared" si="634"/>
        <v>Q1</v>
      </c>
      <c r="AS157" s="556" t="str">
        <f t="shared" si="634"/>
        <v>Q2</v>
      </c>
      <c r="AT157" s="556" t="str">
        <f t="shared" si="634"/>
        <v>Q3</v>
      </c>
      <c r="AU157" s="556" t="str">
        <f t="shared" si="634"/>
        <v>Q4</v>
      </c>
      <c r="AV157" s="556">
        <f t="shared" si="634"/>
        <v>2016</v>
      </c>
      <c r="AW157" s="556" t="str">
        <f t="shared" si="634"/>
        <v>Q1</v>
      </c>
      <c r="AX157" s="556" t="str">
        <f t="shared" si="634"/>
        <v>Q2</v>
      </c>
      <c r="AY157" s="556" t="str">
        <f t="shared" si="634"/>
        <v>Q3</v>
      </c>
      <c r="AZ157" s="556" t="str">
        <f t="shared" si="634"/>
        <v>Q4</v>
      </c>
      <c r="BA157" s="556">
        <f t="shared" si="634"/>
        <v>2017</v>
      </c>
      <c r="BB157" s="556" t="str">
        <f t="shared" si="634"/>
        <v>Q1</v>
      </c>
      <c r="BC157" s="556" t="str">
        <f t="shared" si="634"/>
        <v>Q2</v>
      </c>
      <c r="BD157" s="556" t="str">
        <f t="shared" si="634"/>
        <v>Q3</v>
      </c>
      <c r="BE157" s="556" t="str">
        <f t="shared" si="634"/>
        <v>Q4</v>
      </c>
      <c r="BF157" s="556">
        <f t="shared" si="634"/>
        <v>2018</v>
      </c>
      <c r="BG157" s="556" t="str">
        <f t="shared" si="634"/>
        <v>Q1</v>
      </c>
      <c r="BH157" s="556" t="str">
        <f t="shared" si="634"/>
        <v>Q2</v>
      </c>
      <c r="BI157" s="556" t="str">
        <f t="shared" si="634"/>
        <v>Q3</v>
      </c>
      <c r="BJ157" s="556" t="str">
        <f t="shared" si="634"/>
        <v>Q4</v>
      </c>
      <c r="BK157" s="556">
        <f t="shared" si="634"/>
        <v>2019</v>
      </c>
      <c r="BL157" s="556" t="str">
        <f t="shared" si="634"/>
        <v>Q1</v>
      </c>
      <c r="BM157" s="556" t="str">
        <f t="shared" si="634"/>
        <v>Q2</v>
      </c>
      <c r="BN157" s="556" t="str">
        <f t="shared" si="634"/>
        <v>Q3</v>
      </c>
      <c r="BO157" s="556" t="str">
        <f t="shared" si="634"/>
        <v>Q4</v>
      </c>
      <c r="BP157" s="556">
        <f t="shared" ref="BP157:CT157" si="635">BP$4</f>
        <v>2020</v>
      </c>
      <c r="BQ157" s="556" t="str">
        <f t="shared" si="635"/>
        <v>Q1</v>
      </c>
      <c r="BR157" s="556" t="str">
        <f t="shared" si="635"/>
        <v>Q2</v>
      </c>
      <c r="BS157" s="556" t="str">
        <f t="shared" si="635"/>
        <v>Q3</v>
      </c>
      <c r="BT157" s="556" t="str">
        <f t="shared" si="635"/>
        <v>Q4</v>
      </c>
      <c r="BU157" s="556">
        <f t="shared" si="635"/>
        <v>2021</v>
      </c>
      <c r="BV157" s="556" t="str">
        <f t="shared" si="635"/>
        <v>Q1</v>
      </c>
      <c r="BW157" s="556" t="str">
        <f t="shared" si="635"/>
        <v>Q2</v>
      </c>
      <c r="BX157" s="556" t="str">
        <f t="shared" si="635"/>
        <v>Q3</v>
      </c>
      <c r="BY157" s="556" t="str">
        <f t="shared" si="635"/>
        <v>Q4</v>
      </c>
      <c r="BZ157" s="556">
        <f t="shared" si="635"/>
        <v>2022</v>
      </c>
      <c r="CA157" s="556" t="str">
        <f t="shared" si="635"/>
        <v>Q1</v>
      </c>
      <c r="CB157" s="556" t="str">
        <f t="shared" si="635"/>
        <v>Q2</v>
      </c>
      <c r="CC157" s="556" t="str">
        <f t="shared" si="635"/>
        <v>Q3</v>
      </c>
      <c r="CD157" s="556" t="str">
        <f t="shared" si="635"/>
        <v>Q4</v>
      </c>
      <c r="CE157" s="556">
        <f t="shared" si="635"/>
        <v>2023</v>
      </c>
      <c r="CF157" s="556" t="str">
        <f t="shared" si="635"/>
        <v>Q1</v>
      </c>
      <c r="CG157" s="556" t="str">
        <f t="shared" si="635"/>
        <v>Q2</v>
      </c>
      <c r="CH157" s="556" t="str">
        <f t="shared" si="635"/>
        <v>Q3</v>
      </c>
      <c r="CI157" s="556" t="str">
        <f t="shared" si="635"/>
        <v>Q4</v>
      </c>
      <c r="CJ157" s="556">
        <f t="shared" si="635"/>
        <v>2024</v>
      </c>
      <c r="CK157" s="556" t="str">
        <f t="shared" si="635"/>
        <v>Q1</v>
      </c>
      <c r="CL157" s="556" t="str">
        <f t="shared" si="635"/>
        <v>Q2</v>
      </c>
      <c r="CM157" s="556" t="str">
        <f t="shared" si="635"/>
        <v>Q3</v>
      </c>
      <c r="CN157" s="556"/>
      <c r="CO157" s="556">
        <f t="shared" si="635"/>
        <v>2025</v>
      </c>
      <c r="CP157" s="556">
        <f t="shared" si="635"/>
        <v>2026</v>
      </c>
      <c r="CQ157" s="556">
        <f t="shared" si="635"/>
        <v>2027</v>
      </c>
      <c r="CR157" s="556">
        <f t="shared" si="635"/>
        <v>2028</v>
      </c>
      <c r="CS157" s="556">
        <f t="shared" si="635"/>
        <v>2029</v>
      </c>
      <c r="CT157" s="556">
        <f t="shared" si="635"/>
        <v>2030</v>
      </c>
      <c r="CU157" s="347"/>
      <c r="CV157" s="1363"/>
      <c r="CW157" s="347"/>
      <c r="CX157" s="347"/>
      <c r="CY157" s="347"/>
      <c r="CZ157" s="347"/>
      <c r="DA157" s="347"/>
    </row>
    <row r="158" spans="2:109">
      <c r="B158" s="407" t="s">
        <v>686</v>
      </c>
      <c r="C158" s="437"/>
      <c r="D158" s="437"/>
      <c r="E158" s="437"/>
      <c r="F158" s="437"/>
      <c r="G158" s="437"/>
      <c r="H158" s="437"/>
      <c r="I158" s="437"/>
      <c r="J158" s="437"/>
      <c r="K158" s="437"/>
      <c r="L158" s="437"/>
      <c r="M158" s="438">
        <v>0.41299999999999998</v>
      </c>
      <c r="N158" s="439">
        <v>0.42799999999999999</v>
      </c>
      <c r="O158" s="439">
        <v>0.59899999999999998</v>
      </c>
      <c r="P158" s="439">
        <v>0.74199999999999999</v>
      </c>
      <c r="Q158" s="439">
        <v>0.9800000000000002</v>
      </c>
      <c r="R158" s="438">
        <v>2.7490000000000001</v>
      </c>
      <c r="S158" s="439">
        <v>1.4419999999999999</v>
      </c>
      <c r="T158" s="439">
        <v>2.3070000000000004</v>
      </c>
      <c r="U158" s="439">
        <v>2.9299999999999997</v>
      </c>
      <c r="V158" s="439">
        <v>4.1790000000000003</v>
      </c>
      <c r="W158" s="438">
        <v>10.858000000000001</v>
      </c>
      <c r="X158" s="439">
        <v>5.8380000000000001</v>
      </c>
      <c r="Y158" s="439">
        <v>4.8619999999999992</v>
      </c>
      <c r="Z158" s="439">
        <v>5.3000000000000016</v>
      </c>
      <c r="AA158" s="439">
        <v>6.6119999999999992</v>
      </c>
      <c r="AB158" s="438">
        <v>22.611999999999998</v>
      </c>
      <c r="AC158" s="439">
        <v>8.1809999999999992</v>
      </c>
      <c r="AD158" s="439">
        <v>11.919000000000002</v>
      </c>
      <c r="AE158" s="439">
        <v>15.799999999999995</v>
      </c>
      <c r="AF158" s="439">
        <v>17.399999999999999</v>
      </c>
      <c r="AG158" s="438">
        <v>53.3</v>
      </c>
      <c r="AH158" s="439">
        <v>22.57</v>
      </c>
      <c r="AI158" s="439">
        <v>29.229999999999997</v>
      </c>
      <c r="AJ158" s="439">
        <v>32.700000000000003</v>
      </c>
      <c r="AK158" s="439">
        <v>36.400000000000006</v>
      </c>
      <c r="AL158" s="438">
        <v>120.9</v>
      </c>
      <c r="AM158" s="439">
        <v>42.4</v>
      </c>
      <c r="AN158" s="439">
        <v>45.362000000000002</v>
      </c>
      <c r="AO158" s="439">
        <v>43.882000000000012</v>
      </c>
      <c r="AP158" s="439">
        <v>54.656000000000013</v>
      </c>
      <c r="AQ158" s="438">
        <v>186.3</v>
      </c>
      <c r="AR158" s="439">
        <v>84.367000000000004</v>
      </c>
      <c r="AS158" s="439">
        <v>112.89399999999999</v>
      </c>
      <c r="AT158" s="439">
        <v>129.839</v>
      </c>
      <c r="AU158" s="439">
        <f>AV158-AT158-AS158-AR158</f>
        <v>176.09999999999997</v>
      </c>
      <c r="AV158" s="440">
        <v>503.2</v>
      </c>
      <c r="AW158" s="352">
        <f>'[16]Domestic Mobile Operations'!T$7</f>
        <v>231.2</v>
      </c>
      <c r="AX158" s="352">
        <f>'[16]Domestic Mobile Operations'!U$7</f>
        <v>299.7</v>
      </c>
      <c r="AY158" s="352">
        <f>'[16]Domestic Mobile Operations'!V$7</f>
        <v>330.89999999999992</v>
      </c>
      <c r="AZ158" s="352">
        <f>'[16]Domestic Mobile Operations'!W$7</f>
        <v>387.7000000000001</v>
      </c>
      <c r="BA158" s="372">
        <f>SUM(AW158:AZ158)</f>
        <v>1249.5</v>
      </c>
      <c r="BB158" s="352">
        <f>'[16]Domestic Mobile Operations'!X$7</f>
        <v>417.5</v>
      </c>
      <c r="BC158" s="352">
        <f>'[16]Domestic Mobile Operations'!Y$7</f>
        <v>518</v>
      </c>
      <c r="BD158" s="352">
        <f>'[16]Domestic Mobile Operations'!Z$7</f>
        <v>596.5</v>
      </c>
      <c r="BE158" s="352">
        <f>'[16]Domestic Mobile Operations'!AA$7</f>
        <v>668.7</v>
      </c>
      <c r="BF158" s="372">
        <f>SUM(BB158:BE158)</f>
        <v>2200.6999999999998</v>
      </c>
      <c r="BG158" s="352">
        <f>'[16]Domestic Mobile Operations'!AB$7</f>
        <v>710.4</v>
      </c>
      <c r="BH158" s="352">
        <f>'[16]Domestic Mobile Operations'!AC$7</f>
        <v>820.80000000000007</v>
      </c>
      <c r="BI158" s="352">
        <f>'[16]Domestic Mobile Operations'!AD$7</f>
        <v>854.89999999999975</v>
      </c>
      <c r="BJ158" s="352">
        <f>'[16]Domestic Mobile Operations'!AE$7</f>
        <v>934.3</v>
      </c>
      <c r="BK158" s="372">
        <f>SUM(BG158:BJ158)</f>
        <v>3320.3999999999996</v>
      </c>
      <c r="BL158" s="352">
        <f>'[16]Domestic Mobile Operations'!AF$7</f>
        <v>1000</v>
      </c>
      <c r="BM158" s="352">
        <f>'[16]Domestic Mobile Operations'!AG$7</f>
        <v>1221</v>
      </c>
      <c r="BN158" s="352">
        <f>'[16]Domestic Mobile Operations'!AH$7</f>
        <v>1275</v>
      </c>
      <c r="BO158" s="352">
        <f>'[16]Domestic Mobile Operations'!AI$7</f>
        <v>1376</v>
      </c>
      <c r="BP158" s="372">
        <f>SUM(BL158:BO158)</f>
        <v>4872</v>
      </c>
      <c r="BQ158" s="352">
        <f>'[16]Domestic Mobile Operations'!AJ$7</f>
        <v>1391</v>
      </c>
      <c r="BR158" s="352">
        <f>'[16]Domestic Mobile Operations'!AK$7</f>
        <v>1572</v>
      </c>
      <c r="BS158" s="352">
        <f>'[16]Domestic Mobile Operations'!AL$7</f>
        <v>1722</v>
      </c>
      <c r="BT158" s="352">
        <f>'[16]Domestic Mobile Operations'!AM$7</f>
        <v>1865</v>
      </c>
      <c r="BU158" s="372">
        <f>SUM(BQ158:BT158)</f>
        <v>6550</v>
      </c>
      <c r="BV158" s="352">
        <f>'[16]Domestic Mobile Operations'!AN$7</f>
        <v>1857</v>
      </c>
      <c r="BW158" s="352">
        <f>'[16]Domestic Mobile Operations'!AO$7</f>
        <v>1983</v>
      </c>
      <c r="BX158" s="352">
        <f>'[16]Domestic Mobile Operations'!AP$7</f>
        <v>2046</v>
      </c>
      <c r="BY158" s="352">
        <f>'[16]Domestic Mobile Operations'!AQ$7</f>
        <v>2106</v>
      </c>
      <c r="BZ158" s="372">
        <f>SUM(BV158:BY158)</f>
        <v>7992</v>
      </c>
      <c r="CA158" s="352">
        <f>'[16]Domestic Mobile Operations'!AR$7</f>
        <v>2204</v>
      </c>
      <c r="CB158" s="352">
        <f>'[16]Domestic Mobile Operations'!AS$7</f>
        <v>2452</v>
      </c>
      <c r="CC158" s="352">
        <f>'[16]Domestic Mobile Operations'!AT$7</f>
        <v>2453</v>
      </c>
      <c r="CD158" s="352">
        <f>'[16]Domestic Mobile Operations'!AU$7</f>
        <v>2529</v>
      </c>
      <c r="CE158" s="372">
        <f>SUM(CA158:CD158)</f>
        <v>9638</v>
      </c>
      <c r="CF158" s="352">
        <f>'[16]Domestic Mobile Operations'!AV$7</f>
        <v>2609</v>
      </c>
      <c r="CG158" s="352">
        <f>'[16]Domestic Mobile Operations'!AW$7</f>
        <v>2660</v>
      </c>
      <c r="CH158" s="352">
        <f>'[16]Domestic Mobile Operations'!AX$7</f>
        <v>2554</v>
      </c>
      <c r="CI158" s="352">
        <f>'[16]Domestic Mobile Operations'!AY$7</f>
        <v>2724</v>
      </c>
      <c r="CJ158" s="372">
        <f>SUM(CF158:CI158)</f>
        <v>10547</v>
      </c>
      <c r="CK158" s="352">
        <f>'[16]Domestic Mobile Operations'!AZ$7</f>
        <v>2848</v>
      </c>
      <c r="CL158" s="352">
        <f>'[16]Domestic Mobile Operations'!BA$7</f>
        <v>3817</v>
      </c>
      <c r="CM158" s="352">
        <f>'[16]Domestic Mobile Operations'!BB$7</f>
        <v>3903</v>
      </c>
      <c r="CN158" s="352"/>
      <c r="CO158" s="372">
        <f>CO168*AVERAGE(CO165,CJ165)*CO153/1000</f>
        <v>13840.460584540631</v>
      </c>
      <c r="CP158" s="372">
        <f t="shared" ref="CP158:CR158" si="636">CP168*AVERAGE(CP165,CO165)*CP153/1000</f>
        <v>17462.489361093671</v>
      </c>
      <c r="CQ158" s="372">
        <f t="shared" si="636"/>
        <v>18850.988618846015</v>
      </c>
      <c r="CR158" s="372">
        <f t="shared" si="636"/>
        <v>20226.879581114674</v>
      </c>
      <c r="CS158" s="372">
        <f t="shared" ref="CS158" si="637">CS168*AVERAGE(CS165,CR165)*CS153/1000</f>
        <v>21584.368580170827</v>
      </c>
      <c r="CT158" s="372">
        <f t="shared" ref="CT158" si="638">CT168*AVERAGE(CT165,CS165)*CT153/1000</f>
        <v>22918.807397096247</v>
      </c>
      <c r="CU158" s="347"/>
      <c r="CV158" s="1363"/>
      <c r="CW158" s="347"/>
      <c r="CX158" s="347"/>
      <c r="CY158" s="347"/>
      <c r="CZ158" s="354"/>
      <c r="DA158" s="354"/>
      <c r="DB158" s="354"/>
      <c r="DC158" s="354"/>
      <c r="DD158" s="354"/>
      <c r="DE158" s="354"/>
    </row>
    <row r="159" spans="2:109">
      <c r="B159" s="407" t="s">
        <v>64</v>
      </c>
      <c r="C159" s="367"/>
      <c r="D159" s="367"/>
      <c r="E159" s="367"/>
      <c r="F159" s="367"/>
      <c r="G159" s="367"/>
      <c r="H159" s="367"/>
      <c r="I159" s="367"/>
      <c r="J159" s="367"/>
      <c r="K159" s="367"/>
      <c r="L159" s="367"/>
      <c r="M159" s="367"/>
      <c r="N159" s="367"/>
      <c r="O159" s="367"/>
      <c r="P159" s="367"/>
      <c r="Q159" s="367"/>
      <c r="R159" s="367"/>
      <c r="S159" s="367"/>
      <c r="T159" s="367"/>
      <c r="U159" s="367"/>
      <c r="V159" s="367"/>
      <c r="W159" s="367"/>
      <c r="X159" s="367"/>
      <c r="Y159" s="367"/>
      <c r="Z159" s="367"/>
      <c r="AA159" s="367"/>
      <c r="AB159" s="367"/>
      <c r="AC159" s="367"/>
      <c r="AD159" s="367"/>
      <c r="AE159" s="367"/>
      <c r="AF159" s="367"/>
      <c r="AG159" s="367"/>
      <c r="AH159" s="367"/>
      <c r="AI159" s="367">
        <f>AI158/AD158-1</f>
        <v>1.4523869452135241</v>
      </c>
      <c r="AJ159" s="367">
        <f t="shared" ref="AJ159:AZ159" si="639">AJ158/AE158-1</f>
        <v>1.0696202531645578</v>
      </c>
      <c r="AK159" s="367">
        <f t="shared" si="639"/>
        <v>1.0919540229885061</v>
      </c>
      <c r="AL159" s="367">
        <f t="shared" si="639"/>
        <v>1.2682926829268295</v>
      </c>
      <c r="AM159" s="367">
        <f t="shared" si="639"/>
        <v>0.87859991138679661</v>
      </c>
      <c r="AN159" s="367">
        <f t="shared" si="639"/>
        <v>0.55189873417721547</v>
      </c>
      <c r="AO159" s="367">
        <f t="shared" si="639"/>
        <v>0.34195718654434271</v>
      </c>
      <c r="AP159" s="367">
        <f t="shared" si="639"/>
        <v>0.50153846153846171</v>
      </c>
      <c r="AQ159" s="367">
        <f t="shared" si="639"/>
        <v>0.54094292803970223</v>
      </c>
      <c r="AR159" s="367">
        <f t="shared" si="639"/>
        <v>0.98978773584905677</v>
      </c>
      <c r="AS159" s="367">
        <f t="shared" si="639"/>
        <v>1.4887350645915078</v>
      </c>
      <c r="AT159" s="367">
        <f>AT158/AO158-1</f>
        <v>1.9588213846223956</v>
      </c>
      <c r="AU159" s="367">
        <f t="shared" si="639"/>
        <v>2.221970140515221</v>
      </c>
      <c r="AV159" s="367">
        <f>AV158/AQ158-1</f>
        <v>1.7010198604401499</v>
      </c>
      <c r="AW159" s="367">
        <f t="shared" si="639"/>
        <v>1.7404079794232339</v>
      </c>
      <c r="AX159" s="367">
        <f t="shared" si="639"/>
        <v>1.6547026414158417</v>
      </c>
      <c r="AY159" s="367">
        <f t="shared" si="639"/>
        <v>1.5485408852501941</v>
      </c>
      <c r="AZ159" s="367">
        <f t="shared" si="639"/>
        <v>1.2015900056785926</v>
      </c>
      <c r="BA159" s="367">
        <f t="shared" ref="BA159:BF159" si="640">BA158/AV158-1</f>
        <v>1.4831081081081083</v>
      </c>
      <c r="BB159" s="367">
        <f t="shared" si="640"/>
        <v>0.8057958477508651</v>
      </c>
      <c r="BC159" s="367">
        <f t="shared" si="640"/>
        <v>0.72839506172839519</v>
      </c>
      <c r="BD159" s="367">
        <f t="shared" si="640"/>
        <v>0.80265941372015748</v>
      </c>
      <c r="BE159" s="367">
        <f t="shared" si="640"/>
        <v>0.72478720660304319</v>
      </c>
      <c r="BF159" s="367">
        <f t="shared" si="640"/>
        <v>0.76126450580232086</v>
      </c>
      <c r="BG159" s="367">
        <f t="shared" ref="BG159:BV159" si="641">BG158/BB158-1</f>
        <v>0.70155688622754475</v>
      </c>
      <c r="BH159" s="367">
        <f t="shared" si="641"/>
        <v>0.58455598455598468</v>
      </c>
      <c r="BI159" s="367">
        <f t="shared" si="641"/>
        <v>0.43319362950544793</v>
      </c>
      <c r="BJ159" s="367">
        <f t="shared" si="641"/>
        <v>0.39718857484671743</v>
      </c>
      <c r="BK159" s="367">
        <f t="shared" si="641"/>
        <v>0.50879265688190123</v>
      </c>
      <c r="BL159" s="367">
        <f t="shared" si="641"/>
        <v>0.4076576576576576</v>
      </c>
      <c r="BM159" s="367">
        <f t="shared" si="641"/>
        <v>0.48757309941520455</v>
      </c>
      <c r="BN159" s="367">
        <f t="shared" si="641"/>
        <v>0.49140250321675083</v>
      </c>
      <c r="BO159" s="367">
        <f t="shared" si="641"/>
        <v>0.4727603553462485</v>
      </c>
      <c r="BP159" s="367">
        <f t="shared" si="641"/>
        <v>0.46729309721720291</v>
      </c>
      <c r="BQ159" s="367">
        <f t="shared" si="641"/>
        <v>0.39100000000000001</v>
      </c>
      <c r="BR159" s="367">
        <f t="shared" si="641"/>
        <v>0.28746928746928746</v>
      </c>
      <c r="BS159" s="367">
        <f t="shared" si="641"/>
        <v>0.35058823529411764</v>
      </c>
      <c r="BT159" s="367">
        <f t="shared" si="641"/>
        <v>0.35537790697674421</v>
      </c>
      <c r="BU159" s="367">
        <f t="shared" si="641"/>
        <v>0.34441707717569781</v>
      </c>
      <c r="BV159" s="367">
        <f t="shared" si="641"/>
        <v>0.33501078360891445</v>
      </c>
      <c r="BW159" s="367">
        <f t="shared" ref="BW159:CM159" si="642">BW158/BR158-1</f>
        <v>0.26145038167938939</v>
      </c>
      <c r="BX159" s="367">
        <f t="shared" si="642"/>
        <v>0.18815331010452963</v>
      </c>
      <c r="BY159" s="367">
        <f t="shared" si="642"/>
        <v>0.12922252010723856</v>
      </c>
      <c r="BZ159" s="367">
        <f t="shared" si="642"/>
        <v>0.22015267175572517</v>
      </c>
      <c r="CA159" s="367">
        <f t="shared" si="642"/>
        <v>0.18686052773290251</v>
      </c>
      <c r="CB159" s="367">
        <f t="shared" si="642"/>
        <v>0.23651033787191134</v>
      </c>
      <c r="CC159" s="367">
        <f t="shared" si="642"/>
        <v>0.19892473118279574</v>
      </c>
      <c r="CD159" s="367">
        <f t="shared" si="642"/>
        <v>0.20085470085470081</v>
      </c>
      <c r="CE159" s="367">
        <f t="shared" si="642"/>
        <v>0.20595595595595606</v>
      </c>
      <c r="CF159" s="367">
        <f t="shared" si="642"/>
        <v>0.18375680580762244</v>
      </c>
      <c r="CG159" s="367">
        <f t="shared" si="642"/>
        <v>8.4828711256117462E-2</v>
      </c>
      <c r="CH159" s="367">
        <f t="shared" si="642"/>
        <v>4.1174072564207131E-2</v>
      </c>
      <c r="CI159" s="367">
        <f t="shared" si="642"/>
        <v>7.710557532621598E-2</v>
      </c>
      <c r="CJ159" s="367">
        <f t="shared" si="642"/>
        <v>9.4314173064951268E-2</v>
      </c>
      <c r="CK159" s="367">
        <f t="shared" si="642"/>
        <v>9.1605979302414653E-2</v>
      </c>
      <c r="CL159" s="367">
        <f t="shared" si="642"/>
        <v>0.43496240601503766</v>
      </c>
      <c r="CM159" s="367">
        <f t="shared" si="642"/>
        <v>0.52819107282693811</v>
      </c>
      <c r="CN159" s="367"/>
      <c r="CO159" s="367">
        <f>CO158/CJ158-1</f>
        <v>0.31226515450276215</v>
      </c>
      <c r="CP159" s="367">
        <f t="shared" ref="CP159:CR159" si="643">CP158/CO158-1</f>
        <v>0.26169857241591621</v>
      </c>
      <c r="CQ159" s="367">
        <f t="shared" si="643"/>
        <v>7.9513248600506792E-2</v>
      </c>
      <c r="CR159" s="367">
        <f t="shared" si="643"/>
        <v>7.2987735024842681E-2</v>
      </c>
      <c r="CS159" s="367">
        <f t="shared" ref="CS159" si="644">CS158/CR158-1</f>
        <v>6.7113120123758696E-2</v>
      </c>
      <c r="CT159" s="367">
        <f t="shared" ref="CT159" si="645">CT158/CS158-1</f>
        <v>6.1824315683310926E-2</v>
      </c>
      <c r="CU159" s="347"/>
      <c r="CV159" s="1363"/>
      <c r="CW159" s="347"/>
      <c r="CX159" s="347"/>
      <c r="CY159" s="347"/>
      <c r="CZ159" s="354"/>
      <c r="DA159" s="354"/>
      <c r="DB159" s="354"/>
      <c r="DC159" s="354"/>
      <c r="DD159" s="354"/>
      <c r="DE159" s="354"/>
    </row>
    <row r="160" spans="2:109">
      <c r="B160" s="407"/>
      <c r="C160" s="367"/>
      <c r="D160" s="367"/>
      <c r="E160" s="367"/>
      <c r="F160" s="367"/>
      <c r="G160" s="367"/>
      <c r="H160" s="367"/>
      <c r="I160" s="367"/>
      <c r="J160" s="367"/>
      <c r="K160" s="367"/>
      <c r="L160" s="367"/>
      <c r="M160" s="367"/>
      <c r="N160" s="367"/>
      <c r="O160" s="367"/>
      <c r="P160" s="367"/>
      <c r="Q160" s="367"/>
      <c r="R160" s="367"/>
      <c r="S160" s="367"/>
      <c r="T160" s="367"/>
      <c r="U160" s="367"/>
      <c r="V160" s="367"/>
      <c r="W160" s="367"/>
      <c r="X160" s="367"/>
      <c r="Y160" s="367"/>
      <c r="Z160" s="367"/>
      <c r="AA160" s="367"/>
      <c r="AB160" s="367"/>
      <c r="AC160" s="367"/>
      <c r="AD160" s="367"/>
      <c r="AE160" s="367"/>
      <c r="AF160" s="367"/>
      <c r="AG160" s="367"/>
      <c r="AH160" s="367"/>
      <c r="AI160" s="367"/>
      <c r="AJ160" s="367"/>
      <c r="AK160" s="367"/>
      <c r="AL160" s="367"/>
      <c r="AM160" s="367"/>
      <c r="AN160" s="367"/>
      <c r="AO160" s="367"/>
      <c r="AP160" s="367"/>
      <c r="AQ160" s="367"/>
      <c r="AR160" s="367"/>
      <c r="AS160" s="367"/>
      <c r="AT160" s="367"/>
      <c r="AU160" s="367"/>
      <c r="AV160" s="367"/>
      <c r="AW160" s="367"/>
      <c r="AX160" s="367"/>
      <c r="AY160" s="367"/>
      <c r="AZ160" s="367"/>
      <c r="BA160" s="367"/>
      <c r="BB160" s="367"/>
      <c r="BC160" s="367"/>
      <c r="BD160" s="367"/>
      <c r="BE160" s="367"/>
      <c r="BF160" s="367"/>
      <c r="BG160" s="367"/>
      <c r="BH160" s="367"/>
      <c r="BI160" s="367"/>
      <c r="BJ160" s="367"/>
      <c r="BK160" s="367"/>
      <c r="BL160" s="367"/>
      <c r="BM160" s="367"/>
      <c r="BN160" s="367"/>
      <c r="BO160" s="367"/>
      <c r="BP160" s="367"/>
      <c r="BQ160" s="367"/>
      <c r="BR160" s="367"/>
      <c r="BS160" s="367"/>
      <c r="BT160" s="367"/>
      <c r="BU160" s="367"/>
      <c r="BV160" s="367"/>
      <c r="BW160" s="367"/>
      <c r="BX160" s="367"/>
      <c r="BY160" s="367"/>
      <c r="BZ160" s="367"/>
      <c r="CA160" s="367"/>
      <c r="CB160" s="367"/>
      <c r="CC160" s="367"/>
      <c r="CD160" s="367"/>
      <c r="CE160" s="367"/>
      <c r="CF160" s="367"/>
      <c r="CG160" s="367"/>
      <c r="CH160" s="367"/>
      <c r="CI160" s="367"/>
      <c r="CJ160" s="367"/>
      <c r="CK160" s="367"/>
      <c r="CL160" s="367"/>
      <c r="CM160" s="367"/>
      <c r="CN160" s="367"/>
      <c r="CO160" s="367"/>
      <c r="CP160" s="367"/>
      <c r="CQ160" s="367"/>
      <c r="CR160" s="367"/>
      <c r="CS160" s="367"/>
      <c r="CT160" s="367"/>
      <c r="CU160" s="347"/>
      <c r="CV160" s="1363"/>
      <c r="CW160" s="347"/>
      <c r="CX160" s="347"/>
      <c r="CY160" s="347"/>
      <c r="CZ160" s="354"/>
      <c r="DA160" s="354"/>
      <c r="DB160" s="354"/>
      <c r="DC160" s="354"/>
      <c r="DD160" s="354"/>
      <c r="DE160" s="354"/>
    </row>
    <row r="161" spans="1:121">
      <c r="B161" s="407" t="s">
        <v>268</v>
      </c>
      <c r="C161" s="367"/>
      <c r="D161" s="367"/>
      <c r="E161" s="367"/>
      <c r="F161" s="367"/>
      <c r="G161" s="367"/>
      <c r="H161" s="367"/>
      <c r="I161" s="367"/>
      <c r="J161" s="367"/>
      <c r="K161" s="367"/>
      <c r="L161" s="367"/>
      <c r="M161" s="367"/>
      <c r="N161" s="367"/>
      <c r="O161" s="367"/>
      <c r="P161" s="367"/>
      <c r="Q161" s="367"/>
      <c r="R161" s="367"/>
      <c r="S161" s="367"/>
      <c r="T161" s="367"/>
      <c r="U161" s="367"/>
      <c r="V161" s="367"/>
      <c r="W161" s="367"/>
      <c r="X161" s="367"/>
      <c r="Y161" s="367"/>
      <c r="Z161" s="367"/>
      <c r="AA161" s="367"/>
      <c r="AB161" s="367"/>
      <c r="AC161" s="367"/>
      <c r="AD161" s="441">
        <f t="shared" ref="AD161:BI161" si="646">AD290/AD158</f>
        <v>411.69561204799055</v>
      </c>
      <c r="AE161" s="441">
        <f t="shared" si="646"/>
        <v>330.06329113924062</v>
      </c>
      <c r="AF161" s="441">
        <f t="shared" si="646"/>
        <v>299.88505747126442</v>
      </c>
      <c r="AG161" s="441">
        <f t="shared" si="646"/>
        <v>374.33395872420266</v>
      </c>
      <c r="AH161" s="441">
        <f t="shared" si="646"/>
        <v>188.03721754541425</v>
      </c>
      <c r="AI161" s="441">
        <f t="shared" si="646"/>
        <v>167.90968183373249</v>
      </c>
      <c r="AJ161" s="441">
        <f t="shared" si="646"/>
        <v>149.93883792048928</v>
      </c>
      <c r="AK161" s="441">
        <f t="shared" si="646"/>
        <v>133.3241758241758</v>
      </c>
      <c r="AL161" s="441">
        <f t="shared" si="646"/>
        <v>156.39371381306864</v>
      </c>
      <c r="AM161" s="441">
        <f t="shared" si="646"/>
        <v>107.12264150943396</v>
      </c>
      <c r="AN161" s="441">
        <f t="shared" si="646"/>
        <v>103.28027864732596</v>
      </c>
      <c r="AO161" s="441">
        <f t="shared" si="646"/>
        <v>112.43790164532152</v>
      </c>
      <c r="AP161" s="441">
        <f t="shared" si="646"/>
        <v>92.066744730679133</v>
      </c>
      <c r="AQ161" s="441">
        <f t="shared" si="646"/>
        <v>103.02200751476113</v>
      </c>
      <c r="AR161" s="441">
        <f t="shared" si="646"/>
        <v>56.669076771723539</v>
      </c>
      <c r="AS161" s="441">
        <f t="shared" si="646"/>
        <v>39.58580615444577</v>
      </c>
      <c r="AT161" s="441">
        <f t="shared" si="646"/>
        <v>34.958679595499042</v>
      </c>
      <c r="AU161" s="441">
        <f t="shared" si="646"/>
        <v>26.036342986939243</v>
      </c>
      <c r="AV161" s="441">
        <f t="shared" si="646"/>
        <v>36.514308426073136</v>
      </c>
      <c r="AW161" s="441">
        <f t="shared" si="646"/>
        <v>19.891868512110726</v>
      </c>
      <c r="AX161" s="441">
        <f t="shared" si="646"/>
        <v>16.773440106773442</v>
      </c>
      <c r="AY161" s="441">
        <f t="shared" si="646"/>
        <v>15.956482320942888</v>
      </c>
      <c r="AZ161" s="441">
        <f t="shared" si="646"/>
        <v>13.812225947897856</v>
      </c>
      <c r="BA161" s="441">
        <f t="shared" si="646"/>
        <v>16.215286114445778</v>
      </c>
      <c r="BB161" s="441">
        <f t="shared" si="646"/>
        <v>11.520958083832335</v>
      </c>
      <c r="BC161" s="441">
        <f t="shared" si="646"/>
        <v>9.2335907335907343</v>
      </c>
      <c r="BD161" s="441">
        <f t="shared" si="646"/>
        <v>8.3788767812238056</v>
      </c>
      <c r="BE161" s="441">
        <f t="shared" si="646"/>
        <v>7.9138627187079402</v>
      </c>
      <c r="BF161" s="441">
        <f t="shared" si="646"/>
        <v>9.0348525469168912</v>
      </c>
      <c r="BG161" s="441">
        <f t="shared" si="646"/>
        <v>7.583051801801802</v>
      </c>
      <c r="BH161" s="441">
        <f t="shared" si="646"/>
        <v>6.9176413255360618</v>
      </c>
      <c r="BI161" s="441">
        <f t="shared" si="646"/>
        <v>6.921277342379228</v>
      </c>
      <c r="BJ161" s="441">
        <f t="shared" ref="BJ161:CH161" si="647">BJ290/BJ158</f>
        <v>6.273145670555496</v>
      </c>
      <c r="BK161" s="441">
        <f t="shared" si="647"/>
        <v>6.8795928201421521</v>
      </c>
      <c r="BL161" s="441">
        <f t="shared" si="647"/>
        <v>5.98</v>
      </c>
      <c r="BM161" s="441">
        <f t="shared" si="647"/>
        <v>5.0434070434070435</v>
      </c>
      <c r="BN161" s="441">
        <f t="shared" si="647"/>
        <v>4.8086274509803921</v>
      </c>
      <c r="BO161" s="441">
        <f t="shared" si="647"/>
        <v>4.2594476744186043</v>
      </c>
      <c r="BP161" s="441">
        <f t="shared" si="647"/>
        <v>4.9527914614121507</v>
      </c>
      <c r="BQ161" s="441">
        <f t="shared" si="647"/>
        <v>4.0632638389647733</v>
      </c>
      <c r="BR161" s="441">
        <f t="shared" si="647"/>
        <v>3.912849872773537</v>
      </c>
      <c r="BS161" s="441">
        <f t="shared" si="647"/>
        <v>3.6527293844367015</v>
      </c>
      <c r="BT161" s="441">
        <f t="shared" si="647"/>
        <v>3.4396782841823055</v>
      </c>
      <c r="BU161" s="441">
        <f t="shared" si="647"/>
        <v>3.7416793893129769</v>
      </c>
      <c r="BV161" s="441">
        <f t="shared" si="647"/>
        <v>3.351642434033387</v>
      </c>
      <c r="BW161" s="441">
        <f t="shared" si="647"/>
        <v>3.3499747856782651</v>
      </c>
      <c r="BX161" s="441">
        <f t="shared" si="647"/>
        <v>3.3460410557184752</v>
      </c>
      <c r="BY161" s="441">
        <f t="shared" si="647"/>
        <v>3.2459639126305793</v>
      </c>
      <c r="BZ161" s="441">
        <f t="shared" si="647"/>
        <v>3.3219469469469471</v>
      </c>
      <c r="CA161" s="441">
        <f t="shared" si="647"/>
        <v>3.1352087114337568</v>
      </c>
      <c r="CB161" s="441">
        <f t="shared" si="647"/>
        <v>3.0591353996737358</v>
      </c>
      <c r="CC161" s="441">
        <f t="shared" si="647"/>
        <v>2.9804321239298819</v>
      </c>
      <c r="CD161" s="441">
        <f t="shared" si="647"/>
        <v>3.036773428232503</v>
      </c>
      <c r="CE161" s="441">
        <f t="shared" si="647"/>
        <v>3.0506329113924049</v>
      </c>
      <c r="CF161" s="441">
        <f t="shared" si="647"/>
        <v>2.9984668455346877</v>
      </c>
      <c r="CG161" s="441">
        <f t="shared" si="647"/>
        <v>3.0133360902255641</v>
      </c>
      <c r="CH161" s="441">
        <f t="shared" si="647"/>
        <v>2.9518402505873138</v>
      </c>
      <c r="CI161" s="441">
        <f t="shared" ref="CI161:CK161" si="648">CI290/CI158</f>
        <v>3.0106461086637299</v>
      </c>
      <c r="CJ161" s="441">
        <f t="shared" si="648"/>
        <v>2.9940716791504696</v>
      </c>
      <c r="CK161" s="441">
        <f t="shared" si="648"/>
        <v>2.7693117977528088</v>
      </c>
      <c r="CL161" s="441">
        <f t="shared" ref="CL161" si="649">CL290/CL158</f>
        <v>2.5095624836258841</v>
      </c>
      <c r="CM161" s="441">
        <f t="shared" ref="CM161" si="650">CM290/CM158</f>
        <v>2.6369459390212655</v>
      </c>
      <c r="CN161" s="441"/>
      <c r="CO161" s="442">
        <f>CJ161*(1+CO162)</f>
        <v>2.9341902455674602</v>
      </c>
      <c r="CP161" s="442">
        <f t="shared" ref="CP161:CR161" si="651">CO161*(1+CP162)</f>
        <v>2.8755064406561108</v>
      </c>
      <c r="CQ161" s="442">
        <f t="shared" si="651"/>
        <v>2.8179963118429887</v>
      </c>
      <c r="CR161" s="442">
        <f t="shared" si="651"/>
        <v>2.761636385606129</v>
      </c>
      <c r="CS161" s="442">
        <f t="shared" ref="CS161" si="652">CR161*(1+CS162)</f>
        <v>2.7064036578940063</v>
      </c>
      <c r="CT161" s="442">
        <f t="shared" ref="CT161" si="653">CS161*(1+CT162)</f>
        <v>2.6522755847361261</v>
      </c>
      <c r="CU161" s="347"/>
      <c r="CV161" s="1363"/>
      <c r="CW161" s="347"/>
      <c r="CX161" s="347"/>
      <c r="CY161" s="347"/>
      <c r="CZ161" s="354"/>
      <c r="DA161" s="354"/>
      <c r="DB161" s="354"/>
      <c r="DC161" s="354"/>
      <c r="DD161" s="354"/>
      <c r="DE161" s="354"/>
    </row>
    <row r="162" spans="1:121">
      <c r="B162" s="407" t="s">
        <v>269</v>
      </c>
      <c r="C162" s="367"/>
      <c r="D162" s="367"/>
      <c r="E162" s="367"/>
      <c r="F162" s="367"/>
      <c r="G162" s="367"/>
      <c r="H162" s="367"/>
      <c r="I162" s="367"/>
      <c r="J162" s="367"/>
      <c r="K162" s="367"/>
      <c r="L162" s="367"/>
      <c r="M162" s="367"/>
      <c r="N162" s="367"/>
      <c r="O162" s="367"/>
      <c r="P162" s="367"/>
      <c r="Q162" s="367"/>
      <c r="R162" s="367"/>
      <c r="S162" s="367"/>
      <c r="T162" s="367"/>
      <c r="U162" s="367"/>
      <c r="V162" s="367"/>
      <c r="W162" s="367"/>
      <c r="X162" s="367"/>
      <c r="Y162" s="367"/>
      <c r="Z162" s="367"/>
      <c r="AA162" s="367"/>
      <c r="AB162" s="367"/>
      <c r="AC162" s="367"/>
      <c r="AD162" s="367"/>
      <c r="AE162" s="367"/>
      <c r="AF162" s="367"/>
      <c r="AG162" s="367"/>
      <c r="AH162" s="367"/>
      <c r="AI162" s="367">
        <f t="shared" ref="AI162:AR162" si="654">AI161/AD161-1</f>
        <v>-0.59215090732091746</v>
      </c>
      <c r="AJ162" s="367">
        <f t="shared" si="654"/>
        <v>-0.54572701071069418</v>
      </c>
      <c r="AK162" s="367">
        <f t="shared" si="654"/>
        <v>-0.55541574178983166</v>
      </c>
      <c r="AL162" s="367">
        <f t="shared" si="654"/>
        <v>-0.5822080520130033</v>
      </c>
      <c r="AM162" s="367">
        <f t="shared" si="654"/>
        <v>-0.43031149414045133</v>
      </c>
      <c r="AN162" s="367">
        <f t="shared" si="654"/>
        <v>-0.38490575695571771</v>
      </c>
      <c r="AO162" s="367">
        <f t="shared" si="654"/>
        <v>-0.25010822276116373</v>
      </c>
      <c r="AP162" s="367">
        <f t="shared" si="654"/>
        <v>-0.30945198677174512</v>
      </c>
      <c r="AQ162" s="367">
        <f t="shared" si="654"/>
        <v>-0.34126503551223708</v>
      </c>
      <c r="AR162" s="367">
        <f t="shared" si="654"/>
        <v>-0.47098880336391935</v>
      </c>
      <c r="AS162" s="367">
        <f>AS161/AN161-1</f>
        <v>-0.61671476226724242</v>
      </c>
      <c r="AT162" s="367">
        <f>AT161/AO161-1</f>
        <v>-0.6890845605979552</v>
      </c>
      <c r="AU162" s="367">
        <f t="shared" ref="AU162:BA162" si="655">AU161/AP161-1</f>
        <v>-0.71720143833582051</v>
      </c>
      <c r="AV162" s="367">
        <f>AV161/AQ161-1</f>
        <v>-0.64556788100987728</v>
      </c>
      <c r="AW162" s="367">
        <f t="shared" si="655"/>
        <v>-0.64898195549858906</v>
      </c>
      <c r="AX162" s="367">
        <f t="shared" si="655"/>
        <v>-0.57627640469588703</v>
      </c>
      <c r="AY162" s="367">
        <f t="shared" si="655"/>
        <v>-0.54356164175613486</v>
      </c>
      <c r="AZ162" s="367">
        <f t="shared" si="655"/>
        <v>-0.46950207428030266</v>
      </c>
      <c r="BA162" s="367">
        <f t="shared" si="655"/>
        <v>-0.55591967057858305</v>
      </c>
      <c r="BB162" s="367">
        <f>BB161/AW161-1</f>
        <v>-0.42082071994302328</v>
      </c>
      <c r="BC162" s="367">
        <f>BC161/AX161-1</f>
        <v>-0.44951121088976675</v>
      </c>
      <c r="BD162" s="367">
        <f>BD161/AY161-1</f>
        <v>-0.47489198354034912</v>
      </c>
      <c r="BE162" s="367">
        <f>BE161/AZ161-1</f>
        <v>-0.42703929485656977</v>
      </c>
      <c r="BF162" s="367">
        <f t="shared" ref="BF162" si="656">BF161/BA161-1</f>
        <v>-0.44281880176829103</v>
      </c>
      <c r="BG162" s="367">
        <f>BG161/BB161-1</f>
        <v>-0.34180371574797253</v>
      </c>
      <c r="BH162" s="367">
        <f>BH161/BC161-1</f>
        <v>-0.2508178535171065</v>
      </c>
      <c r="BI162" s="367">
        <f>BI161/BD161-1</f>
        <v>-0.17396119753317141</v>
      </c>
      <c r="BJ162" s="367">
        <f>BJ161/BE161-1</f>
        <v>-0.20732189911178001</v>
      </c>
      <c r="BK162" s="367">
        <f t="shared" ref="BK162" si="657">BK161/BF161-1</f>
        <v>-0.23854951872017138</v>
      </c>
      <c r="BL162" s="367">
        <f>BL161/BG161-1</f>
        <v>-0.21139929459810647</v>
      </c>
      <c r="BM162" s="367">
        <f>BM161/BH161-1</f>
        <v>-0.2709354524078017</v>
      </c>
      <c r="BN162" s="367">
        <f>BN161/BI161-1</f>
        <v>-0.30523988375137134</v>
      </c>
      <c r="BO162" s="367">
        <f>BO161/BJ161-1</f>
        <v>-0.32100290697674427</v>
      </c>
      <c r="BP162" s="367">
        <f t="shared" ref="BP162" si="658">BP161/BK161-1</f>
        <v>-0.28007491273156315</v>
      </c>
      <c r="BQ162" s="367">
        <f>BQ161/BL161-1</f>
        <v>-0.32052444164468674</v>
      </c>
      <c r="BR162" s="367">
        <f>BR161/BM161-1</f>
        <v>-0.2241653629982967</v>
      </c>
      <c r="BS162" s="367">
        <f>BS161/BN161-1</f>
        <v>-0.24038004156633597</v>
      </c>
      <c r="BT162" s="367">
        <f>BT161/BO161-1</f>
        <v>-0.19245908223257935</v>
      </c>
      <c r="BU162" s="367">
        <f t="shared" ref="BU162" si="659">BU161/BP161-1</f>
        <v>-0.24453120660038019</v>
      </c>
      <c r="BV162" s="367">
        <f>BV161/BQ161-1</f>
        <v>-0.17513541653566145</v>
      </c>
      <c r="BW162" s="367">
        <f t="shared" ref="BW162:BZ162" si="660">BW161/BR161-1</f>
        <v>-0.14385297299849897</v>
      </c>
      <c r="BX162" s="367">
        <f t="shared" si="660"/>
        <v>-8.3961415270713102E-2</v>
      </c>
      <c r="BY162" s="367">
        <f t="shared" si="660"/>
        <v>-5.6317584246916463E-2</v>
      </c>
      <c r="BZ162" s="367">
        <f t="shared" si="660"/>
        <v>-0.11217755416588437</v>
      </c>
      <c r="CA162" s="367">
        <f>CA161/BV161-1</f>
        <v>-6.4575421411875555E-2</v>
      </c>
      <c r="CB162" s="367">
        <f>CB161/BW161-1</f>
        <v>-8.6818380618241986E-2</v>
      </c>
      <c r="CC162" s="367">
        <f>CC161/BX161-1</f>
        <v>-0.10926612247143763</v>
      </c>
      <c r="CD162" s="367">
        <f>CD161/BY161-1</f>
        <v>-6.4446337060027559E-2</v>
      </c>
      <c r="CE162" s="367">
        <f t="shared" ref="CE162" si="661">CE161/BZ161-1</f>
        <v>-8.1673199448261791E-2</v>
      </c>
      <c r="CF162" s="367">
        <f>CF161/CA161-1</f>
        <v>-4.3614916417011318E-2</v>
      </c>
      <c r="CG162" s="367">
        <f>CG161/CB161-1</f>
        <v>-1.4971324725625457E-2</v>
      </c>
      <c r="CH162" s="367">
        <f>CH161/CC161-1</f>
        <v>-9.5931972793488196E-3</v>
      </c>
      <c r="CI162" s="367">
        <f>CI161/CD161-1</f>
        <v>-8.6036446861232907E-3</v>
      </c>
      <c r="CJ162" s="367">
        <f t="shared" ref="CJ162" si="662">CJ161/CE161-1</f>
        <v>-1.8540818867688325E-2</v>
      </c>
      <c r="CK162" s="367">
        <f>CK161/CF161-1</f>
        <v>-7.6424072563328949E-2</v>
      </c>
      <c r="CL162" s="367">
        <f>CL161/CG161-1</f>
        <v>-0.16718135366107467</v>
      </c>
      <c r="CM162" s="367">
        <f>CM161/CH161-1</f>
        <v>-0.10667728766941076</v>
      </c>
      <c r="CN162" s="367"/>
      <c r="CO162" s="1335">
        <v>-0.02</v>
      </c>
      <c r="CP162" s="1335">
        <v>-0.02</v>
      </c>
      <c r="CQ162" s="1335">
        <v>-0.02</v>
      </c>
      <c r="CR162" s="1335">
        <v>-0.02</v>
      </c>
      <c r="CS162" s="1335">
        <v>-0.02</v>
      </c>
      <c r="CT162" s="1335">
        <v>-0.02</v>
      </c>
      <c r="CU162" s="347"/>
      <c r="CV162" s="1363"/>
      <c r="CW162" s="347"/>
      <c r="CX162" s="347"/>
      <c r="CY162" s="347"/>
      <c r="CZ162" s="354"/>
      <c r="DA162" s="354"/>
      <c r="DB162" s="354"/>
      <c r="DC162" s="354"/>
      <c r="DD162" s="354"/>
      <c r="DE162" s="354"/>
    </row>
    <row r="163" spans="1:121">
      <c r="B163" s="407" t="s">
        <v>270</v>
      </c>
      <c r="C163" s="367"/>
      <c r="D163" s="367"/>
      <c r="E163" s="367"/>
      <c r="F163" s="367"/>
      <c r="G163" s="367"/>
      <c r="H163" s="367"/>
      <c r="I163" s="367"/>
      <c r="J163" s="367"/>
      <c r="K163" s="367"/>
      <c r="L163" s="367"/>
      <c r="M163" s="367"/>
      <c r="N163" s="367"/>
      <c r="O163" s="367"/>
      <c r="P163" s="367"/>
      <c r="Q163" s="367"/>
      <c r="R163" s="367"/>
      <c r="S163" s="367"/>
      <c r="T163" s="367"/>
      <c r="U163" s="367"/>
      <c r="V163" s="367"/>
      <c r="W163" s="367"/>
      <c r="X163" s="367"/>
      <c r="Y163" s="367"/>
      <c r="Z163" s="367"/>
      <c r="AA163" s="367"/>
      <c r="AB163" s="367"/>
      <c r="AC163" s="367"/>
      <c r="AD163" s="367"/>
      <c r="AE163" s="367">
        <f>AE161/AD161-1</f>
        <v>-0.19828319399050143</v>
      </c>
      <c r="AF163" s="367">
        <f t="shared" ref="AF163:AR163" si="663">AF161/AE161-1</f>
        <v>-9.1431657134041E-2</v>
      </c>
      <c r="AG163" s="367"/>
      <c r="AH163" s="367">
        <f t="shared" si="663"/>
        <v>-0.4976752358074088</v>
      </c>
      <c r="AI163" s="367">
        <f t="shared" si="663"/>
        <v>-0.10704016988988152</v>
      </c>
      <c r="AJ163" s="367">
        <f t="shared" si="663"/>
        <v>-0.10702684751102265</v>
      </c>
      <c r="AK163" s="367">
        <f t="shared" si="663"/>
        <v>-0.11080959627767717</v>
      </c>
      <c r="AL163" s="367">
        <f>AL161/AG161-1</f>
        <v>-0.5822080520130033</v>
      </c>
      <c r="AM163" s="367">
        <f t="shared" si="663"/>
        <v>-0.31504509421987692</v>
      </c>
      <c r="AN163" s="367">
        <f t="shared" si="663"/>
        <v>-3.5868821081765589E-2</v>
      </c>
      <c r="AO163" s="367">
        <f t="shared" si="663"/>
        <v>8.8667682910368084E-2</v>
      </c>
      <c r="AP163" s="367">
        <f t="shared" si="663"/>
        <v>-0.18117695738312467</v>
      </c>
      <c r="AQ163" s="367">
        <f>AQ161/AL161-1</f>
        <v>-0.34126503551223708</v>
      </c>
      <c r="AR163" s="367">
        <f t="shared" si="663"/>
        <v>-0.44993231894065044</v>
      </c>
      <c r="AS163" s="367">
        <f>AS161/AR161-1</f>
        <v>-0.30145666014805972</v>
      </c>
      <c r="AT163" s="367">
        <f>AT161/AS161-1</f>
        <v>-0.11688852668286687</v>
      </c>
      <c r="AU163" s="367">
        <f t="shared" ref="AU163:BA163" si="664">AU161/AT161-1</f>
        <v>-0.25522521765119977</v>
      </c>
      <c r="AV163" s="367">
        <f>AV161/AU161-1</f>
        <v>0.40243614260228533</v>
      </c>
      <c r="AW163" s="367">
        <f t="shared" si="664"/>
        <v>-0.4552308569013761</v>
      </c>
      <c r="AX163" s="367">
        <f t="shared" si="664"/>
        <v>-0.15676900354728851</v>
      </c>
      <c r="AY163" s="367">
        <f t="shared" si="664"/>
        <v>-4.8705440305036207E-2</v>
      </c>
      <c r="AZ163" s="367">
        <f t="shared" si="664"/>
        <v>-0.13438152156071981</v>
      </c>
      <c r="BA163" s="367">
        <f t="shared" si="664"/>
        <v>0.17398065855660683</v>
      </c>
      <c r="BB163" s="367">
        <f t="shared" ref="BB163:BV163" si="665">BB161/BA161-1</f>
        <v>-0.28950016653923782</v>
      </c>
      <c r="BC163" s="367">
        <f t="shared" si="665"/>
        <v>-0.19853968164778968</v>
      </c>
      <c r="BD163" s="367">
        <f t="shared" si="665"/>
        <v>-9.2565717609464526E-2</v>
      </c>
      <c r="BE163" s="367">
        <f t="shared" si="665"/>
        <v>-5.5498377008946331E-2</v>
      </c>
      <c r="BF163" s="367">
        <f t="shared" si="665"/>
        <v>0.14164888475497461</v>
      </c>
      <c r="BG163" s="367">
        <f t="shared" si="665"/>
        <v>-0.16068892520116562</v>
      </c>
      <c r="BH163" s="367">
        <f t="shared" si="665"/>
        <v>-8.7749694141299739E-2</v>
      </c>
      <c r="BI163" s="367">
        <f t="shared" si="665"/>
        <v>5.2561511533477656E-4</v>
      </c>
      <c r="BJ163" s="367">
        <f t="shared" si="665"/>
        <v>-9.3643360865659719E-2</v>
      </c>
      <c r="BK163" s="367">
        <f t="shared" si="665"/>
        <v>9.6673532137657947E-2</v>
      </c>
      <c r="BL163" s="367">
        <f t="shared" si="665"/>
        <v>-0.130762509302631</v>
      </c>
      <c r="BM163" s="367">
        <f t="shared" si="665"/>
        <v>-0.15662089575133054</v>
      </c>
      <c r="BN163" s="367">
        <f t="shared" si="665"/>
        <v>-4.6551783428538718E-2</v>
      </c>
      <c r="BO163" s="367">
        <f t="shared" si="665"/>
        <v>-0.11420717910883693</v>
      </c>
      <c r="BP163" s="367">
        <f t="shared" si="665"/>
        <v>0.16277786229365643</v>
      </c>
      <c r="BQ163" s="367">
        <f t="shared" si="665"/>
        <v>-0.17960126715970259</v>
      </c>
      <c r="BR163" s="367">
        <f t="shared" si="665"/>
        <v>-3.7018016095543116E-2</v>
      </c>
      <c r="BS163" s="367">
        <f t="shared" si="665"/>
        <v>-6.6478525063486504E-2</v>
      </c>
      <c r="BT163" s="367">
        <f t="shared" si="665"/>
        <v>-5.8326549227038171E-2</v>
      </c>
      <c r="BU163" s="367">
        <f t="shared" si="665"/>
        <v>8.7799230096446079E-2</v>
      </c>
      <c r="BV163" s="367">
        <f t="shared" si="665"/>
        <v>-0.10424114807741613</v>
      </c>
      <c r="BW163" s="367">
        <f t="shared" ref="BW163:CM163" si="666">BW161/BV161-1</f>
        <v>-4.975615352604823E-4</v>
      </c>
      <c r="BX163" s="367">
        <f t="shared" si="666"/>
        <v>-1.1742565874248712E-3</v>
      </c>
      <c r="BY163" s="367">
        <f t="shared" si="666"/>
        <v>-2.9909119888670066E-2</v>
      </c>
      <c r="BZ163" s="367">
        <f t="shared" si="666"/>
        <v>2.3408465516423504E-2</v>
      </c>
      <c r="CA163" s="367">
        <f t="shared" si="666"/>
        <v>-5.6213491213281785E-2</v>
      </c>
      <c r="CB163" s="367">
        <f t="shared" si="666"/>
        <v>-2.4264193794368505E-2</v>
      </c>
      <c r="CC163" s="367">
        <f t="shared" si="666"/>
        <v>-2.5727293977326982E-2</v>
      </c>
      <c r="CD163" s="367">
        <f t="shared" si="666"/>
        <v>1.8903736760269352E-2</v>
      </c>
      <c r="CE163" s="367">
        <f t="shared" si="666"/>
        <v>4.5638844936708445E-3</v>
      </c>
      <c r="CF163" s="367">
        <f t="shared" si="666"/>
        <v>-1.7100079679500668E-2</v>
      </c>
      <c r="CG163" s="367">
        <f t="shared" si="666"/>
        <v>4.9589491753159187E-3</v>
      </c>
      <c r="CH163" s="367">
        <f t="shared" si="666"/>
        <v>-2.0407892713237619E-2</v>
      </c>
      <c r="CI163" s="367">
        <f t="shared" si="666"/>
        <v>1.9921761709400077E-2</v>
      </c>
      <c r="CJ163" s="367">
        <f t="shared" si="666"/>
        <v>-5.5052732586418074E-3</v>
      </c>
      <c r="CK163" s="367">
        <f t="shared" si="666"/>
        <v>-7.5068303462071273E-2</v>
      </c>
      <c r="CL163" s="367">
        <f t="shared" si="666"/>
        <v>-9.3795618946808879E-2</v>
      </c>
      <c r="CM163" s="367">
        <f t="shared" si="666"/>
        <v>5.0759228441817683E-2</v>
      </c>
      <c r="CN163" s="367"/>
      <c r="CO163" s="367"/>
      <c r="CP163" s="367"/>
      <c r="CQ163" s="367"/>
      <c r="CR163" s="367"/>
      <c r="CS163" s="367"/>
      <c r="CT163" s="367"/>
      <c r="CU163" s="347"/>
      <c r="CV163" s="1363"/>
      <c r="CW163" s="347"/>
      <c r="CX163" s="347"/>
      <c r="CY163" s="347"/>
      <c r="CZ163" s="354"/>
      <c r="DA163" s="354"/>
      <c r="DB163" s="354"/>
      <c r="DC163" s="354"/>
      <c r="DD163" s="354"/>
      <c r="DE163" s="354"/>
    </row>
    <row r="164" spans="1:121">
      <c r="B164" s="407"/>
      <c r="C164" s="367"/>
      <c r="D164" s="367"/>
      <c r="E164" s="367"/>
      <c r="F164" s="367"/>
      <c r="G164" s="367"/>
      <c r="H164" s="367"/>
      <c r="I164" s="367"/>
      <c r="J164" s="367"/>
      <c r="K164" s="367"/>
      <c r="L164" s="367"/>
      <c r="M164" s="367"/>
      <c r="N164" s="367"/>
      <c r="O164" s="367"/>
      <c r="P164" s="367"/>
      <c r="Q164" s="367"/>
      <c r="R164" s="367"/>
      <c r="S164" s="367"/>
      <c r="T164" s="367"/>
      <c r="U164" s="367"/>
      <c r="V164" s="367"/>
      <c r="W164" s="367"/>
      <c r="X164" s="367"/>
      <c r="Y164" s="367"/>
      <c r="Z164" s="367"/>
      <c r="AA164" s="367"/>
      <c r="AB164" s="367"/>
      <c r="AC164" s="367"/>
      <c r="AD164" s="367"/>
      <c r="AE164" s="367"/>
      <c r="AF164" s="367"/>
      <c r="AG164" s="367"/>
      <c r="AH164" s="367"/>
      <c r="AI164" s="367"/>
      <c r="AJ164" s="367"/>
      <c r="AK164" s="367"/>
      <c r="AL164" s="367"/>
      <c r="AM164" s="367"/>
      <c r="AN164" s="367"/>
      <c r="AO164" s="367"/>
      <c r="AP164" s="367"/>
      <c r="AQ164" s="367"/>
      <c r="AR164" s="367"/>
      <c r="AS164" s="367"/>
      <c r="AT164" s="367"/>
      <c r="AU164" s="367"/>
      <c r="AV164" s="367"/>
      <c r="AW164" s="367"/>
      <c r="AX164" s="367"/>
      <c r="AY164" s="367"/>
      <c r="AZ164" s="367"/>
      <c r="BA164" s="367"/>
      <c r="BB164" s="367"/>
      <c r="BC164" s="367"/>
      <c r="BD164" s="367"/>
      <c r="BE164" s="367"/>
      <c r="BF164" s="367"/>
      <c r="BG164" s="367"/>
      <c r="BH164" s="367"/>
      <c r="BI164" s="367"/>
      <c r="BJ164" s="367"/>
      <c r="BK164" s="367"/>
      <c r="BL164" s="367"/>
      <c r="BM164" s="367"/>
      <c r="BN164" s="367"/>
      <c r="BO164" s="367"/>
      <c r="BP164" s="367"/>
      <c r="BQ164" s="367"/>
      <c r="BR164" s="367"/>
      <c r="BS164" s="367"/>
      <c r="BT164" s="367"/>
      <c r="BU164" s="367"/>
      <c r="BV164" s="367"/>
      <c r="BW164" s="367"/>
      <c r="BX164" s="367"/>
      <c r="BY164" s="367"/>
      <c r="BZ164" s="367"/>
      <c r="CA164" s="367"/>
      <c r="CB164" s="367"/>
      <c r="CC164" s="367"/>
      <c r="CD164" s="367"/>
      <c r="CE164" s="367"/>
      <c r="CF164" s="367"/>
      <c r="CG164" s="367"/>
      <c r="CH164" s="367"/>
      <c r="CI164" s="367"/>
      <c r="CJ164" s="367"/>
      <c r="CK164" s="367"/>
      <c r="CL164" s="367"/>
      <c r="CM164" s="367"/>
      <c r="CN164" s="367"/>
      <c r="CO164" s="367"/>
      <c r="CP164" s="367"/>
      <c r="CQ164" s="367"/>
      <c r="CR164" s="367"/>
      <c r="CS164" s="367"/>
      <c r="CT164" s="367"/>
      <c r="CU164" s="347"/>
      <c r="CV164" s="1363"/>
      <c r="CW164" s="347"/>
      <c r="CX164" s="347"/>
      <c r="CY164" s="347"/>
      <c r="CZ164" s="354"/>
      <c r="DA164" s="354"/>
      <c r="DB164" s="354"/>
      <c r="DC164" s="354"/>
      <c r="DD164" s="354"/>
      <c r="DE164" s="354"/>
    </row>
    <row r="165" spans="1:121">
      <c r="B165" s="407" t="s">
        <v>271</v>
      </c>
      <c r="C165" s="367"/>
      <c r="D165" s="367"/>
      <c r="E165" s="367"/>
      <c r="F165" s="367"/>
      <c r="G165" s="367"/>
      <c r="H165" s="367"/>
      <c r="I165" s="367"/>
      <c r="J165" s="367"/>
      <c r="K165" s="367"/>
      <c r="L165" s="367"/>
      <c r="M165" s="367"/>
      <c r="N165" s="367"/>
      <c r="O165" s="367"/>
      <c r="P165" s="367"/>
      <c r="Q165" s="367"/>
      <c r="R165" s="367"/>
      <c r="S165" s="367"/>
      <c r="T165" s="367"/>
      <c r="U165" s="367"/>
      <c r="V165" s="367"/>
      <c r="W165" s="367"/>
      <c r="X165" s="367"/>
      <c r="Y165" s="367"/>
      <c r="Z165" s="367"/>
      <c r="AA165" s="367"/>
      <c r="AB165" s="367"/>
      <c r="AC165" s="392">
        <v>3035</v>
      </c>
      <c r="AD165" s="392">
        <v>3410</v>
      </c>
      <c r="AE165" s="392">
        <v>3993</v>
      </c>
      <c r="AF165" s="392">
        <v>4500</v>
      </c>
      <c r="AG165" s="392"/>
      <c r="AH165" s="392"/>
      <c r="AI165" s="392"/>
      <c r="AJ165" s="392"/>
      <c r="AK165" s="392"/>
      <c r="AL165" s="392"/>
      <c r="AM165" s="392">
        <v>28000</v>
      </c>
      <c r="AN165" s="392">
        <v>25000</v>
      </c>
      <c r="AO165" s="392">
        <v>22500</v>
      </c>
      <c r="AP165" s="392">
        <v>22500</v>
      </c>
      <c r="AQ165" s="392">
        <f>AP165</f>
        <v>22500</v>
      </c>
      <c r="AR165" s="392">
        <v>23500</v>
      </c>
      <c r="AS165" s="392">
        <v>24000</v>
      </c>
      <c r="AT165" s="392">
        <f>AT96*AT167</f>
        <v>29250</v>
      </c>
      <c r="AU165" s="392">
        <f>AU96*AU167</f>
        <v>30225</v>
      </c>
      <c r="AV165" s="375">
        <f>AU165</f>
        <v>30225</v>
      </c>
      <c r="AW165" s="392">
        <f>AW96*AW167</f>
        <v>32640.000000000004</v>
      </c>
      <c r="AX165" s="444">
        <f>'[16]Domestic Mobile Operations'!U$24</f>
        <v>33800</v>
      </c>
      <c r="AY165" s="444">
        <f>'[16]Domestic Mobile Operations'!V$24</f>
        <v>36700</v>
      </c>
      <c r="AZ165" s="444">
        <f>'[16]Domestic Mobile Operations'!W$24</f>
        <v>38300</v>
      </c>
      <c r="BA165" s="419">
        <f>AZ165</f>
        <v>38300</v>
      </c>
      <c r="BB165" s="392">
        <f>BB96</f>
        <v>54500</v>
      </c>
      <c r="BC165" s="392">
        <f t="shared" ref="BC165:CT165" si="667">BC96</f>
        <v>52900</v>
      </c>
      <c r="BD165" s="392">
        <f t="shared" si="667"/>
        <v>53900</v>
      </c>
      <c r="BE165" s="392">
        <f t="shared" si="667"/>
        <v>54900</v>
      </c>
      <c r="BF165" s="392">
        <f t="shared" si="667"/>
        <v>54900</v>
      </c>
      <c r="BG165" s="392">
        <f t="shared" si="667"/>
        <v>55100</v>
      </c>
      <c r="BH165" s="392">
        <f t="shared" si="667"/>
        <v>56600</v>
      </c>
      <c r="BI165" s="392">
        <f t="shared" si="667"/>
        <v>55500</v>
      </c>
      <c r="BJ165" s="392">
        <f t="shared" si="667"/>
        <v>56700</v>
      </c>
      <c r="BK165" s="392">
        <f t="shared" si="667"/>
        <v>56700</v>
      </c>
      <c r="BL165" s="392">
        <f t="shared" si="667"/>
        <v>55490</v>
      </c>
      <c r="BM165" s="392">
        <f t="shared" si="667"/>
        <v>55670</v>
      </c>
      <c r="BN165" s="392">
        <f t="shared" si="667"/>
        <v>56880</v>
      </c>
      <c r="BO165" s="392">
        <f t="shared" si="667"/>
        <v>57890</v>
      </c>
      <c r="BP165" s="392">
        <f t="shared" si="667"/>
        <v>57890</v>
      </c>
      <c r="BQ165" s="392">
        <f t="shared" si="667"/>
        <v>56010</v>
      </c>
      <c r="BR165" s="392">
        <f t="shared" si="667"/>
        <v>56770</v>
      </c>
      <c r="BS165" s="392">
        <f t="shared" si="667"/>
        <v>57980</v>
      </c>
      <c r="BT165" s="392">
        <f t="shared" si="667"/>
        <v>57910</v>
      </c>
      <c r="BU165" s="392">
        <f t="shared" si="667"/>
        <v>57910</v>
      </c>
      <c r="BV165" s="392">
        <f t="shared" si="667"/>
        <v>57000</v>
      </c>
      <c r="BW165" s="392">
        <f t="shared" si="667"/>
        <v>57230</v>
      </c>
      <c r="BX165" s="392">
        <f t="shared" si="667"/>
        <v>57400</v>
      </c>
      <c r="BY165" s="392">
        <f t="shared" si="667"/>
        <v>57500</v>
      </c>
      <c r="BZ165" s="392">
        <f t="shared" si="667"/>
        <v>57500</v>
      </c>
      <c r="CA165" s="392">
        <f t="shared" si="667"/>
        <v>57900</v>
      </c>
      <c r="CB165" s="392">
        <f t="shared" si="667"/>
        <v>58000</v>
      </c>
      <c r="CC165" s="392">
        <f t="shared" ref="CC165:CE165" si="668">CC96</f>
        <v>57500</v>
      </c>
      <c r="CD165" s="392">
        <f t="shared" si="668"/>
        <v>57500</v>
      </c>
      <c r="CE165" s="392">
        <f t="shared" si="668"/>
        <v>57500</v>
      </c>
      <c r="CF165" s="392">
        <f t="shared" ref="CF165:CG165" si="669">CF96</f>
        <v>57600</v>
      </c>
      <c r="CG165" s="392">
        <f t="shared" si="669"/>
        <v>58500</v>
      </c>
      <c r="CH165" s="392">
        <f t="shared" ref="CH165:CK165" si="670">CH96</f>
        <v>58600</v>
      </c>
      <c r="CI165" s="392">
        <f t="shared" si="670"/>
        <v>58800</v>
      </c>
      <c r="CJ165" s="392">
        <f t="shared" si="670"/>
        <v>58800</v>
      </c>
      <c r="CK165" s="392">
        <f t="shared" si="670"/>
        <v>58900</v>
      </c>
      <c r="CL165" s="392">
        <f t="shared" ref="CL165" si="671">CL96</f>
        <v>82600</v>
      </c>
      <c r="CM165" s="392">
        <f t="shared" ref="CM165" si="672">CM96</f>
        <v>79600</v>
      </c>
      <c r="CN165" s="392"/>
      <c r="CO165" s="392">
        <f t="shared" si="667"/>
        <v>82771.271720245146</v>
      </c>
      <c r="CP165" s="392">
        <f t="shared" si="667"/>
        <v>83969.257163598711</v>
      </c>
      <c r="CQ165" s="392">
        <f t="shared" si="667"/>
        <v>85182.942914061918</v>
      </c>
      <c r="CR165" s="392">
        <f t="shared" si="667"/>
        <v>86412.523357124315</v>
      </c>
      <c r="CS165" s="392">
        <f t="shared" si="667"/>
        <v>87658.195197739857</v>
      </c>
      <c r="CT165" s="392">
        <f t="shared" si="667"/>
        <v>88920.15748729551</v>
      </c>
      <c r="CU165" s="347"/>
      <c r="CV165" s="1363"/>
      <c r="CW165" s="347"/>
      <c r="CX165" s="347"/>
      <c r="CY165" s="347"/>
      <c r="CZ165" s="354"/>
      <c r="DA165" s="354"/>
      <c r="DB165" s="354"/>
      <c r="DC165" s="354"/>
      <c r="DD165" s="354"/>
      <c r="DE165" s="354"/>
    </row>
    <row r="166" spans="1:121">
      <c r="B166" s="407" t="s">
        <v>269</v>
      </c>
      <c r="C166" s="367"/>
      <c r="D166" s="367"/>
      <c r="E166" s="367"/>
      <c r="F166" s="367"/>
      <c r="G166" s="367"/>
      <c r="H166" s="367"/>
      <c r="I166" s="367"/>
      <c r="J166" s="367"/>
      <c r="K166" s="367"/>
      <c r="L166" s="367"/>
      <c r="M166" s="367"/>
      <c r="N166" s="367"/>
      <c r="O166" s="367"/>
      <c r="P166" s="367"/>
      <c r="Q166" s="367"/>
      <c r="R166" s="367"/>
      <c r="S166" s="367"/>
      <c r="T166" s="367"/>
      <c r="U166" s="367"/>
      <c r="V166" s="367"/>
      <c r="W166" s="367"/>
      <c r="X166" s="367"/>
      <c r="Y166" s="367"/>
      <c r="Z166" s="367"/>
      <c r="AA166" s="367"/>
      <c r="AB166" s="367"/>
      <c r="AC166" s="367"/>
      <c r="AD166" s="367"/>
      <c r="AE166" s="367"/>
      <c r="AF166" s="367"/>
      <c r="AG166" s="367"/>
      <c r="AH166" s="367"/>
      <c r="AI166" s="367"/>
      <c r="AJ166" s="367"/>
      <c r="AK166" s="367"/>
      <c r="AL166" s="367"/>
      <c r="AM166" s="367"/>
      <c r="AN166" s="367"/>
      <c r="AO166" s="367"/>
      <c r="AP166" s="367"/>
      <c r="AQ166" s="367"/>
      <c r="AR166" s="367">
        <f>AR165/AM165-1</f>
        <v>-0.1607142857142857</v>
      </c>
      <c r="AS166" s="367">
        <f>AS165/AN165-1</f>
        <v>-4.0000000000000036E-2</v>
      </c>
      <c r="AT166" s="367">
        <f t="shared" ref="AT166:BA166" si="673">AT165/AO165-1</f>
        <v>0.30000000000000004</v>
      </c>
      <c r="AU166" s="367">
        <f t="shared" si="673"/>
        <v>0.34333333333333327</v>
      </c>
      <c r="AV166" s="367">
        <f t="shared" si="673"/>
        <v>0.34333333333333327</v>
      </c>
      <c r="AW166" s="367">
        <f t="shared" si="673"/>
        <v>0.38893617021276605</v>
      </c>
      <c r="AX166" s="367">
        <f t="shared" si="673"/>
        <v>0.40833333333333344</v>
      </c>
      <c r="AY166" s="367">
        <f t="shared" si="673"/>
        <v>0.25470085470085468</v>
      </c>
      <c r="AZ166" s="367">
        <f t="shared" si="673"/>
        <v>0.26716294458229939</v>
      </c>
      <c r="BA166" s="367">
        <f t="shared" si="673"/>
        <v>0.26716294458229939</v>
      </c>
      <c r="BB166" s="367">
        <f t="shared" ref="BB166:BV166" si="674">BB165/AW165-1</f>
        <v>0.66973039215686248</v>
      </c>
      <c r="BC166" s="367">
        <f t="shared" si="674"/>
        <v>0.56508875739644981</v>
      </c>
      <c r="BD166" s="367">
        <f t="shared" si="674"/>
        <v>0.46866485013623982</v>
      </c>
      <c r="BE166" s="367">
        <f t="shared" si="674"/>
        <v>0.43342036553524799</v>
      </c>
      <c r="BF166" s="367">
        <f t="shared" si="674"/>
        <v>0.43342036553524799</v>
      </c>
      <c r="BG166" s="367">
        <f t="shared" si="674"/>
        <v>1.1009174311926495E-2</v>
      </c>
      <c r="BH166" s="367">
        <f t="shared" si="674"/>
        <v>6.9943289224952743E-2</v>
      </c>
      <c r="BI166" s="367">
        <f t="shared" si="674"/>
        <v>2.9684601113172615E-2</v>
      </c>
      <c r="BJ166" s="367">
        <f t="shared" si="674"/>
        <v>3.2786885245901676E-2</v>
      </c>
      <c r="BK166" s="367">
        <f t="shared" si="674"/>
        <v>3.2786885245901676E-2</v>
      </c>
      <c r="BL166" s="367">
        <f t="shared" si="674"/>
        <v>7.0780399274046335E-3</v>
      </c>
      <c r="BM166" s="367">
        <f t="shared" si="674"/>
        <v>-1.6431095406360452E-2</v>
      </c>
      <c r="BN166" s="367">
        <f t="shared" si="674"/>
        <v>2.4864864864864833E-2</v>
      </c>
      <c r="BO166" s="367">
        <f t="shared" si="674"/>
        <v>2.0987654320987703E-2</v>
      </c>
      <c r="BP166" s="367">
        <f t="shared" si="674"/>
        <v>2.0987654320987703E-2</v>
      </c>
      <c r="BQ166" s="367">
        <f t="shared" si="674"/>
        <v>9.3710578482608664E-3</v>
      </c>
      <c r="BR166" s="367">
        <f t="shared" si="674"/>
        <v>1.975929585054792E-2</v>
      </c>
      <c r="BS166" s="367">
        <f t="shared" si="674"/>
        <v>1.9338959212376938E-2</v>
      </c>
      <c r="BT166" s="367">
        <f t="shared" si="674"/>
        <v>3.4548281223001354E-4</v>
      </c>
      <c r="BU166" s="367">
        <f t="shared" si="674"/>
        <v>3.4548281223001354E-4</v>
      </c>
      <c r="BV166" s="367">
        <f t="shared" si="674"/>
        <v>1.7675415104445591E-2</v>
      </c>
      <c r="BW166" s="367">
        <f t="shared" ref="BW166:CM166" si="675">BW165/BR165-1</f>
        <v>8.1028712348070187E-3</v>
      </c>
      <c r="BX166" s="367">
        <f t="shared" si="675"/>
        <v>-1.0003449465332825E-2</v>
      </c>
      <c r="BY166" s="367">
        <f t="shared" si="675"/>
        <v>-7.0799516491106829E-3</v>
      </c>
      <c r="BZ166" s="367">
        <f t="shared" si="675"/>
        <v>-7.0799516491106829E-3</v>
      </c>
      <c r="CA166" s="367">
        <f t="shared" si="675"/>
        <v>1.5789473684210575E-2</v>
      </c>
      <c r="CB166" s="367">
        <f t="shared" si="675"/>
        <v>1.3454481915079475E-2</v>
      </c>
      <c r="CC166" s="367">
        <f t="shared" si="675"/>
        <v>1.7421602787457413E-3</v>
      </c>
      <c r="CD166" s="367">
        <f t="shared" si="675"/>
        <v>0</v>
      </c>
      <c r="CE166" s="367">
        <f t="shared" si="675"/>
        <v>0</v>
      </c>
      <c r="CF166" s="367">
        <f t="shared" si="675"/>
        <v>-5.1813471502590858E-3</v>
      </c>
      <c r="CG166" s="367">
        <f t="shared" si="675"/>
        <v>8.6206896551723755E-3</v>
      </c>
      <c r="CH166" s="367">
        <f t="shared" si="675"/>
        <v>1.9130434782608674E-2</v>
      </c>
      <c r="CI166" s="367">
        <f t="shared" si="675"/>
        <v>2.2608695652173827E-2</v>
      </c>
      <c r="CJ166" s="367">
        <f t="shared" si="675"/>
        <v>2.2608695652173827E-2</v>
      </c>
      <c r="CK166" s="367">
        <f t="shared" si="675"/>
        <v>2.256944444444442E-2</v>
      </c>
      <c r="CL166" s="367">
        <f t="shared" si="675"/>
        <v>0.41196581196581206</v>
      </c>
      <c r="CM166" s="367">
        <f t="shared" si="675"/>
        <v>0.35836177474402731</v>
      </c>
      <c r="CN166" s="367"/>
      <c r="CO166" s="367">
        <f>CO165/CJ165-1</f>
        <v>0.4076746891198153</v>
      </c>
      <c r="CP166" s="367">
        <f t="shared" ref="CP166:CR166" si="676">CP165/CO165-1</f>
        <v>1.4473444933920776E-2</v>
      </c>
      <c r="CQ166" s="367">
        <f t="shared" si="676"/>
        <v>1.4453929824561396E-2</v>
      </c>
      <c r="CR166" s="367">
        <f t="shared" si="676"/>
        <v>1.4434585152838464E-2</v>
      </c>
      <c r="CS166" s="367">
        <f t="shared" ref="CS166" si="677">CS165/CR165-1</f>
        <v>1.4415408695652276E-2</v>
      </c>
      <c r="CT166" s="367">
        <f t="shared" ref="CT166" si="678">CT165/CS165-1</f>
        <v>1.4396398268398114E-2</v>
      </c>
      <c r="CU166" s="347"/>
      <c r="CV166" s="1363"/>
      <c r="CW166" s="347"/>
      <c r="CX166" s="347"/>
      <c r="CY166" s="347"/>
      <c r="CZ166" s="354"/>
      <c r="DA166" s="354"/>
      <c r="DB166" s="354"/>
      <c r="DC166" s="354"/>
      <c r="DD166" s="354"/>
      <c r="DE166" s="354"/>
    </row>
    <row r="167" spans="1:121">
      <c r="B167" s="407" t="s">
        <v>513</v>
      </c>
      <c r="C167" s="367"/>
      <c r="D167" s="367"/>
      <c r="E167" s="367"/>
      <c r="F167" s="367"/>
      <c r="G167" s="367"/>
      <c r="H167" s="367"/>
      <c r="I167" s="367"/>
      <c r="J167" s="367"/>
      <c r="K167" s="367"/>
      <c r="L167" s="367"/>
      <c r="M167" s="367"/>
      <c r="N167" s="367"/>
      <c r="O167" s="367"/>
      <c r="P167" s="367"/>
      <c r="Q167" s="367"/>
      <c r="R167" s="367"/>
      <c r="S167" s="367"/>
      <c r="T167" s="367"/>
      <c r="U167" s="367"/>
      <c r="V167" s="367"/>
      <c r="W167" s="367"/>
      <c r="X167" s="367"/>
      <c r="Y167" s="367"/>
      <c r="Z167" s="367"/>
      <c r="AA167" s="367"/>
      <c r="AB167" s="367"/>
      <c r="AC167" s="367"/>
      <c r="AD167" s="367"/>
      <c r="AE167" s="367"/>
      <c r="AF167" s="367"/>
      <c r="AG167" s="367"/>
      <c r="AH167" s="367"/>
      <c r="AI167" s="367"/>
      <c r="AJ167" s="367"/>
      <c r="AK167" s="367"/>
      <c r="AL167" s="367"/>
      <c r="AM167" s="367">
        <f t="shared" ref="AM167:AS167" si="679">AM165/AM96</f>
        <v>0.5374280230326296</v>
      </c>
      <c r="AN167" s="367">
        <f t="shared" si="679"/>
        <v>0.54347826086956519</v>
      </c>
      <c r="AO167" s="367">
        <f t="shared" si="679"/>
        <v>0.54216867469879515</v>
      </c>
      <c r="AP167" s="445">
        <f t="shared" si="679"/>
        <v>0.5357142857142857</v>
      </c>
      <c r="AQ167" s="445">
        <f t="shared" si="679"/>
        <v>0.5357142857142857</v>
      </c>
      <c r="AR167" s="445">
        <f t="shared" si="679"/>
        <v>0.55294117647058827</v>
      </c>
      <c r="AS167" s="445">
        <f t="shared" si="679"/>
        <v>0.54545454545454541</v>
      </c>
      <c r="AT167" s="445">
        <v>0.65</v>
      </c>
      <c r="AU167" s="445">
        <v>0.65</v>
      </c>
      <c r="AV167" s="445">
        <f>AV165/AV96</f>
        <v>0.65</v>
      </c>
      <c r="AW167" s="445">
        <v>0.68</v>
      </c>
      <c r="AX167" s="367">
        <f>AX165/AX96</f>
        <v>0.66930693069306935</v>
      </c>
      <c r="AY167" s="367">
        <f>AY165/AY96</f>
        <v>0.69904761904761903</v>
      </c>
      <c r="AZ167" s="367">
        <f>AZ165/AZ96</f>
        <v>0.71588785046728975</v>
      </c>
      <c r="BA167" s="367">
        <f>BA165/BA96</f>
        <v>0.71588785046728975</v>
      </c>
      <c r="BB167" s="446">
        <f>'[16]Domestic Mobile Operations'!X66</f>
        <v>0</v>
      </c>
      <c r="BC167" s="446">
        <f>'[16]Domestic Mobile Operations'!Y66</f>
        <v>0</v>
      </c>
      <c r="BD167" s="446">
        <f>'[16]Domestic Mobile Operations'!Z66</f>
        <v>0</v>
      </c>
      <c r="BE167" s="446">
        <f>'[16]Domestic Mobile Operations'!AA66</f>
        <v>0</v>
      </c>
      <c r="BF167" s="367">
        <f>BF165/BF96</f>
        <v>1</v>
      </c>
      <c r="BG167" s="446">
        <f>'[16]Domestic Mobile Operations'!AB66</f>
        <v>0</v>
      </c>
      <c r="BH167" s="446">
        <f>'[16]Domestic Mobile Operations'!AC66</f>
        <v>0</v>
      </c>
      <c r="BI167" s="446">
        <f>'[16]Domestic Mobile Operations'!AD66</f>
        <v>0</v>
      </c>
      <c r="BJ167" s="446">
        <f>'[16]Domestic Mobile Operations'!AE66</f>
        <v>0</v>
      </c>
      <c r="BK167" s="367">
        <f>BK165/BK96</f>
        <v>1</v>
      </c>
      <c r="BL167" s="446"/>
      <c r="BM167" s="446"/>
      <c r="BN167" s="446"/>
      <c r="BO167" s="446"/>
      <c r="BP167" s="367"/>
      <c r="BQ167" s="446"/>
      <c r="BR167" s="446"/>
      <c r="BS167" s="446"/>
      <c r="BT167" s="446"/>
      <c r="BU167" s="367"/>
      <c r="BV167" s="446"/>
      <c r="BW167" s="446"/>
      <c r="BX167" s="446"/>
      <c r="BY167" s="446"/>
      <c r="BZ167" s="367"/>
      <c r="CA167" s="446"/>
      <c r="CB167" s="446"/>
      <c r="CC167" s="446"/>
      <c r="CD167" s="446"/>
      <c r="CE167" s="367">
        <f>CE165/CE96</f>
        <v>1</v>
      </c>
      <c r="CF167" s="446"/>
      <c r="CG167" s="446"/>
      <c r="CH167" s="446"/>
      <c r="CI167" s="446"/>
      <c r="CJ167" s="367">
        <f>CJ165/CJ96</f>
        <v>1</v>
      </c>
      <c r="CK167" s="446"/>
      <c r="CL167" s="446"/>
      <c r="CM167" s="446"/>
      <c r="CN167" s="446"/>
      <c r="CO167" s="1335">
        <f>MIN(100%,CJ167+0.25%)</f>
        <v>1</v>
      </c>
      <c r="CP167" s="1335">
        <f t="shared" ref="CP167:CR167" si="680">MIN(100%,CO167+0.25%)</f>
        <v>1</v>
      </c>
      <c r="CQ167" s="1335">
        <f t="shared" si="680"/>
        <v>1</v>
      </c>
      <c r="CR167" s="1335">
        <f t="shared" si="680"/>
        <v>1</v>
      </c>
      <c r="CS167" s="1335">
        <f t="shared" ref="CS167" si="681">MIN(100%,CR167+0.25%)</f>
        <v>1</v>
      </c>
      <c r="CT167" s="1335">
        <f t="shared" ref="CT167" si="682">MIN(100%,CS167+0.25%)</f>
        <v>1</v>
      </c>
      <c r="CU167" s="347"/>
      <c r="CV167" s="1363"/>
      <c r="CW167" s="347"/>
      <c r="CX167" s="347"/>
      <c r="CY167" s="347"/>
      <c r="CZ167" s="354"/>
      <c r="DA167" s="354"/>
      <c r="DB167" s="354"/>
      <c r="DC167" s="354"/>
      <c r="DD167" s="354"/>
      <c r="DE167" s="354"/>
    </row>
    <row r="168" spans="1:121" s="399" customFormat="1">
      <c r="A168" s="769"/>
      <c r="B168" s="414" t="s">
        <v>272</v>
      </c>
      <c r="C168" s="443"/>
      <c r="D168" s="443"/>
      <c r="E168" s="443"/>
      <c r="F168" s="443"/>
      <c r="G168" s="443"/>
      <c r="H168" s="443"/>
      <c r="I168" s="443"/>
      <c r="J168" s="443"/>
      <c r="K168" s="443"/>
      <c r="L168" s="443"/>
      <c r="M168" s="443"/>
      <c r="N168" s="443"/>
      <c r="O168" s="443"/>
      <c r="P168" s="443"/>
      <c r="Q168" s="443"/>
      <c r="R168" s="443"/>
      <c r="S168" s="443"/>
      <c r="T168" s="443"/>
      <c r="U168" s="443"/>
      <c r="V168" s="443"/>
      <c r="W168" s="443"/>
      <c r="X168" s="443"/>
      <c r="Y168" s="443"/>
      <c r="Z168" s="443"/>
      <c r="AA168" s="443"/>
      <c r="AB168" s="443"/>
      <c r="AC168" s="443"/>
      <c r="AD168" s="678">
        <f>AD158*1000/AD165/AD153</f>
        <v>1.1651026392961878</v>
      </c>
      <c r="AE168" s="678">
        <f>AE158*1000/AVERAGE(AE165,AD165)/AE153</f>
        <v>1.4228465937232648</v>
      </c>
      <c r="AF168" s="678">
        <f>AF158*1000/AVERAGE(AF165,AE165)/AF153</f>
        <v>1.3658306840927823</v>
      </c>
      <c r="AG168" s="678">
        <v>0</v>
      </c>
      <c r="AH168" s="678"/>
      <c r="AI168" s="678"/>
      <c r="AJ168" s="678"/>
      <c r="AK168" s="678"/>
      <c r="AL168" s="678"/>
      <c r="AM168" s="678">
        <f>AM158*1000/AVERAGE(AM165,AL165)/AM153</f>
        <v>0.50476190476190474</v>
      </c>
      <c r="AN168" s="678">
        <f>AN158*1000/AVERAGE(AN165,AM165)/AN153</f>
        <v>0.57059119496855348</v>
      </c>
      <c r="AO168" s="678">
        <f>AO158*1000/AVERAGE(AO165,AN165)/AO153</f>
        <v>0.61588771929824582</v>
      </c>
      <c r="AP168" s="678">
        <f>AP158*1000/AVERAGE(AP165,AO165)/AP153</f>
        <v>0.80971851851851884</v>
      </c>
      <c r="AQ168" s="678">
        <f>AQ158*1000/AVERAGE(AQ165,AL165)/AQ153</f>
        <v>0.69</v>
      </c>
      <c r="AR168" s="678">
        <f t="shared" ref="AR168:BE168" si="683">AR158*1000/AVERAGE(AR165,AQ165)/AR153</f>
        <v>1.2227101449275362</v>
      </c>
      <c r="AS168" s="678">
        <f t="shared" si="683"/>
        <v>1.5844771929824562</v>
      </c>
      <c r="AT168" s="678">
        <f t="shared" si="683"/>
        <v>1.625527386541471</v>
      </c>
      <c r="AU168" s="678">
        <f t="shared" si="683"/>
        <v>1.9739386296763344</v>
      </c>
      <c r="AV168" s="678">
        <f t="shared" si="683"/>
        <v>1.3873724841466777</v>
      </c>
      <c r="AW168" s="678">
        <f t="shared" si="683"/>
        <v>2.4518147352793025</v>
      </c>
      <c r="AX168" s="678">
        <f t="shared" si="683"/>
        <v>3.0072245635159542</v>
      </c>
      <c r="AY168" s="678">
        <f t="shared" si="683"/>
        <v>3.129078014184397</v>
      </c>
      <c r="AZ168" s="678">
        <f t="shared" si="683"/>
        <v>3.4462222222222234</v>
      </c>
      <c r="BA168" s="678">
        <f t="shared" si="683"/>
        <v>2.7186684073107052</v>
      </c>
      <c r="BB168" s="678">
        <f t="shared" si="683"/>
        <v>2.999281609195402</v>
      </c>
      <c r="BC168" s="678">
        <f t="shared" si="683"/>
        <v>3.2153941651148354</v>
      </c>
      <c r="BD168" s="678">
        <f t="shared" si="683"/>
        <v>3.7234706616729087</v>
      </c>
      <c r="BE168" s="678">
        <f t="shared" si="683"/>
        <v>4.0974264705882355</v>
      </c>
      <c r="BF168" s="679">
        <f>AVERAGE(BB168:BE168)</f>
        <v>3.5088932266428454</v>
      </c>
      <c r="BG168" s="678">
        <f>BG158*1000/AVERAGE(BG165,BF165)/BG153</f>
        <v>4.3054545454545456</v>
      </c>
      <c r="BH168" s="678">
        <f>BH158*1000/AVERAGE(BH165,BG165)/BH153</f>
        <v>4.8988361683079686</v>
      </c>
      <c r="BI168" s="678">
        <f>BI158*1000/AVERAGE(BI165,BH165)/BI153</f>
        <v>5.0841510556051128</v>
      </c>
      <c r="BJ168" s="678">
        <f>BJ158*1000/AVERAGE(BJ165,BI165)/BJ153</f>
        <v>5.5513963161021982</v>
      </c>
      <c r="BK168" s="679">
        <f>AVERAGE(BG168:BJ168)</f>
        <v>4.9599595213674563</v>
      </c>
      <c r="BL168" s="678">
        <f>BL158*1000/AVERAGE(BL165,BK165)/BL153</f>
        <v>5.9423002644323617</v>
      </c>
      <c r="BM168" s="678">
        <f>BM158*1000/AVERAGE(BM165,BL165)/BM153</f>
        <v>7.3227779776898165</v>
      </c>
      <c r="BN168" s="678">
        <f>BN158*1000/AVERAGE(BN165,BM165)/BN153</f>
        <v>7.5521990226565974</v>
      </c>
      <c r="BO168" s="678">
        <f>BO158*1000/AVERAGE(BO165,BN165)/BO153</f>
        <v>7.9927971885800586</v>
      </c>
      <c r="BP168" s="679">
        <f>AVERAGE(BL168:BO168)</f>
        <v>7.2025186133397092</v>
      </c>
      <c r="BQ168" s="678">
        <f>BQ158*1000/AVERAGE(BQ165,BP165)/BQ153</f>
        <v>8.1416447175885285</v>
      </c>
      <c r="BR168" s="678">
        <f>BR158*1000/AVERAGE(BR165,BQ165)/BR153</f>
        <v>9.2924277354140816</v>
      </c>
      <c r="BS168" s="678">
        <f>BS158*1000/AVERAGE(BS165,BR165)/BS153</f>
        <v>10.004357298474945</v>
      </c>
      <c r="BT168" s="678">
        <f>BT158*1000/AVERAGE(BT165,BS165)/BT153</f>
        <v>10.728564443293928</v>
      </c>
      <c r="BU168" s="679">
        <f>AVERAGE(BQ168:BT168)</f>
        <v>9.5417485486928708</v>
      </c>
      <c r="BV168" s="678">
        <f>BV158*1000/AVERAGE(BV165,BU165)/BV153</f>
        <v>10.773648942650771</v>
      </c>
      <c r="BW168" s="678">
        <f t="shared" ref="BW168:BY168" si="684">BW158*1000/AVERAGE(BW165,BV165)/BW153</f>
        <v>11.573141906679504</v>
      </c>
      <c r="BX168" s="678">
        <f t="shared" si="684"/>
        <v>11.89915379917997</v>
      </c>
      <c r="BY168" s="678">
        <f t="shared" si="684"/>
        <v>12.219321148825065</v>
      </c>
      <c r="BZ168" s="679">
        <f>AVERAGE(BV168:BY168)</f>
        <v>11.616316449333828</v>
      </c>
      <c r="CA168" s="678">
        <f>CA158*1000/AVERAGE(CA165,BZ165)/CA153</f>
        <v>12.732524552281918</v>
      </c>
      <c r="CB168" s="678">
        <f>CB158*1000/AVERAGE(CB165,CA165)/CB153</f>
        <v>14.104112740868565</v>
      </c>
      <c r="CC168" s="678">
        <f>CC158*1000/AVERAGE(CC165,CB165)/CC153</f>
        <v>14.158730158730158</v>
      </c>
      <c r="CD168" s="678">
        <f>CD158*1000/AVERAGE(CD165,CC165)/CD153</f>
        <v>14.660869565217391</v>
      </c>
      <c r="CE168" s="679">
        <f>AVERAGE(CA168:CD168)</f>
        <v>13.914059254274507</v>
      </c>
      <c r="CF168" s="678">
        <f>CF158*1000/AVERAGE(CF165,CE165)/CF153</f>
        <v>15.111497248769185</v>
      </c>
      <c r="CG168" s="678">
        <f>CG158*1000/AVERAGE(CG165,CF165)/CG153</f>
        <v>15.274188917599771</v>
      </c>
      <c r="CH168" s="678">
        <f>CH158*1000/AVERAGE(CH165,CG165)/CH153</f>
        <v>14.540278963848563</v>
      </c>
      <c r="CI168" s="678">
        <f>CI158*1000/AVERAGE(CI165,CH165)/CI153</f>
        <v>15.468483816013629</v>
      </c>
      <c r="CJ168" s="679">
        <f>AVERAGE(CF168:CI168)</f>
        <v>15.098612236557788</v>
      </c>
      <c r="CK168" s="678">
        <f>CK158*1000/AVERAGE(CK165,CJ165)/CK153</f>
        <v>16.131407533276693</v>
      </c>
      <c r="CL168" s="678">
        <f>CL158*1000/AVERAGE(CL165,CK165)/CL153</f>
        <v>17.983510011778563</v>
      </c>
      <c r="CM168" s="678">
        <f>CM158*1000/AVERAGE(CM165,CL165)/CM153</f>
        <v>16.041923551171394</v>
      </c>
      <c r="CN168" s="678"/>
      <c r="CO168" s="679">
        <f>CJ168*(1+CO169)</f>
        <v>16.293866705634038</v>
      </c>
      <c r="CP168" s="679">
        <f t="shared" ref="CP168:CR168" si="685">CO168*(1+CP169)</f>
        <v>17.454753880162446</v>
      </c>
      <c r="CQ168" s="679">
        <f t="shared" si="685"/>
        <v>18.573990968085948</v>
      </c>
      <c r="CR168" s="679">
        <f t="shared" si="685"/>
        <v>19.645895489597311</v>
      </c>
      <c r="CS168" s="679">
        <f t="shared" ref="CS168" si="686">CR168*(1+CS169)</f>
        <v>20.666283182073304</v>
      </c>
      <c r="CT168" s="679">
        <f t="shared" ref="CT168" si="687">CS168*(1+CT169)</f>
        <v>21.632330207898093</v>
      </c>
      <c r="CU168" s="364" t="s">
        <v>615</v>
      </c>
      <c r="CV168" s="1362"/>
      <c r="CW168" s="364"/>
      <c r="CX168" s="364"/>
      <c r="CY168" s="364"/>
      <c r="CZ168" s="365"/>
      <c r="DA168" s="365"/>
      <c r="DB168" s="365"/>
      <c r="DC168" s="365"/>
      <c r="DD168" s="365"/>
      <c r="DE168" s="365"/>
    </row>
    <row r="169" spans="1:121">
      <c r="B169" s="407" t="s">
        <v>269</v>
      </c>
      <c r="C169" s="367"/>
      <c r="D169" s="367"/>
      <c r="E169" s="367"/>
      <c r="F169" s="367"/>
      <c r="G169" s="367"/>
      <c r="H169" s="367"/>
      <c r="I169" s="367"/>
      <c r="J169" s="367"/>
      <c r="K169" s="367"/>
      <c r="L169" s="367"/>
      <c r="M169" s="367"/>
      <c r="N169" s="367"/>
      <c r="O169" s="367"/>
      <c r="P169" s="367"/>
      <c r="Q169" s="367"/>
      <c r="R169" s="367"/>
      <c r="S169" s="367"/>
      <c r="T169" s="367"/>
      <c r="U169" s="367"/>
      <c r="V169" s="367"/>
      <c r="W169" s="367"/>
      <c r="X169" s="36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f>AR168/AM168-1</f>
        <v>1.4223502871205906</v>
      </c>
      <c r="AS169" s="367">
        <f>AS168/AN168-1</f>
        <v>1.7769043878599988</v>
      </c>
      <c r="AT169" s="367">
        <f>AT168/AO168-1</f>
        <v>1.6393242398040146</v>
      </c>
      <c r="AU169" s="367">
        <f t="shared" ref="AU169:BA169" si="688">AU168/AP168-1</f>
        <v>1.4378084291414028</v>
      </c>
      <c r="AV169" s="367">
        <f t="shared" si="688"/>
        <v>1.0106847596328663</v>
      </c>
      <c r="AW169" s="367">
        <f t="shared" si="688"/>
        <v>1.0052297312251457</v>
      </c>
      <c r="AX169" s="367">
        <f t="shared" si="688"/>
        <v>0.89792858921210805</v>
      </c>
      <c r="AY169" s="367">
        <f t="shared" si="688"/>
        <v>0.92496173247621072</v>
      </c>
      <c r="AZ169" s="367">
        <f t="shared" si="688"/>
        <v>0.7458608745031241</v>
      </c>
      <c r="BA169" s="367">
        <f t="shared" si="688"/>
        <v>0.95958074588949294</v>
      </c>
      <c r="BB169" s="367">
        <f>BB168/AW168-1</f>
        <v>0.22329047380235023</v>
      </c>
      <c r="BC169" s="367">
        <f>BC168/AX168-1</f>
        <v>6.9223164815964244E-2</v>
      </c>
      <c r="BD169" s="367">
        <f>BD168/AY168-1</f>
        <v>0.18995775905684531</v>
      </c>
      <c r="BE169" s="367">
        <f>BE168/AZ168-1</f>
        <v>0.18896176925761243</v>
      </c>
      <c r="BF169" s="367">
        <f>AVERAGE(BB169:BE169)</f>
        <v>0.16785829173319305</v>
      </c>
      <c r="BG169" s="367">
        <f>BG168/BB168-1</f>
        <v>0.43549526401741989</v>
      </c>
      <c r="BH169" s="367">
        <f>BH168/BC168-1</f>
        <v>0.52355696276913855</v>
      </c>
      <c r="BI169" s="367">
        <f>BI168/BD168-1</f>
        <v>0.36543335977860703</v>
      </c>
      <c r="BJ169" s="367">
        <f>BJ168/BE168-1</f>
        <v>0.35484952712408968</v>
      </c>
      <c r="BK169" s="367">
        <f>AVERAGE(BG169:BJ169)</f>
        <v>0.41983377842231379</v>
      </c>
      <c r="BL169" s="367">
        <f>BL168/BG168-1</f>
        <v>0.38017953776934066</v>
      </c>
      <c r="BM169" s="367">
        <f>BM168/BH168-1</f>
        <v>0.4947995250510826</v>
      </c>
      <c r="BN169" s="367">
        <f>BN168/BI168-1</f>
        <v>0.48543954340824347</v>
      </c>
      <c r="BO169" s="367">
        <f>BO168/BJ168-1</f>
        <v>0.4397814051568274</v>
      </c>
      <c r="BP169" s="367">
        <f>AVERAGE(BL169:BO169)</f>
        <v>0.45005000284637353</v>
      </c>
      <c r="BQ169" s="367">
        <f>BQ168/BL168-1</f>
        <v>0.37011668129938546</v>
      </c>
      <c r="BR169" s="367">
        <f>BR168/BM168-1</f>
        <v>0.26897575806956908</v>
      </c>
      <c r="BS169" s="367">
        <f>BS168/BN168-1</f>
        <v>0.32469460463924116</v>
      </c>
      <c r="BT169" s="367">
        <f>BT168/BO168-1</f>
        <v>0.34227907829597837</v>
      </c>
      <c r="BU169" s="367">
        <f>AVERAGE(BQ169:BT169)</f>
        <v>0.32651653057604352</v>
      </c>
      <c r="BV169" s="367">
        <f>BV168/BQ168-1</f>
        <v>0.32327672311422306</v>
      </c>
      <c r="BW169" s="367">
        <f t="shared" ref="BW169:BY169" si="689">BW168/BR168-1</f>
        <v>0.24543792388865882</v>
      </c>
      <c r="BX169" s="367">
        <f t="shared" si="689"/>
        <v>0.18939712409050657</v>
      </c>
      <c r="BY169" s="367">
        <f t="shared" si="689"/>
        <v>0.13895211362252291</v>
      </c>
      <c r="BZ169" s="367">
        <f>AVERAGE(BV169:BY169)</f>
        <v>0.22426597117897784</v>
      </c>
      <c r="CA169" s="367">
        <f>CA168/BV168-1</f>
        <v>0.18182099862901047</v>
      </c>
      <c r="CB169" s="367">
        <f>CB168/BW168-1</f>
        <v>0.21869349348669931</v>
      </c>
      <c r="CC169" s="367">
        <f>CC168/BX168-1</f>
        <v>0.18989386957128884</v>
      </c>
      <c r="CD169" s="367">
        <f>CD168/BY168-1</f>
        <v>0.19981047937569674</v>
      </c>
      <c r="CE169" s="367">
        <f>AVERAGE(CA169:CD169)</f>
        <v>0.19755471026567384</v>
      </c>
      <c r="CF169" s="367">
        <f>CF168/CA168-1</f>
        <v>0.1868421841025163</v>
      </c>
      <c r="CG169" s="367">
        <f>CG168/CB168-1</f>
        <v>8.2959927946460121E-2</v>
      </c>
      <c r="CH169" s="367">
        <f>CH168/CC168-1</f>
        <v>2.6947953724730356E-2</v>
      </c>
      <c r="CI169" s="367">
        <f>CI168/CD168-1</f>
        <v>5.5086381282068331E-2</v>
      </c>
      <c r="CJ169" s="367">
        <f>AVERAGE(CF169:CI169)</f>
        <v>8.7959111763943776E-2</v>
      </c>
      <c r="CK169" s="367">
        <f>CK168/CF168-1</f>
        <v>6.7492338298283494E-2</v>
      </c>
      <c r="CL169" s="367">
        <f>CL168/CG168-1</f>
        <v>0.1773790483275326</v>
      </c>
      <c r="CM169" s="367">
        <f>CM168/CH168-1</f>
        <v>0.10327481274990413</v>
      </c>
      <c r="CN169" s="367"/>
      <c r="CO169" s="1336">
        <f>CJ169*0.9</f>
        <v>7.9163200587549401E-2</v>
      </c>
      <c r="CP169" s="1336">
        <f t="shared" ref="CP169:CT169" si="690">CO169*0.9</f>
        <v>7.1246880528794465E-2</v>
      </c>
      <c r="CQ169" s="1336">
        <f t="shared" si="690"/>
        <v>6.4122192475915024E-2</v>
      </c>
      <c r="CR169" s="1336">
        <f t="shared" si="690"/>
        <v>5.7709973228323524E-2</v>
      </c>
      <c r="CS169" s="1336">
        <f t="shared" si="690"/>
        <v>5.1938975905491173E-2</v>
      </c>
      <c r="CT169" s="1336">
        <f t="shared" si="690"/>
        <v>4.6745078314942054E-2</v>
      </c>
      <c r="CU169" s="347"/>
      <c r="CV169" s="1363"/>
      <c r="CW169" s="347"/>
      <c r="CX169" s="347"/>
      <c r="CY169" s="347"/>
      <c r="CZ169" s="354"/>
      <c r="DA169" s="354"/>
      <c r="DB169" s="354"/>
      <c r="DC169" s="354"/>
      <c r="DD169" s="354"/>
      <c r="DE169" s="354"/>
    </row>
    <row r="170" spans="1:121">
      <c r="B170" s="407"/>
      <c r="C170" s="367"/>
      <c r="D170" s="367"/>
      <c r="E170" s="367"/>
      <c r="F170" s="367"/>
      <c r="G170" s="367"/>
      <c r="H170" s="367"/>
      <c r="I170" s="367"/>
      <c r="J170" s="367"/>
      <c r="K170" s="367"/>
      <c r="L170" s="367"/>
      <c r="M170" s="367"/>
      <c r="N170" s="367"/>
      <c r="O170" s="367"/>
      <c r="P170" s="367"/>
      <c r="Q170" s="367"/>
      <c r="R170" s="367"/>
      <c r="S170" s="367"/>
      <c r="T170" s="367"/>
      <c r="U170" s="367"/>
      <c r="V170" s="367"/>
      <c r="W170" s="367"/>
      <c r="X170" s="367"/>
      <c r="Y170" s="367"/>
      <c r="Z170" s="367"/>
      <c r="AA170" s="367"/>
      <c r="AB170" s="367"/>
      <c r="AC170" s="367"/>
      <c r="AD170" s="367"/>
      <c r="AE170" s="367"/>
      <c r="AF170" s="367"/>
      <c r="AG170" s="367"/>
      <c r="AH170" s="367"/>
      <c r="AI170" s="367"/>
      <c r="AJ170" s="367"/>
      <c r="AK170" s="367"/>
      <c r="AL170" s="367"/>
      <c r="AM170" s="367"/>
      <c r="AN170" s="367"/>
      <c r="AO170" s="367"/>
      <c r="AP170" s="367"/>
      <c r="AQ170" s="367"/>
      <c r="AR170" s="367"/>
      <c r="AS170" s="367"/>
      <c r="AT170" s="367"/>
      <c r="AU170" s="367"/>
      <c r="AV170" s="367"/>
      <c r="AW170" s="367"/>
      <c r="AX170" s="367"/>
      <c r="AY170" s="367"/>
      <c r="AZ170" s="367"/>
      <c r="BA170" s="367"/>
      <c r="BB170" s="367"/>
      <c r="BC170" s="367"/>
      <c r="BD170" s="367"/>
      <c r="BE170" s="367"/>
      <c r="BF170" s="367"/>
      <c r="BG170" s="367"/>
      <c r="BH170" s="367"/>
      <c r="BI170" s="367"/>
      <c r="BJ170" s="367"/>
      <c r="BK170" s="367"/>
      <c r="BL170" s="367"/>
      <c r="BM170" s="367"/>
      <c r="BN170" s="367"/>
      <c r="BO170" s="367"/>
      <c r="BP170" s="367"/>
      <c r="BQ170" s="367"/>
      <c r="BR170" s="367"/>
      <c r="BS170" s="367"/>
      <c r="BT170" s="367"/>
      <c r="BU170" s="367"/>
      <c r="BV170" s="367"/>
      <c r="BW170" s="367"/>
      <c r="BX170" s="367"/>
      <c r="BY170" s="367"/>
      <c r="BZ170" s="367"/>
      <c r="CA170" s="367"/>
      <c r="CB170" s="367"/>
      <c r="CC170" s="367"/>
      <c r="CD170" s="367"/>
      <c r="CE170" s="367"/>
      <c r="CF170" s="367"/>
      <c r="CG170" s="367"/>
      <c r="CH170" s="367"/>
      <c r="CI170" s="367"/>
      <c r="CJ170" s="367"/>
      <c r="CK170" s="367"/>
      <c r="CL170" s="367"/>
      <c r="CM170" s="367"/>
      <c r="CN170" s="367"/>
      <c r="CO170" s="367"/>
      <c r="CP170" s="367"/>
      <c r="CQ170" s="367"/>
      <c r="CR170" s="367"/>
      <c r="CS170" s="367"/>
      <c r="CT170" s="367"/>
      <c r="CU170" s="347"/>
      <c r="CV170" s="1363"/>
      <c r="CW170" s="347"/>
      <c r="CX170" s="347"/>
      <c r="CY170" s="347"/>
      <c r="CZ170" s="354"/>
      <c r="DA170" s="354"/>
      <c r="DB170" s="354"/>
      <c r="DC170" s="354"/>
      <c r="DD170" s="354"/>
      <c r="DE170" s="354"/>
    </row>
    <row r="171" spans="1:121" s="391" customFormat="1">
      <c r="A171" s="881"/>
      <c r="B171" s="407" t="s">
        <v>273</v>
      </c>
      <c r="C171" s="392"/>
      <c r="D171" s="392"/>
      <c r="E171" s="392"/>
      <c r="F171" s="392"/>
      <c r="G171" s="392"/>
      <c r="H171" s="392"/>
      <c r="I171" s="392"/>
      <c r="J171" s="392"/>
      <c r="K171" s="392"/>
      <c r="L171" s="392"/>
      <c r="M171" s="392"/>
      <c r="N171" s="392"/>
      <c r="O171" s="392"/>
      <c r="P171" s="392"/>
      <c r="Q171" s="392"/>
      <c r="R171" s="392"/>
      <c r="S171" s="392"/>
      <c r="T171" s="392"/>
      <c r="U171" s="392"/>
      <c r="V171" s="392"/>
      <c r="W171" s="392"/>
      <c r="X171" s="392"/>
      <c r="Y171" s="392"/>
      <c r="Z171" s="392"/>
      <c r="AA171" s="392"/>
      <c r="AB171" s="392"/>
      <c r="AC171" s="392"/>
      <c r="AD171" s="392"/>
      <c r="AE171" s="392"/>
      <c r="AF171" s="392"/>
      <c r="AG171" s="392"/>
      <c r="AH171" s="392"/>
      <c r="AI171" s="392"/>
      <c r="AJ171" s="392"/>
      <c r="AK171" s="392"/>
      <c r="AL171" s="392"/>
      <c r="AM171" s="392"/>
      <c r="AN171" s="392"/>
      <c r="AO171" s="392"/>
      <c r="AP171" s="392"/>
      <c r="AQ171" s="392"/>
      <c r="AR171" s="392"/>
      <c r="AS171" s="392"/>
      <c r="AT171" s="392"/>
      <c r="AU171" s="392">
        <f>AU96*AU172</f>
        <v>29295</v>
      </c>
      <c r="AV171" s="392"/>
      <c r="AW171" s="392">
        <f>AW96*AW172</f>
        <v>0</v>
      </c>
      <c r="AX171" s="392">
        <f>AX96*AX172</f>
        <v>0</v>
      </c>
      <c r="AY171" s="392">
        <f>AY96*AY172</f>
        <v>0</v>
      </c>
      <c r="AZ171" s="392">
        <f>AZ96*AZ172</f>
        <v>0</v>
      </c>
      <c r="BA171" s="392"/>
      <c r="BB171" s="392">
        <f>BB96*BB172</f>
        <v>2259253900</v>
      </c>
      <c r="BC171" s="392">
        <f>BC96*BC172</f>
        <v>2210911064</v>
      </c>
      <c r="BD171" s="392">
        <f>BD96*BD172</f>
        <v>2322400080</v>
      </c>
      <c r="BE171" s="392">
        <f>BE96*BE172</f>
        <v>2471893362</v>
      </c>
      <c r="BF171" s="392">
        <f>BE171</f>
        <v>2471893362</v>
      </c>
      <c r="BG171" s="392">
        <f>BG96*BG172</f>
        <v>47350.74</v>
      </c>
      <c r="BH171" s="392">
        <f>BH96*BH172</f>
        <v>49771.92</v>
      </c>
      <c r="BI171" s="392">
        <f>BI96*BI172</f>
        <v>48840</v>
      </c>
      <c r="BJ171" s="392">
        <f>BJ96*BJ172</f>
        <v>49896</v>
      </c>
      <c r="BK171" s="392">
        <f>BJ171</f>
        <v>49896</v>
      </c>
      <c r="BL171" s="392">
        <f>BL96*BL172</f>
        <v>48831.199999999997</v>
      </c>
      <c r="BM171" s="392">
        <f>BM96*BM172</f>
        <v>49546.3</v>
      </c>
      <c r="BN171" s="392">
        <f>BN96*BN172</f>
        <v>51192</v>
      </c>
      <c r="BO171" s="392">
        <f>BO96*BO172</f>
        <v>52679.9</v>
      </c>
      <c r="BP171" s="392">
        <f>BO171</f>
        <v>52679.9</v>
      </c>
      <c r="BQ171" s="392">
        <f>BQ96*BQ172</f>
        <v>51529.200000000004</v>
      </c>
      <c r="BR171" s="392">
        <f>BR96*BR172</f>
        <v>52228.4</v>
      </c>
      <c r="BS171" s="392">
        <f>BS96*BS172</f>
        <v>53341.600000000006</v>
      </c>
      <c r="BT171" s="392">
        <f>BT96*BT172</f>
        <v>53277.200000000004</v>
      </c>
      <c r="BU171" s="392">
        <f>BT171</f>
        <v>53277.200000000004</v>
      </c>
      <c r="BV171" s="392">
        <f>BV96*BV172</f>
        <v>53010</v>
      </c>
      <c r="BW171" s="392">
        <f>BW96*BW172</f>
        <v>52651.600000000006</v>
      </c>
      <c r="BX171" s="392">
        <f>BX96*BX172</f>
        <v>52808</v>
      </c>
      <c r="BY171" s="392">
        <f>BY96*BY172</f>
        <v>52900</v>
      </c>
      <c r="BZ171" s="392">
        <f>BY171</f>
        <v>52900</v>
      </c>
      <c r="CA171" s="392">
        <f>CA96*CA172</f>
        <v>53847</v>
      </c>
      <c r="CB171" s="392">
        <f>CB96*CB172</f>
        <v>53940</v>
      </c>
      <c r="CC171" s="392">
        <f>CC96*CC172</f>
        <v>52900</v>
      </c>
      <c r="CD171" s="392">
        <f>CD96*CD172</f>
        <v>52900</v>
      </c>
      <c r="CE171" s="392">
        <f>CD171</f>
        <v>52900</v>
      </c>
      <c r="CF171" s="392">
        <f>CF96*CF172</f>
        <v>52992</v>
      </c>
      <c r="CG171" s="392">
        <f>CG96*CG172</f>
        <v>53820</v>
      </c>
      <c r="CH171" s="392">
        <f>CH96*CH172</f>
        <v>53912</v>
      </c>
      <c r="CI171" s="392">
        <f>CI96*CI172</f>
        <v>54096</v>
      </c>
      <c r="CJ171" s="392">
        <f>CI171</f>
        <v>54096</v>
      </c>
      <c r="CK171" s="392">
        <f>CK96*CK172</f>
        <v>54188</v>
      </c>
      <c r="CL171" s="392">
        <f>CL96*CL172</f>
        <v>75992</v>
      </c>
      <c r="CM171" s="392">
        <f>CM96*CM172</f>
        <v>73232</v>
      </c>
      <c r="CN171" s="392"/>
      <c r="CO171" s="392"/>
      <c r="CP171" s="392"/>
      <c r="CQ171" s="392"/>
      <c r="CR171" s="392"/>
      <c r="CS171" s="392"/>
      <c r="CT171" s="392"/>
      <c r="CV171" s="1370"/>
      <c r="CY171" s="392"/>
      <c r="CZ171" s="392"/>
      <c r="DA171" s="392"/>
      <c r="DB171" s="392"/>
      <c r="DC171" s="392"/>
      <c r="DD171" s="392"/>
      <c r="DE171" s="392"/>
      <c r="DF171" s="392"/>
      <c r="DG171" s="392"/>
      <c r="DH171" s="392"/>
      <c r="DI171" s="392"/>
      <c r="DJ171" s="392"/>
      <c r="DK171" s="392"/>
      <c r="DL171" s="392"/>
      <c r="DM171" s="392"/>
      <c r="DN171" s="392"/>
      <c r="DO171" s="392"/>
      <c r="DP171" s="392"/>
      <c r="DQ171" s="392"/>
    </row>
    <row r="172" spans="1:121">
      <c r="B172" s="407" t="s">
        <v>274</v>
      </c>
      <c r="C172" s="367"/>
      <c r="D172" s="367"/>
      <c r="E172" s="367"/>
      <c r="F172" s="367"/>
      <c r="G172" s="367"/>
      <c r="H172" s="367"/>
      <c r="I172" s="367"/>
      <c r="J172" s="367"/>
      <c r="K172" s="367"/>
      <c r="L172" s="367"/>
      <c r="M172" s="367"/>
      <c r="N172" s="367"/>
      <c r="O172" s="367"/>
      <c r="P172" s="367"/>
      <c r="Q172" s="367"/>
      <c r="R172" s="367"/>
      <c r="S172" s="367"/>
      <c r="T172" s="367"/>
      <c r="U172" s="367"/>
      <c r="V172" s="367"/>
      <c r="W172" s="367"/>
      <c r="X172" s="367"/>
      <c r="Y172" s="367"/>
      <c r="Z172" s="367"/>
      <c r="AA172" s="367"/>
      <c r="AB172" s="367"/>
      <c r="AC172" s="367"/>
      <c r="AD172" s="367"/>
      <c r="AE172" s="367"/>
      <c r="AF172" s="367"/>
      <c r="AG172" s="367"/>
      <c r="AH172" s="367"/>
      <c r="AI172" s="367"/>
      <c r="AJ172" s="367"/>
      <c r="AK172" s="367"/>
      <c r="AL172" s="367"/>
      <c r="AM172" s="367"/>
      <c r="AN172" s="367"/>
      <c r="AO172" s="367"/>
      <c r="AP172" s="367"/>
      <c r="AQ172" s="367"/>
      <c r="AR172" s="367"/>
      <c r="AS172" s="367"/>
      <c r="AT172" s="367"/>
      <c r="AU172" s="445">
        <v>0.63</v>
      </c>
      <c r="AV172" s="367"/>
      <c r="AW172" s="445"/>
      <c r="AX172" s="445"/>
      <c r="AY172" s="445"/>
      <c r="AZ172" s="445"/>
      <c r="BA172" s="367"/>
      <c r="BB172" s="446">
        <f>'[16]Domestic Mobile Operations'!X68</f>
        <v>41454.199999999997</v>
      </c>
      <c r="BC172" s="446">
        <f>'[16]Domestic Mobile Operations'!Y68</f>
        <v>41794.160000000003</v>
      </c>
      <c r="BD172" s="446">
        <f>'[16]Domestic Mobile Operations'!Z68</f>
        <v>43087.200000000004</v>
      </c>
      <c r="BE172" s="446">
        <f>'[16]Domestic Mobile Operations'!AA68</f>
        <v>45025.38</v>
      </c>
      <c r="BF172" s="367">
        <f>AVERAGE(BB172:BE172)</f>
        <v>42840.235000000001</v>
      </c>
      <c r="BG172" s="446">
        <f>'[16]Domestic Mobile Operations'!AB69</f>
        <v>0.85936007259528124</v>
      </c>
      <c r="BH172" s="446">
        <f>'[16]Domestic Mobile Operations'!AC69</f>
        <v>0.87936254416961124</v>
      </c>
      <c r="BI172" s="446">
        <f>'[16]Domestic Mobile Operations'!AD69</f>
        <v>0.88</v>
      </c>
      <c r="BJ172" s="446">
        <f>'[16]Domestic Mobile Operations'!AE69</f>
        <v>0.88</v>
      </c>
      <c r="BK172" s="367">
        <f>AVERAGE(BG172:BJ172)</f>
        <v>0.87468065419122309</v>
      </c>
      <c r="BL172" s="446">
        <f>'[16]Domestic Mobile Operations'!AF69</f>
        <v>0.87999999999999989</v>
      </c>
      <c r="BM172" s="446">
        <f>'[16]Domestic Mobile Operations'!AG69</f>
        <v>0.89</v>
      </c>
      <c r="BN172" s="446">
        <f>'[16]Domestic Mobile Operations'!AH69</f>
        <v>0.9</v>
      </c>
      <c r="BO172" s="446">
        <f>'[16]Domestic Mobile Operations'!AI69</f>
        <v>0.91</v>
      </c>
      <c r="BP172" s="367">
        <f>AVERAGE(BL172:BO172)</f>
        <v>0.89500000000000002</v>
      </c>
      <c r="BQ172" s="446">
        <f>'[16]Domestic Mobile Operations'!AJ69</f>
        <v>0.92</v>
      </c>
      <c r="BR172" s="446">
        <f>'[16]Domestic Mobile Operations'!AK69</f>
        <v>0.92</v>
      </c>
      <c r="BS172" s="446">
        <f>'[16]Domestic Mobile Operations'!AL69</f>
        <v>0.92000000000000015</v>
      </c>
      <c r="BT172" s="446">
        <f>'[16]Domestic Mobile Operations'!AM69</f>
        <v>0.92</v>
      </c>
      <c r="BU172" s="367">
        <f>AVERAGE(BQ172:BT172)</f>
        <v>0.92</v>
      </c>
      <c r="BV172" s="446">
        <f>'[16]Domestic Mobile Operations'!AN69</f>
        <v>0.93</v>
      </c>
      <c r="BW172" s="446">
        <f>'[16]Domestic Mobile Operations'!AO69</f>
        <v>0.92000000000000015</v>
      </c>
      <c r="BX172" s="446">
        <f>'[16]Domestic Mobile Operations'!AP69</f>
        <v>0.92</v>
      </c>
      <c r="BY172" s="446">
        <f>'[16]Domestic Mobile Operations'!AQ69</f>
        <v>0.92</v>
      </c>
      <c r="BZ172" s="367">
        <f>AVERAGE(BV172:BY172)</f>
        <v>0.92249999999999999</v>
      </c>
      <c r="CA172" s="446">
        <f>'[16]Domestic Mobile Operations'!AR69</f>
        <v>0.93</v>
      </c>
      <c r="CB172" s="446">
        <f>'[16]Domestic Mobile Operations'!AS69</f>
        <v>0.93</v>
      </c>
      <c r="CC172" s="446">
        <f>'[16]Domestic Mobile Operations'!AT69</f>
        <v>0.92</v>
      </c>
      <c r="CD172" s="446">
        <f>'[16]Domestic Mobile Operations'!AU69</f>
        <v>0.92</v>
      </c>
      <c r="CE172" s="367">
        <f>AVERAGE(CA172:CD172)</f>
        <v>0.92500000000000004</v>
      </c>
      <c r="CF172" s="446">
        <f>'[16]Domestic Mobile Operations'!AV69</f>
        <v>0.92</v>
      </c>
      <c r="CG172" s="446">
        <f>'[16]Domestic Mobile Operations'!AW69</f>
        <v>0.92</v>
      </c>
      <c r="CH172" s="446">
        <f>'[16]Domestic Mobile Operations'!AX69</f>
        <v>0.92</v>
      </c>
      <c r="CI172" s="446">
        <f>'[16]Domestic Mobile Operations'!AY69</f>
        <v>0.92</v>
      </c>
      <c r="CJ172" s="367">
        <f>AVERAGE(CF172:CI172)</f>
        <v>0.92</v>
      </c>
      <c r="CK172" s="446">
        <f>'[16]Domestic Mobile Operations'!AZ69</f>
        <v>0.92</v>
      </c>
      <c r="CL172" s="446">
        <f>'[16]Domestic Mobile Operations'!BA69</f>
        <v>0.92</v>
      </c>
      <c r="CM172" s="446">
        <f>'[16]Domestic Mobile Operations'!BB69</f>
        <v>0.92</v>
      </c>
      <c r="CN172" s="446"/>
      <c r="CO172" s="367"/>
      <c r="CP172" s="367"/>
      <c r="CQ172" s="367"/>
      <c r="CR172" s="367"/>
      <c r="CS172" s="367"/>
      <c r="CT172" s="367"/>
      <c r="CU172" s="347"/>
      <c r="CV172" s="1363"/>
      <c r="CW172" s="347"/>
      <c r="CX172" s="347"/>
      <c r="CY172" s="347"/>
      <c r="CZ172" s="354"/>
      <c r="DA172" s="354"/>
      <c r="DB172" s="354"/>
      <c r="DC172" s="354"/>
      <c r="DD172" s="354"/>
      <c r="DE172" s="354"/>
    </row>
    <row r="173" spans="1:121">
      <c r="B173" s="407"/>
      <c r="C173" s="367"/>
      <c r="D173" s="367"/>
      <c r="E173" s="367"/>
      <c r="F173" s="367"/>
      <c r="G173" s="367"/>
      <c r="H173" s="367"/>
      <c r="I173" s="367"/>
      <c r="J173" s="367"/>
      <c r="K173" s="367"/>
      <c r="L173" s="367"/>
      <c r="M173" s="367"/>
      <c r="N173" s="367"/>
      <c r="O173" s="367"/>
      <c r="P173" s="367"/>
      <c r="Q173" s="367"/>
      <c r="R173" s="367"/>
      <c r="S173" s="367"/>
      <c r="T173" s="367"/>
      <c r="U173" s="367"/>
      <c r="V173" s="367"/>
      <c r="W173" s="367"/>
      <c r="X173" s="367"/>
      <c r="Y173" s="367"/>
      <c r="Z173" s="367"/>
      <c r="AA173" s="367"/>
      <c r="AB173" s="367"/>
      <c r="AC173" s="367"/>
      <c r="AD173" s="367"/>
      <c r="AE173" s="367"/>
      <c r="AF173" s="367"/>
      <c r="AG173" s="447"/>
      <c r="AH173" s="367"/>
      <c r="AI173" s="367"/>
      <c r="AJ173" s="367"/>
      <c r="AK173" s="367"/>
      <c r="AL173" s="367"/>
      <c r="AM173" s="367"/>
      <c r="AN173" s="367"/>
      <c r="AO173" s="367"/>
      <c r="AP173" s="367"/>
      <c r="AQ173" s="367"/>
      <c r="AR173" s="367"/>
      <c r="AS173" s="367"/>
      <c r="AT173" s="367"/>
      <c r="AU173" s="367"/>
      <c r="AV173" s="367"/>
      <c r="AW173" s="367"/>
      <c r="AX173" s="367"/>
      <c r="AY173" s="367"/>
      <c r="AZ173" s="367"/>
      <c r="BA173" s="367"/>
      <c r="BB173" s="367"/>
      <c r="BC173" s="367"/>
      <c r="BD173" s="367"/>
      <c r="BE173" s="367"/>
      <c r="BF173" s="367"/>
      <c r="BG173" s="367"/>
      <c r="BH173" s="367"/>
      <c r="BI173" s="367"/>
      <c r="BJ173" s="367"/>
      <c r="BK173" s="367"/>
      <c r="BL173" s="367"/>
      <c r="BM173" s="367"/>
      <c r="BN173" s="367"/>
      <c r="BO173" s="367"/>
      <c r="BP173" s="367"/>
      <c r="BQ173" s="367"/>
      <c r="BR173" s="367"/>
      <c r="BS173" s="367"/>
      <c r="BT173" s="367"/>
      <c r="BU173" s="367"/>
      <c r="BV173" s="367"/>
      <c r="BW173" s="367"/>
      <c r="BX173" s="367"/>
      <c r="BY173" s="367"/>
      <c r="BZ173" s="367"/>
      <c r="CA173" s="367"/>
      <c r="CB173" s="367"/>
      <c r="CC173" s="367"/>
      <c r="CD173" s="367"/>
      <c r="CE173" s="367"/>
      <c r="CF173" s="367"/>
      <c r="CG173" s="367"/>
      <c r="CH173" s="367"/>
      <c r="CI173" s="367"/>
      <c r="CJ173" s="367"/>
      <c r="CK173" s="367"/>
      <c r="CL173" s="367"/>
      <c r="CM173" s="367"/>
      <c r="CN173" s="367"/>
      <c r="CO173" s="367"/>
      <c r="CP173" s="367"/>
      <c r="CQ173" s="367"/>
      <c r="CR173" s="367"/>
      <c r="CS173" s="367"/>
      <c r="CT173" s="367"/>
      <c r="CU173" s="347"/>
      <c r="CV173" s="1363"/>
      <c r="CW173" s="347"/>
      <c r="CX173" s="347"/>
      <c r="CY173" s="347"/>
      <c r="CZ173" s="354"/>
      <c r="DA173" s="354"/>
      <c r="DB173" s="354"/>
      <c r="DC173" s="354"/>
      <c r="DD173" s="354"/>
      <c r="DE173" s="354"/>
    </row>
    <row r="174" spans="1:121" s="391" customFormat="1">
      <c r="A174" s="881"/>
      <c r="B174" s="407" t="s">
        <v>529</v>
      </c>
      <c r="C174" s="392"/>
      <c r="D174" s="392"/>
      <c r="E174" s="392"/>
      <c r="F174" s="392"/>
      <c r="G174" s="392"/>
      <c r="H174" s="392"/>
      <c r="I174" s="392"/>
      <c r="J174" s="392"/>
      <c r="K174" s="392"/>
      <c r="L174" s="392"/>
      <c r="M174" s="392"/>
      <c r="N174" s="392"/>
      <c r="O174" s="392"/>
      <c r="P174" s="392"/>
      <c r="Q174" s="392"/>
      <c r="R174" s="392"/>
      <c r="S174" s="392"/>
      <c r="T174" s="392"/>
      <c r="U174" s="392"/>
      <c r="V174" s="392"/>
      <c r="W174" s="392"/>
      <c r="X174" s="392"/>
      <c r="Y174" s="392"/>
      <c r="Z174" s="392"/>
      <c r="AA174" s="392"/>
      <c r="AB174" s="392"/>
      <c r="AC174" s="392">
        <f t="shared" ref="AC174:AZ174" si="691">AC200-AC208</f>
        <v>3751</v>
      </c>
      <c r="AD174" s="392">
        <f t="shared" si="691"/>
        <v>3987</v>
      </c>
      <c r="AE174" s="392">
        <f t="shared" si="691"/>
        <v>4202</v>
      </c>
      <c r="AF174" s="392">
        <f t="shared" si="691"/>
        <v>4152</v>
      </c>
      <c r="AG174" s="392">
        <f t="shared" si="691"/>
        <v>12774</v>
      </c>
      <c r="AH174" s="392">
        <f t="shared" si="691"/>
        <v>3122</v>
      </c>
      <c r="AI174" s="392">
        <f t="shared" si="691"/>
        <v>3483</v>
      </c>
      <c r="AJ174" s="392">
        <f t="shared" si="691"/>
        <v>3452</v>
      </c>
      <c r="AK174" s="392">
        <f t="shared" si="691"/>
        <v>3387</v>
      </c>
      <c r="AL174" s="392">
        <f t="shared" si="691"/>
        <v>13444</v>
      </c>
      <c r="AM174" s="392">
        <f t="shared" si="691"/>
        <v>3095</v>
      </c>
      <c r="AN174" s="392">
        <f t="shared" si="691"/>
        <v>3217</v>
      </c>
      <c r="AO174" s="392">
        <f t="shared" si="691"/>
        <v>3398</v>
      </c>
      <c r="AP174" s="392">
        <f t="shared" si="691"/>
        <v>3267</v>
      </c>
      <c r="AQ174" s="392">
        <f t="shared" si="691"/>
        <v>12977</v>
      </c>
      <c r="AR174" s="392">
        <f t="shared" si="691"/>
        <v>2999</v>
      </c>
      <c r="AS174" s="392">
        <f t="shared" si="691"/>
        <v>2683</v>
      </c>
      <c r="AT174" s="392">
        <f t="shared" si="691"/>
        <v>2416</v>
      </c>
      <c r="AU174" s="392">
        <f t="shared" si="691"/>
        <v>2149</v>
      </c>
      <c r="AV174" s="392">
        <f t="shared" si="691"/>
        <v>10463</v>
      </c>
      <c r="AW174" s="392">
        <f t="shared" si="691"/>
        <v>1949</v>
      </c>
      <c r="AX174" s="392">
        <f t="shared" si="691"/>
        <v>1862</v>
      </c>
      <c r="AY174" s="392">
        <f t="shared" si="691"/>
        <v>1763</v>
      </c>
      <c r="AZ174" s="392">
        <f t="shared" si="691"/>
        <v>1598</v>
      </c>
      <c r="BA174" s="392">
        <f>BA219-BA216-BA208-BA217</f>
        <v>7172</v>
      </c>
      <c r="BB174" s="392">
        <f>BB200-BB208</f>
        <v>1391.4030000000002</v>
      </c>
      <c r="BC174" s="392">
        <f>BC200-BC208</f>
        <v>1315.1270000000004</v>
      </c>
      <c r="BD174" s="392">
        <f>BD200-BD208</f>
        <v>1062.2139999999999</v>
      </c>
      <c r="BE174" s="392">
        <f>BE200-BE208</f>
        <v>981.11599999999999</v>
      </c>
      <c r="BF174" s="392">
        <f>BF219-BF216-BF208</f>
        <v>4280.487000000001</v>
      </c>
      <c r="BG174" s="392">
        <f>BG200-BG208</f>
        <v>780.49099999999999</v>
      </c>
      <c r="BH174" s="392">
        <f>BH200-BH208</f>
        <v>705.20499999999993</v>
      </c>
      <c r="BI174" s="392">
        <f>BI200-BI208</f>
        <v>630.02999999999975</v>
      </c>
      <c r="BJ174" s="392">
        <f>BJ200-BJ208</f>
        <v>580.93100000000049</v>
      </c>
      <c r="BK174" s="392">
        <f>BK219-BK216-BK208</f>
        <v>2410.2710000000006</v>
      </c>
      <c r="BL174" s="392">
        <f>BL200-BL208</f>
        <v>578.19400000000041</v>
      </c>
      <c r="BM174" s="392">
        <f>BM200-BM208</f>
        <v>520.22099999999955</v>
      </c>
      <c r="BN174" s="392">
        <f>BN200-BN208</f>
        <v>465.04100000000017</v>
      </c>
      <c r="BO174" s="392">
        <f>BO200-BO208</f>
        <v>445.29899999999998</v>
      </c>
      <c r="BP174" s="392">
        <f>BP219-BP216-BP208</f>
        <v>1642.0709999999963</v>
      </c>
      <c r="BQ174" s="392">
        <f>BQ200-BQ208</f>
        <v>395.55000000000018</v>
      </c>
      <c r="BR174" s="392">
        <f>BR200-BR208</f>
        <v>383.57300000000032</v>
      </c>
      <c r="BS174" s="392">
        <f>BS200-BS208</f>
        <v>325.80799999999999</v>
      </c>
      <c r="BT174" s="392">
        <f>BT200-BT208</f>
        <v>292.60300000000007</v>
      </c>
      <c r="BU174" s="392">
        <f>BU219-BU216-BU208</f>
        <v>2019.1699999999983</v>
      </c>
      <c r="BV174" s="392">
        <f>BV200-BV208</f>
        <v>571.94200000000001</v>
      </c>
      <c r="BW174" s="392">
        <f>BW200-BW208</f>
        <v>272.73499999999967</v>
      </c>
      <c r="BX174" s="392">
        <f>BX200-BX208</f>
        <v>260.44899999999961</v>
      </c>
      <c r="BY174" s="392">
        <f>BY200-BY208</f>
        <v>467.93099999999959</v>
      </c>
      <c r="BZ174" s="392">
        <f>BZ219-BZ216-BZ208</f>
        <v>2938.0040000000008</v>
      </c>
      <c r="CA174" s="392">
        <f>CA200-CA208</f>
        <v>385.36899999999969</v>
      </c>
      <c r="CB174" s="392">
        <f>CB200-CB208</f>
        <v>384.44200000000001</v>
      </c>
      <c r="CC174" s="392">
        <f>CC200-CC208</f>
        <v>367.33000000000084</v>
      </c>
      <c r="CD174" s="392">
        <f>CD200-CD208</f>
        <v>368.08799999999883</v>
      </c>
      <c r="CE174" s="392">
        <f>CE219-CE216-CE208</f>
        <v>2935.1620000000003</v>
      </c>
      <c r="CF174" s="392">
        <f>CF200-CF208</f>
        <v>405.62800000000061</v>
      </c>
      <c r="CG174" s="392">
        <f>CG200-CG208</f>
        <v>434.21999999999935</v>
      </c>
      <c r="CH174" s="392">
        <f>CH200-CH208</f>
        <v>428.17099999999846</v>
      </c>
      <c r="CI174" s="392">
        <f>CI200-CI208</f>
        <v>405.39900000000125</v>
      </c>
      <c r="CJ174" s="392">
        <f>CJ219-CJ216-CJ208</f>
        <v>0</v>
      </c>
      <c r="CK174" s="392">
        <f>CK200-CK208</f>
        <v>321.52900000000045</v>
      </c>
      <c r="CL174" s="392">
        <f>CL200-CL208</f>
        <v>-9579</v>
      </c>
      <c r="CM174" s="392">
        <f>CM200-CM208</f>
        <v>-10292</v>
      </c>
      <c r="CN174" s="392"/>
      <c r="CO174" s="392">
        <f t="shared" ref="CO174:CT174" si="692">CO219-CO216-CO208</f>
        <v>0</v>
      </c>
      <c r="CP174" s="392">
        <f t="shared" si="692"/>
        <v>0</v>
      </c>
      <c r="CQ174" s="392">
        <f t="shared" si="692"/>
        <v>0</v>
      </c>
      <c r="CR174" s="392">
        <f t="shared" si="692"/>
        <v>0</v>
      </c>
      <c r="CS174" s="392">
        <f t="shared" si="692"/>
        <v>0</v>
      </c>
      <c r="CT174" s="392">
        <f t="shared" si="692"/>
        <v>0</v>
      </c>
      <c r="CV174" s="1370"/>
      <c r="CY174" s="392"/>
      <c r="CZ174" s="392"/>
      <c r="DA174" s="392"/>
      <c r="DB174" s="392"/>
      <c r="DC174" s="392"/>
      <c r="DD174" s="392"/>
      <c r="DE174" s="392"/>
      <c r="DF174" s="392"/>
      <c r="DG174" s="392"/>
      <c r="DH174" s="392"/>
      <c r="DI174" s="392"/>
      <c r="DJ174" s="392"/>
      <c r="DK174" s="392"/>
      <c r="DL174" s="392"/>
      <c r="DM174" s="392"/>
      <c r="DN174" s="392"/>
      <c r="DO174" s="392"/>
      <c r="DP174" s="392"/>
      <c r="DQ174" s="392"/>
    </row>
    <row r="175" spans="1:121">
      <c r="B175" s="407" t="s">
        <v>530</v>
      </c>
      <c r="C175" s="367"/>
      <c r="D175" s="367"/>
      <c r="E175" s="367"/>
      <c r="F175" s="367"/>
      <c r="G175" s="367"/>
      <c r="H175" s="367"/>
      <c r="I175" s="367"/>
      <c r="J175" s="367"/>
      <c r="K175" s="367"/>
      <c r="L175" s="367"/>
      <c r="M175" s="367"/>
      <c r="N175" s="367"/>
      <c r="O175" s="367"/>
      <c r="P175" s="367"/>
      <c r="Q175" s="367"/>
      <c r="R175" s="367"/>
      <c r="S175" s="367"/>
      <c r="T175" s="367"/>
      <c r="U175" s="367"/>
      <c r="V175" s="367"/>
      <c r="W175" s="367"/>
      <c r="X175" s="367"/>
      <c r="Y175" s="367"/>
      <c r="Z175" s="367"/>
      <c r="AA175" s="367"/>
      <c r="AB175" s="367"/>
      <c r="AC175" s="367"/>
      <c r="AD175" s="367"/>
      <c r="AE175" s="367"/>
      <c r="AF175" s="367"/>
      <c r="AG175" s="367"/>
      <c r="AH175" s="367"/>
      <c r="AI175" s="367"/>
      <c r="AJ175" s="367"/>
      <c r="AK175" s="367"/>
      <c r="AL175" s="367"/>
      <c r="AM175" s="367"/>
      <c r="AN175" s="367">
        <f t="shared" ref="AN175:AV175" si="693">AN174/AI174-1</f>
        <v>-7.6370944587998868E-2</v>
      </c>
      <c r="AO175" s="367">
        <f t="shared" si="693"/>
        <v>-1.5643105446118244E-2</v>
      </c>
      <c r="AP175" s="367">
        <f t="shared" si="693"/>
        <v>-3.5429583702391465E-2</v>
      </c>
      <c r="AQ175" s="367">
        <f t="shared" si="693"/>
        <v>-3.4736685510264764E-2</v>
      </c>
      <c r="AR175" s="367">
        <f t="shared" si="693"/>
        <v>-3.1017770597738248E-2</v>
      </c>
      <c r="AS175" s="367">
        <f t="shared" si="693"/>
        <v>-0.16599316133043207</v>
      </c>
      <c r="AT175" s="367">
        <f t="shared" si="693"/>
        <v>-0.28899352560329605</v>
      </c>
      <c r="AU175" s="367">
        <f t="shared" si="693"/>
        <v>-0.3422099785736149</v>
      </c>
      <c r="AV175" s="367">
        <f t="shared" si="693"/>
        <v>-0.19372736379748789</v>
      </c>
      <c r="AW175" s="367">
        <f t="shared" ref="AW175:BF175" si="694">AW174/AR174-1</f>
        <v>-0.35011670556852281</v>
      </c>
      <c r="AX175" s="367">
        <f t="shared" si="694"/>
        <v>-0.3060007454342154</v>
      </c>
      <c r="AY175" s="367">
        <f t="shared" si="694"/>
        <v>-0.27028145695364236</v>
      </c>
      <c r="AZ175" s="367">
        <f t="shared" si="694"/>
        <v>-0.25639832480223357</v>
      </c>
      <c r="BA175" s="367">
        <f t="shared" si="694"/>
        <v>-0.31453693969224883</v>
      </c>
      <c r="BB175" s="367">
        <f t="shared" si="694"/>
        <v>-0.2860938943047715</v>
      </c>
      <c r="BC175" s="367">
        <f t="shared" si="694"/>
        <v>-0.29370193340494066</v>
      </c>
      <c r="BD175" s="367">
        <f t="shared" si="694"/>
        <v>-0.39749631310266598</v>
      </c>
      <c r="BE175" s="367">
        <f t="shared" si="694"/>
        <v>-0.38603504380475595</v>
      </c>
      <c r="BF175" s="367">
        <f t="shared" si="694"/>
        <v>-0.4031668990518682</v>
      </c>
      <c r="BG175" s="367">
        <f t="shared" ref="BG175:BV175" si="695">BG174/BB174-1</f>
        <v>-0.43906186776943856</v>
      </c>
      <c r="BH175" s="367">
        <f t="shared" si="695"/>
        <v>-0.46377422104481192</v>
      </c>
      <c r="BI175" s="367">
        <f t="shared" si="695"/>
        <v>-0.40687093184612533</v>
      </c>
      <c r="BJ175" s="367">
        <f t="shared" si="695"/>
        <v>-0.40788754846521669</v>
      </c>
      <c r="BK175" s="367">
        <f t="shared" si="695"/>
        <v>-0.43691664055982415</v>
      </c>
      <c r="BL175" s="367">
        <f t="shared" si="695"/>
        <v>-0.25919197018287154</v>
      </c>
      <c r="BM175" s="367">
        <f t="shared" si="695"/>
        <v>-0.26231237725200529</v>
      </c>
      <c r="BN175" s="367">
        <f t="shared" si="695"/>
        <v>-0.26187483135723644</v>
      </c>
      <c r="BO175" s="367">
        <f t="shared" si="695"/>
        <v>-0.23347351062346544</v>
      </c>
      <c r="BP175" s="367">
        <f t="shared" si="695"/>
        <v>-0.31871934732650564</v>
      </c>
      <c r="BQ175" s="367">
        <f t="shared" si="695"/>
        <v>-0.31588705520984328</v>
      </c>
      <c r="BR175" s="367">
        <f t="shared" si="695"/>
        <v>-0.26267297936838252</v>
      </c>
      <c r="BS175" s="367">
        <f t="shared" si="695"/>
        <v>-0.29939940779415175</v>
      </c>
      <c r="BT175" s="367">
        <f t="shared" si="695"/>
        <v>-0.34290667618835868</v>
      </c>
      <c r="BU175" s="367">
        <f t="shared" si="695"/>
        <v>0.22964841349734755</v>
      </c>
      <c r="BV175" s="367">
        <f t="shared" si="695"/>
        <v>0.44594109467829535</v>
      </c>
      <c r="BW175" s="367">
        <f t="shared" ref="BW175:CM175" si="696">BW174/BR174-1</f>
        <v>-0.28896194466242553</v>
      </c>
      <c r="BX175" s="367">
        <f t="shared" si="696"/>
        <v>-0.20060587830869836</v>
      </c>
      <c r="BY175" s="367">
        <f t="shared" si="696"/>
        <v>0.59920096513022592</v>
      </c>
      <c r="BZ175" s="367">
        <f t="shared" si="696"/>
        <v>0.45505529499745112</v>
      </c>
      <c r="CA175" s="367">
        <f t="shared" si="696"/>
        <v>-0.3262096506289105</v>
      </c>
      <c r="CB175" s="367">
        <f t="shared" si="696"/>
        <v>0.40958072854602623</v>
      </c>
      <c r="CC175" s="367">
        <f t="shared" si="696"/>
        <v>0.41037208820153426</v>
      </c>
      <c r="CD175" s="367">
        <f t="shared" si="696"/>
        <v>-0.21337120216442351</v>
      </c>
      <c r="CE175" s="367">
        <f t="shared" si="696"/>
        <v>-9.6732339370553255E-4</v>
      </c>
      <c r="CF175" s="367">
        <f t="shared" si="696"/>
        <v>5.2570393570839702E-2</v>
      </c>
      <c r="CG175" s="367">
        <f t="shared" si="696"/>
        <v>0.12948117011148463</v>
      </c>
      <c r="CH175" s="367">
        <f t="shared" si="696"/>
        <v>0.16563035962213135</v>
      </c>
      <c r="CI175" s="367">
        <f t="shared" si="696"/>
        <v>0.10136434765600222</v>
      </c>
      <c r="CJ175" s="367">
        <f t="shared" si="696"/>
        <v>-1</v>
      </c>
      <c r="CK175" s="367">
        <f t="shared" si="696"/>
        <v>-0.20733036180934261</v>
      </c>
      <c r="CL175" s="367">
        <f t="shared" si="696"/>
        <v>-23.060245958270034</v>
      </c>
      <c r="CM175" s="367">
        <f t="shared" si="696"/>
        <v>-25.037125354122622</v>
      </c>
      <c r="CN175" s="367"/>
      <c r="CO175" s="367" t="e">
        <f>CO174/CJ174-1</f>
        <v>#DIV/0!</v>
      </c>
      <c r="CP175" s="367" t="e">
        <f t="shared" ref="CP175:CR175" si="697">CP174/CO174-1</f>
        <v>#DIV/0!</v>
      </c>
      <c r="CQ175" s="367" t="e">
        <f t="shared" si="697"/>
        <v>#DIV/0!</v>
      </c>
      <c r="CR175" s="367" t="e">
        <f t="shared" si="697"/>
        <v>#DIV/0!</v>
      </c>
      <c r="CS175" s="367" t="e">
        <f t="shared" ref="CS175" si="698">CS174/CR174-1</f>
        <v>#DIV/0!</v>
      </c>
      <c r="CT175" s="367" t="e">
        <f t="shared" ref="CT175" si="699">CT174/CS174-1</f>
        <v>#DIV/0!</v>
      </c>
      <c r="CU175" s="347"/>
      <c r="CV175" s="1363"/>
      <c r="CW175" s="347"/>
      <c r="CX175" s="347"/>
      <c r="CY175" s="347"/>
      <c r="CZ175" s="354"/>
      <c r="DA175" s="354"/>
      <c r="DB175" s="354"/>
      <c r="DC175" s="354"/>
      <c r="DD175" s="354"/>
      <c r="DE175" s="354"/>
    </row>
    <row r="178" spans="1:105">
      <c r="B178" s="383" t="s">
        <v>776</v>
      </c>
      <c r="C178" s="556">
        <f>C$4</f>
        <v>2007</v>
      </c>
      <c r="D178" s="556" t="str">
        <f t="shared" ref="D178:BO178" si="700">D$4</f>
        <v>Q1</v>
      </c>
      <c r="E178" s="556" t="str">
        <f t="shared" si="700"/>
        <v>Q2</v>
      </c>
      <c r="F178" s="556" t="str">
        <f t="shared" si="700"/>
        <v>Q3</v>
      </c>
      <c r="G178" s="556" t="str">
        <f t="shared" si="700"/>
        <v>Q4</v>
      </c>
      <c r="H178" s="556">
        <f t="shared" si="700"/>
        <v>2008</v>
      </c>
      <c r="I178" s="556" t="str">
        <f t="shared" si="700"/>
        <v>Q1</v>
      </c>
      <c r="J178" s="556" t="str">
        <f t="shared" si="700"/>
        <v>Q2</v>
      </c>
      <c r="K178" s="556" t="str">
        <f t="shared" si="700"/>
        <v>Q3</v>
      </c>
      <c r="L178" s="556" t="str">
        <f t="shared" si="700"/>
        <v>Q4</v>
      </c>
      <c r="M178" s="556">
        <f t="shared" si="700"/>
        <v>2009</v>
      </c>
      <c r="N178" s="556" t="str">
        <f t="shared" si="700"/>
        <v>Q1</v>
      </c>
      <c r="O178" s="556" t="str">
        <f t="shared" si="700"/>
        <v>Q2</v>
      </c>
      <c r="P178" s="556" t="str">
        <f t="shared" si="700"/>
        <v>Q3</v>
      </c>
      <c r="Q178" s="556" t="str">
        <f t="shared" si="700"/>
        <v>Q4</v>
      </c>
      <c r="R178" s="556">
        <f t="shared" si="700"/>
        <v>2010</v>
      </c>
      <c r="S178" s="556" t="str">
        <f t="shared" si="700"/>
        <v>Q1</v>
      </c>
      <c r="T178" s="556" t="str">
        <f t="shared" si="700"/>
        <v>Q2</v>
      </c>
      <c r="U178" s="556" t="str">
        <f t="shared" si="700"/>
        <v>Q3</v>
      </c>
      <c r="V178" s="556" t="str">
        <f t="shared" si="700"/>
        <v>Q4</v>
      </c>
      <c r="W178" s="556">
        <f t="shared" si="700"/>
        <v>2011</v>
      </c>
      <c r="X178" s="556" t="str">
        <f t="shared" si="700"/>
        <v>Q1</v>
      </c>
      <c r="Y178" s="556" t="str">
        <f t="shared" si="700"/>
        <v>Q2</v>
      </c>
      <c r="Z178" s="556" t="str">
        <f t="shared" si="700"/>
        <v>Q3</v>
      </c>
      <c r="AA178" s="556" t="str">
        <f t="shared" si="700"/>
        <v>Q4</v>
      </c>
      <c r="AB178" s="556">
        <f t="shared" si="700"/>
        <v>2012</v>
      </c>
      <c r="AC178" s="556" t="str">
        <f t="shared" si="700"/>
        <v>Q1</v>
      </c>
      <c r="AD178" s="556" t="str">
        <f t="shared" si="700"/>
        <v>Q2</v>
      </c>
      <c r="AE178" s="556" t="str">
        <f t="shared" si="700"/>
        <v>Q3</v>
      </c>
      <c r="AF178" s="556" t="str">
        <f t="shared" si="700"/>
        <v>Q4</v>
      </c>
      <c r="AG178" s="556">
        <f t="shared" si="700"/>
        <v>2013</v>
      </c>
      <c r="AH178" s="556" t="str">
        <f t="shared" si="700"/>
        <v>Q1</v>
      </c>
      <c r="AI178" s="556" t="str">
        <f t="shared" si="700"/>
        <v>Q2</v>
      </c>
      <c r="AJ178" s="556" t="str">
        <f t="shared" si="700"/>
        <v>Q3</v>
      </c>
      <c r="AK178" s="556" t="str">
        <f t="shared" si="700"/>
        <v>Q4</v>
      </c>
      <c r="AL178" s="556">
        <f t="shared" si="700"/>
        <v>2014</v>
      </c>
      <c r="AM178" s="556" t="str">
        <f t="shared" si="700"/>
        <v>Q1</v>
      </c>
      <c r="AN178" s="556" t="str">
        <f t="shared" si="700"/>
        <v>Q2</v>
      </c>
      <c r="AO178" s="556" t="str">
        <f t="shared" si="700"/>
        <v>Q3</v>
      </c>
      <c r="AP178" s="556" t="str">
        <f t="shared" si="700"/>
        <v>Q4</v>
      </c>
      <c r="AQ178" s="556">
        <f t="shared" si="700"/>
        <v>2015</v>
      </c>
      <c r="AR178" s="556" t="str">
        <f t="shared" si="700"/>
        <v>Q1</v>
      </c>
      <c r="AS178" s="556" t="str">
        <f t="shared" si="700"/>
        <v>Q2</v>
      </c>
      <c r="AT178" s="556" t="str">
        <f t="shared" si="700"/>
        <v>Q3</v>
      </c>
      <c r="AU178" s="556" t="str">
        <f t="shared" si="700"/>
        <v>Q4</v>
      </c>
      <c r="AV178" s="556">
        <f t="shared" si="700"/>
        <v>2016</v>
      </c>
      <c r="AW178" s="556" t="str">
        <f t="shared" si="700"/>
        <v>Q1</v>
      </c>
      <c r="AX178" s="556" t="str">
        <f t="shared" si="700"/>
        <v>Q2</v>
      </c>
      <c r="AY178" s="556" t="str">
        <f t="shared" si="700"/>
        <v>Q3</v>
      </c>
      <c r="AZ178" s="556" t="str">
        <f t="shared" si="700"/>
        <v>Q4</v>
      </c>
      <c r="BA178" s="556">
        <f t="shared" si="700"/>
        <v>2017</v>
      </c>
      <c r="BB178" s="556" t="str">
        <f t="shared" si="700"/>
        <v>Q1</v>
      </c>
      <c r="BC178" s="556" t="str">
        <f t="shared" si="700"/>
        <v>Q2</v>
      </c>
      <c r="BD178" s="556" t="str">
        <f t="shared" si="700"/>
        <v>Q3</v>
      </c>
      <c r="BE178" s="556" t="str">
        <f t="shared" si="700"/>
        <v>Q4</v>
      </c>
      <c r="BF178" s="556">
        <f t="shared" si="700"/>
        <v>2018</v>
      </c>
      <c r="BG178" s="556" t="str">
        <f t="shared" si="700"/>
        <v>Q1</v>
      </c>
      <c r="BH178" s="556" t="str">
        <f t="shared" si="700"/>
        <v>Q2</v>
      </c>
      <c r="BI178" s="556" t="str">
        <f t="shared" si="700"/>
        <v>Q3</v>
      </c>
      <c r="BJ178" s="556" t="str">
        <f t="shared" si="700"/>
        <v>Q4</v>
      </c>
      <c r="BK178" s="556">
        <f t="shared" si="700"/>
        <v>2019</v>
      </c>
      <c r="BL178" s="556" t="str">
        <f t="shared" si="700"/>
        <v>Q1</v>
      </c>
      <c r="BM178" s="556" t="str">
        <f t="shared" si="700"/>
        <v>Q2</v>
      </c>
      <c r="BN178" s="556" t="str">
        <f t="shared" si="700"/>
        <v>Q3</v>
      </c>
      <c r="BO178" s="556" t="str">
        <f t="shared" si="700"/>
        <v>Q4</v>
      </c>
      <c r="BP178" s="556">
        <f t="shared" ref="BP178:CT178" si="701">BP$4</f>
        <v>2020</v>
      </c>
      <c r="BQ178" s="556" t="str">
        <f t="shared" si="701"/>
        <v>Q1</v>
      </c>
      <c r="BR178" s="556" t="str">
        <f t="shared" si="701"/>
        <v>Q2</v>
      </c>
      <c r="BS178" s="556" t="str">
        <f t="shared" si="701"/>
        <v>Q3</v>
      </c>
      <c r="BT178" s="556" t="str">
        <f t="shared" si="701"/>
        <v>Q4</v>
      </c>
      <c r="BU178" s="556">
        <f t="shared" si="701"/>
        <v>2021</v>
      </c>
      <c r="BV178" s="556" t="str">
        <f t="shared" si="701"/>
        <v>Q1</v>
      </c>
      <c r="BW178" s="556" t="str">
        <f t="shared" si="701"/>
        <v>Q2</v>
      </c>
      <c r="BX178" s="556" t="str">
        <f t="shared" si="701"/>
        <v>Q3</v>
      </c>
      <c r="BY178" s="556" t="str">
        <f t="shared" si="701"/>
        <v>Q4</v>
      </c>
      <c r="BZ178" s="556">
        <f t="shared" si="701"/>
        <v>2022</v>
      </c>
      <c r="CA178" s="556" t="str">
        <f t="shared" si="701"/>
        <v>Q1</v>
      </c>
      <c r="CB178" s="556" t="str">
        <f>CB$4</f>
        <v>Q2</v>
      </c>
      <c r="CC178" s="556" t="str">
        <f>CC$4</f>
        <v>Q3</v>
      </c>
      <c r="CD178" s="556" t="str">
        <f>CD$4</f>
        <v>Q4</v>
      </c>
      <c r="CE178" s="556">
        <f t="shared" si="701"/>
        <v>2023</v>
      </c>
      <c r="CF178" s="556" t="str">
        <f>CF$4</f>
        <v>Q1</v>
      </c>
      <c r="CG178" s="556" t="str">
        <f>CG$4</f>
        <v>Q2</v>
      </c>
      <c r="CH178" s="556" t="str">
        <f>CH$4</f>
        <v>Q3</v>
      </c>
      <c r="CI178" s="556" t="str">
        <f>CI$4</f>
        <v>Q4</v>
      </c>
      <c r="CJ178" s="556">
        <f t="shared" si="701"/>
        <v>2024</v>
      </c>
      <c r="CK178" s="556" t="str">
        <f>CK$4</f>
        <v>Q1</v>
      </c>
      <c r="CL178" s="556" t="str">
        <f>CL$4</f>
        <v>Q2</v>
      </c>
      <c r="CM178" s="556" t="str">
        <f>CM$4</f>
        <v>Q3</v>
      </c>
      <c r="CN178" s="556"/>
      <c r="CO178" s="556">
        <f t="shared" si="701"/>
        <v>2025</v>
      </c>
      <c r="CP178" s="556">
        <f t="shared" si="701"/>
        <v>2026</v>
      </c>
      <c r="CQ178" s="556">
        <f t="shared" si="701"/>
        <v>2027</v>
      </c>
      <c r="CR178" s="556">
        <f t="shared" si="701"/>
        <v>2028</v>
      </c>
      <c r="CS178" s="556">
        <f t="shared" si="701"/>
        <v>2029</v>
      </c>
      <c r="CT178" s="556">
        <f t="shared" si="701"/>
        <v>2030</v>
      </c>
      <c r="CU178" s="347"/>
      <c r="CV178" s="1363"/>
      <c r="CW178" s="347"/>
      <c r="CX178" s="347"/>
      <c r="CY178" s="347"/>
      <c r="CZ178" s="347"/>
      <c r="DA178" s="347"/>
    </row>
    <row r="180" spans="1:105" s="354" customFormat="1">
      <c r="A180" s="882"/>
      <c r="B180" s="399" t="s">
        <v>819</v>
      </c>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c r="BR180" s="349"/>
      <c r="BS180" s="349"/>
      <c r="BT180" s="349"/>
      <c r="BU180" s="349"/>
      <c r="BV180" s="676">
        <f>'[16]FBB KPI'!AN4</f>
        <v>99</v>
      </c>
      <c r="BW180" s="676">
        <f>'[16]FBB KPI'!AO4</f>
        <v>102</v>
      </c>
      <c r="BX180" s="676">
        <f>'[16]FBB KPI'!AP4</f>
        <v>112</v>
      </c>
      <c r="BY180" s="676">
        <f>'[16]FBB KPI'!AQ4</f>
        <v>123</v>
      </c>
      <c r="BZ180" s="354">
        <f>BY180</f>
        <v>123</v>
      </c>
      <c r="CA180" s="676">
        <f>'[16]FBB KPI'!AR4</f>
        <v>132</v>
      </c>
      <c r="CB180" s="676">
        <f>'[16]FBB KPI'!AS4</f>
        <v>154</v>
      </c>
      <c r="CC180" s="676">
        <f>'[16]FBB KPI'!AT4</f>
        <v>206</v>
      </c>
      <c r="CD180" s="676">
        <f>'[16]FBB KPI'!AU4</f>
        <v>235</v>
      </c>
      <c r="CE180" s="354">
        <f>CD180</f>
        <v>235</v>
      </c>
      <c r="CF180" s="676">
        <f>'[16]FBB KPI'!AV4</f>
        <v>252</v>
      </c>
      <c r="CG180" s="676">
        <f>'[16]FBB KPI'!AW4</f>
        <v>267</v>
      </c>
      <c r="CH180" s="676">
        <f>'[16]FBB KPI'!AX4</f>
        <v>1000</v>
      </c>
      <c r="CI180" s="676">
        <f>'[16]FBB KPI'!AY4</f>
        <v>1020</v>
      </c>
      <c r="CJ180" s="354">
        <f>CI180</f>
        <v>1020</v>
      </c>
      <c r="CK180" s="676">
        <f>'[16]FBB KPI'!AZ4</f>
        <v>1020</v>
      </c>
      <c r="CL180" s="676">
        <f>'[16]FBB KPI'!BA4</f>
        <v>980</v>
      </c>
      <c r="CM180" s="676">
        <f>'[16]FBB KPI'!BB4</f>
        <v>950</v>
      </c>
      <c r="CN180" s="676"/>
      <c r="CO180" s="677">
        <v>1187.1711227718135</v>
      </c>
      <c r="CP180" s="677">
        <v>1391.4238658499701</v>
      </c>
      <c r="CQ180" s="677">
        <v>1613.0456999187243</v>
      </c>
      <c r="CR180" s="677">
        <v>1787.7128478386901</v>
      </c>
      <c r="CS180" s="677">
        <v>1970.4742776395199</v>
      </c>
      <c r="CT180" s="677">
        <v>2161.4571707609648</v>
      </c>
      <c r="CU180" s="354" t="s">
        <v>1042</v>
      </c>
      <c r="CV180" s="1371"/>
    </row>
    <row r="181" spans="1:105" s="354" customFormat="1">
      <c r="A181" s="882"/>
      <c r="B181" s="349" t="s">
        <v>816</v>
      </c>
      <c r="C181" s="349"/>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c r="BR181" s="349"/>
      <c r="BS181" s="349"/>
      <c r="BT181" s="349"/>
      <c r="BU181" s="349"/>
      <c r="BW181" s="354">
        <f>BW180-BV180</f>
        <v>3</v>
      </c>
      <c r="BX181" s="354">
        <f>BX180-BW180</f>
        <v>10</v>
      </c>
      <c r="BY181" s="354">
        <f>BY180-BX180</f>
        <v>11</v>
      </c>
      <c r="CA181" s="354">
        <f>CA180-BZ180</f>
        <v>9</v>
      </c>
      <c r="CB181" s="354">
        <f>CB180-CA180</f>
        <v>22</v>
      </c>
      <c r="CC181" s="354">
        <f>CC180-CB180</f>
        <v>52</v>
      </c>
      <c r="CD181" s="354">
        <f>CD180-CC180</f>
        <v>29</v>
      </c>
      <c r="CE181" s="354">
        <f>CE180-BZ180</f>
        <v>112</v>
      </c>
      <c r="CF181" s="354">
        <f>CF180-CE180</f>
        <v>17</v>
      </c>
      <c r="CG181" s="354">
        <f>CG180-CF180</f>
        <v>15</v>
      </c>
      <c r="CH181" s="354">
        <f>CH180-CG180</f>
        <v>733</v>
      </c>
      <c r="CI181" s="354">
        <f>CI180-CH180</f>
        <v>20</v>
      </c>
      <c r="CJ181" s="354">
        <f>CJ180-CE180</f>
        <v>785</v>
      </c>
      <c r="CK181" s="354">
        <f>CK180-CJ180</f>
        <v>0</v>
      </c>
      <c r="CL181" s="354">
        <f>CL180-CK180</f>
        <v>-40</v>
      </c>
      <c r="CM181" s="354">
        <f>CM180-CL180</f>
        <v>-30</v>
      </c>
      <c r="CO181" s="354">
        <f>CO180-CJ180</f>
        <v>167.17112277181354</v>
      </c>
      <c r="CP181" s="354">
        <f>CP180-CO180</f>
        <v>204.25274307815653</v>
      </c>
      <c r="CQ181" s="354">
        <f t="shared" ref="CQ181:CT181" si="702">CQ180-CP180</f>
        <v>221.6218340687542</v>
      </c>
      <c r="CR181" s="354">
        <f t="shared" si="702"/>
        <v>174.66714791996583</v>
      </c>
      <c r="CS181" s="354">
        <f t="shared" si="702"/>
        <v>182.76142980082977</v>
      </c>
      <c r="CT181" s="354">
        <f t="shared" si="702"/>
        <v>190.98289312144493</v>
      </c>
      <c r="CV181" s="1371"/>
    </row>
    <row r="183" spans="1:105">
      <c r="B183" s="399" t="s">
        <v>822</v>
      </c>
      <c r="CO183" s="677">
        <v>225.4</v>
      </c>
      <c r="CP183" s="677">
        <v>220.892</v>
      </c>
      <c r="CQ183" s="677">
        <v>216.47415999999998</v>
      </c>
      <c r="CR183" s="677">
        <v>214.30941839999997</v>
      </c>
      <c r="CS183" s="677">
        <v>214.30941839999997</v>
      </c>
      <c r="CT183" s="677">
        <v>214.30941839999997</v>
      </c>
      <c r="CU183" s="354" t="s">
        <v>1042</v>
      </c>
    </row>
    <row r="185" spans="1:105" s="353" customFormat="1">
      <c r="A185" s="883"/>
      <c r="B185" s="349" t="s">
        <v>818</v>
      </c>
      <c r="BT185" s="589">
        <v>0.11</v>
      </c>
      <c r="BU185" s="353">
        <f>BT185</f>
        <v>0.11</v>
      </c>
      <c r="BV185" s="675">
        <f>'[16]FBB KPI'!AN7</f>
        <v>0.19</v>
      </c>
      <c r="BW185" s="675">
        <f>'[16]FBB KPI'!AO7</f>
        <v>0.28000000000000003</v>
      </c>
      <c r="BX185" s="675">
        <f>'[16]FBB KPI'!AP7</f>
        <v>0.32</v>
      </c>
      <c r="BY185" s="675">
        <f>'[16]FBB KPI'!AQ7</f>
        <v>0.37</v>
      </c>
      <c r="BZ185" s="590">
        <f>BY185</f>
        <v>0.37</v>
      </c>
      <c r="CA185" s="675">
        <f>'[16]FBB KPI'!AR7</f>
        <v>0.44</v>
      </c>
      <c r="CB185" s="675">
        <f>'[16]FBB KPI'!AS7</f>
        <v>0.56000000000000005</v>
      </c>
      <c r="CC185" s="675">
        <f>'[16]FBB KPI'!AT7</f>
        <v>0.69</v>
      </c>
      <c r="CD185" s="675">
        <f>'[16]FBB KPI'!AU7</f>
        <v>0.75</v>
      </c>
      <c r="CE185" s="590">
        <f>CD185</f>
        <v>0.75</v>
      </c>
      <c r="CF185" s="675">
        <f>'[16]FBB KPI'!AV7</f>
        <v>0.79</v>
      </c>
      <c r="CG185" s="675">
        <f>'[16]FBB KPI'!AW7</f>
        <v>0.81</v>
      </c>
      <c r="CH185" s="675"/>
      <c r="CI185" s="675"/>
      <c r="CJ185" s="590">
        <f>CI185</f>
        <v>0</v>
      </c>
      <c r="CK185" s="675"/>
      <c r="CL185" s="675"/>
      <c r="CM185" s="675"/>
      <c r="CN185" s="675"/>
      <c r="CV185" s="1365"/>
    </row>
    <row r="186" spans="1:105" s="353" customFormat="1">
      <c r="A186" s="883"/>
      <c r="B186" s="349" t="s">
        <v>820</v>
      </c>
      <c r="BV186" s="590">
        <f>BV185-BU185</f>
        <v>0.08</v>
      </c>
      <c r="BW186" s="590">
        <f>BW185-BV185</f>
        <v>9.0000000000000024E-2</v>
      </c>
      <c r="BX186" s="590">
        <f t="shared" ref="BX186:BY186" si="703">BX185-BW185</f>
        <v>3.999999999999998E-2</v>
      </c>
      <c r="BY186" s="590">
        <f t="shared" si="703"/>
        <v>4.9999999999999989E-2</v>
      </c>
      <c r="BZ186" s="590">
        <f>BZ185-BU185</f>
        <v>0.26</v>
      </c>
      <c r="CA186" s="590">
        <f>CA185-BY185</f>
        <v>7.0000000000000007E-2</v>
      </c>
      <c r="CB186" s="590">
        <f>CB185-CA185</f>
        <v>0.12000000000000005</v>
      </c>
      <c r="CC186" s="590">
        <f>CC185-CB185</f>
        <v>0.12999999999999989</v>
      </c>
      <c r="CD186" s="590">
        <f>CD185-CC185</f>
        <v>6.0000000000000053E-2</v>
      </c>
      <c r="CE186" s="590">
        <f>CE185-BZ185</f>
        <v>0.38</v>
      </c>
      <c r="CF186" s="590">
        <f>CF185-CE185</f>
        <v>4.0000000000000036E-2</v>
      </c>
      <c r="CG186" s="590">
        <f>CG185-CF185</f>
        <v>2.0000000000000018E-2</v>
      </c>
      <c r="CH186" s="590">
        <f>CH185-CG185</f>
        <v>-0.81</v>
      </c>
      <c r="CI186" s="590">
        <f>CI185-CH185</f>
        <v>0</v>
      </c>
      <c r="CJ186" s="590">
        <f>CJ185-CE185</f>
        <v>-0.75</v>
      </c>
      <c r="CK186" s="590">
        <f>CK185-CJ185</f>
        <v>0</v>
      </c>
      <c r="CL186" s="590">
        <f>CL185-CK185</f>
        <v>0</v>
      </c>
      <c r="CM186" s="590">
        <f>CM185-CL185</f>
        <v>0</v>
      </c>
      <c r="CN186" s="590"/>
      <c r="CV186" s="1365"/>
    </row>
    <row r="187" spans="1:105" s="353" customFormat="1">
      <c r="A187" s="883"/>
      <c r="B187" s="349"/>
      <c r="BV187" s="589"/>
      <c r="BW187" s="589"/>
      <c r="BX187" s="589"/>
      <c r="BY187" s="589"/>
      <c r="CA187" s="589"/>
      <c r="CB187" s="589"/>
      <c r="CC187" s="589"/>
      <c r="CD187" s="589"/>
      <c r="CF187" s="589"/>
      <c r="CG187" s="589"/>
      <c r="CH187" s="589"/>
      <c r="CI187" s="589"/>
      <c r="CK187" s="589"/>
      <c r="CL187" s="589"/>
      <c r="CM187" s="589"/>
      <c r="CN187" s="589"/>
      <c r="CV187" s="1365"/>
    </row>
    <row r="188" spans="1:105">
      <c r="B188" s="399" t="s">
        <v>817</v>
      </c>
      <c r="BV188" s="348">
        <f>BV185*BV180</f>
        <v>18.809999999999999</v>
      </c>
      <c r="BW188" s="348">
        <f t="shared" ref="BW188:CA188" si="704">BW185*BW180</f>
        <v>28.560000000000002</v>
      </c>
      <c r="BX188" s="348">
        <f t="shared" si="704"/>
        <v>35.840000000000003</v>
      </c>
      <c r="BY188" s="348">
        <f t="shared" si="704"/>
        <v>45.51</v>
      </c>
      <c r="BZ188" s="348">
        <f t="shared" si="704"/>
        <v>45.51</v>
      </c>
      <c r="CA188" s="348">
        <f t="shared" si="704"/>
        <v>58.08</v>
      </c>
      <c r="CB188" s="348">
        <f>CB185*CB180</f>
        <v>86.240000000000009</v>
      </c>
      <c r="CC188" s="348">
        <f>CC185*CC180</f>
        <v>142.13999999999999</v>
      </c>
      <c r="CD188" s="348">
        <f>CD185*CD180</f>
        <v>176.25</v>
      </c>
      <c r="CE188" s="348">
        <f t="shared" ref="CE188" si="705">CE185*CE180</f>
        <v>176.25</v>
      </c>
      <c r="CF188" s="348">
        <f>CF185*CF180</f>
        <v>199.08</v>
      </c>
      <c r="CG188" s="348">
        <f>CG185*CG180</f>
        <v>216.27</v>
      </c>
      <c r="CH188" s="348">
        <f>CH185*CH180</f>
        <v>0</v>
      </c>
      <c r="CI188" s="348">
        <f>CI185*CI180</f>
        <v>0</v>
      </c>
      <c r="CJ188" s="348">
        <f t="shared" ref="CJ188" si="706">CJ185*CJ180</f>
        <v>0</v>
      </c>
      <c r="CK188" s="348">
        <f>CK185*CK180</f>
        <v>0</v>
      </c>
      <c r="CL188" s="348">
        <f>CL185*CL180</f>
        <v>0</v>
      </c>
      <c r="CM188" s="348">
        <f>CM185*CM180</f>
        <v>0</v>
      </c>
      <c r="CN188" s="348"/>
    </row>
    <row r="189" spans="1:105">
      <c r="B189" s="349" t="s">
        <v>816</v>
      </c>
      <c r="BW189" s="348">
        <f>BW188-BV188</f>
        <v>9.7500000000000036</v>
      </c>
      <c r="BX189" s="348">
        <f>BX188-BW188</f>
        <v>7.2800000000000011</v>
      </c>
      <c r="BY189" s="348">
        <f>BY188-BX188</f>
        <v>9.6699999999999946</v>
      </c>
      <c r="BZ189" s="348"/>
      <c r="CA189" s="348">
        <f>CA188-BZ188</f>
        <v>12.57</v>
      </c>
      <c r="CB189" s="348">
        <f>CB188-CA188</f>
        <v>28.160000000000011</v>
      </c>
      <c r="CC189" s="348">
        <f>CC188-CB188</f>
        <v>55.899999999999977</v>
      </c>
      <c r="CD189" s="348">
        <f>CD188-CC188</f>
        <v>34.110000000000014</v>
      </c>
      <c r="CE189" s="348"/>
      <c r="CF189" s="348">
        <f>CF188-CE188</f>
        <v>22.830000000000013</v>
      </c>
      <c r="CG189" s="348">
        <f>CG188-CF188</f>
        <v>17.189999999999998</v>
      </c>
      <c r="CH189" s="348">
        <f>CH188-CG188</f>
        <v>-216.27</v>
      </c>
      <c r="CI189" s="348">
        <f>CI188-CH188</f>
        <v>0</v>
      </c>
      <c r="CJ189" s="348"/>
      <c r="CK189" s="348">
        <f>CK188-CJ188</f>
        <v>0</v>
      </c>
      <c r="CL189" s="348">
        <f>CL188-CK188</f>
        <v>0</v>
      </c>
      <c r="CM189" s="348">
        <f>CM188-CL188</f>
        <v>0</v>
      </c>
      <c r="CN189" s="348"/>
    </row>
    <row r="190" spans="1:105">
      <c r="B190" s="349" t="s">
        <v>821</v>
      </c>
      <c r="BV190" s="353">
        <f>BV188/BV96</f>
        <v>3.3E-4</v>
      </c>
      <c r="BW190" s="353">
        <f t="shared" ref="BW190:CB190" si="707">BW188/BW96</f>
        <v>4.9903896557749441E-4</v>
      </c>
      <c r="BX190" s="353">
        <f t="shared" si="707"/>
        <v>6.243902439024391E-4</v>
      </c>
      <c r="BY190" s="353">
        <f t="shared" si="707"/>
        <v>7.9147826086956518E-4</v>
      </c>
      <c r="BZ190" s="353">
        <f t="shared" si="707"/>
        <v>7.9147826086956518E-4</v>
      </c>
      <c r="CA190" s="353">
        <f t="shared" si="707"/>
        <v>1.0031088082901555E-3</v>
      </c>
      <c r="CB190" s="353">
        <f t="shared" si="707"/>
        <v>1.4868965517241381E-3</v>
      </c>
      <c r="CC190" s="353">
        <f t="shared" ref="CC190:CE190" si="708">CC188/CC96</f>
        <v>2.4719999999999998E-3</v>
      </c>
      <c r="CD190" s="353">
        <f t="shared" si="708"/>
        <v>3.0652173913043477E-3</v>
      </c>
      <c r="CE190" s="353">
        <f t="shared" si="708"/>
        <v>3.0652173913043477E-3</v>
      </c>
      <c r="CF190" s="353">
        <f t="shared" ref="CF190:CG190" si="709">CF188/CF96</f>
        <v>3.4562500000000001E-3</v>
      </c>
      <c r="CG190" s="353">
        <f t="shared" si="709"/>
        <v>3.6969230769230772E-3</v>
      </c>
      <c r="CH190" s="353">
        <f t="shared" ref="CH190:CK190" si="710">CH188/CH96</f>
        <v>0</v>
      </c>
      <c r="CI190" s="353">
        <f t="shared" si="710"/>
        <v>0</v>
      </c>
      <c r="CJ190" s="353">
        <f t="shared" si="710"/>
        <v>0</v>
      </c>
      <c r="CK190" s="353">
        <f t="shared" si="710"/>
        <v>0</v>
      </c>
      <c r="CL190" s="353">
        <f t="shared" ref="CL190" si="711">CL188/CL96</f>
        <v>0</v>
      </c>
      <c r="CM190" s="353">
        <f t="shared" ref="CM190" si="712">CM188/CM96</f>
        <v>0</v>
      </c>
      <c r="CN190" s="353"/>
    </row>
    <row r="192" spans="1:105">
      <c r="B192" s="349" t="s">
        <v>823</v>
      </c>
      <c r="CA192" s="641">
        <v>1200</v>
      </c>
    </row>
    <row r="196" spans="1:118">
      <c r="A196" s="759" t="s">
        <v>615</v>
      </c>
      <c r="B196" s="350" t="s">
        <v>579</v>
      </c>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c r="AA196" s="553"/>
      <c r="AB196" s="553"/>
      <c r="AC196" s="553"/>
      <c r="AD196" s="553"/>
      <c r="AE196" s="553"/>
      <c r="AF196" s="553"/>
      <c r="AG196" s="553"/>
      <c r="AH196" s="553"/>
      <c r="AI196" s="553"/>
      <c r="AJ196" s="553"/>
      <c r="AK196" s="553"/>
      <c r="AL196" s="553"/>
      <c r="AM196" s="553"/>
      <c r="AN196" s="553"/>
      <c r="AO196" s="553"/>
      <c r="AP196" s="553"/>
      <c r="AQ196" s="553"/>
      <c r="AR196" s="553"/>
      <c r="AS196" s="553"/>
      <c r="AT196" s="553"/>
      <c r="AU196" s="553"/>
      <c r="AV196" s="553"/>
      <c r="AW196" s="553"/>
      <c r="AX196" s="553"/>
      <c r="AY196" s="553"/>
      <c r="AZ196" s="553"/>
      <c r="BA196" s="553"/>
      <c r="BB196" s="553"/>
      <c r="BC196" s="553"/>
      <c r="BD196" s="553"/>
      <c r="BE196" s="553"/>
      <c r="BF196" s="553"/>
      <c r="BG196" s="553"/>
      <c r="BH196" s="553"/>
      <c r="BI196" s="553"/>
      <c r="BJ196" s="553"/>
      <c r="BK196" s="553"/>
      <c r="BL196" s="553"/>
      <c r="BM196" s="553"/>
      <c r="BN196" s="553"/>
      <c r="BO196" s="553"/>
      <c r="BP196" s="553"/>
      <c r="BQ196" s="553"/>
      <c r="BR196" s="553"/>
      <c r="BS196" s="553"/>
      <c r="BT196" s="553"/>
      <c r="BU196" s="553"/>
      <c r="BV196" s="553"/>
      <c r="BW196" s="553"/>
      <c r="BX196" s="553"/>
      <c r="BY196" s="553"/>
      <c r="BZ196" s="553"/>
      <c r="CA196" s="553"/>
      <c r="CB196" s="553"/>
      <c r="CC196" s="553"/>
      <c r="CD196" s="553"/>
      <c r="CE196" s="553"/>
      <c r="CF196" s="553"/>
      <c r="CG196" s="553"/>
      <c r="CH196" s="553"/>
      <c r="CI196" s="553"/>
      <c r="CJ196" s="553"/>
      <c r="CK196" s="553"/>
      <c r="CL196" s="553"/>
      <c r="CM196" s="553"/>
      <c r="CN196" s="553"/>
      <c r="CO196" s="553"/>
      <c r="CP196" s="553"/>
      <c r="CQ196" s="553"/>
      <c r="CR196" s="553"/>
      <c r="CS196" s="553"/>
      <c r="CT196" s="553"/>
      <c r="CU196" s="347"/>
      <c r="CV196" s="1363"/>
      <c r="CW196" s="347"/>
      <c r="CX196" s="347"/>
      <c r="CY196" s="347"/>
      <c r="CZ196" s="347"/>
      <c r="DA196" s="347"/>
      <c r="DL196" s="347"/>
      <c r="DM196" s="347"/>
      <c r="DN196" s="347"/>
    </row>
    <row r="197" spans="1:118">
      <c r="B197" s="407"/>
      <c r="C197" s="367"/>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c r="AS197" s="367"/>
      <c r="AT197" s="367"/>
      <c r="AU197" s="367"/>
      <c r="AV197" s="367"/>
      <c r="AW197" s="367"/>
      <c r="AX197" s="367"/>
      <c r="AY197" s="448"/>
      <c r="AZ197" s="448"/>
      <c r="BA197" s="367"/>
      <c r="BB197" s="367"/>
      <c r="BC197" s="367"/>
      <c r="BD197" s="367"/>
      <c r="BE197" s="448"/>
      <c r="BF197" s="367"/>
      <c r="BG197" s="367"/>
      <c r="BH197" s="367"/>
      <c r="BI197" s="367"/>
      <c r="BJ197" s="367"/>
      <c r="BK197" s="367"/>
      <c r="BL197" s="367"/>
      <c r="BM197" s="367"/>
      <c r="BN197" s="367"/>
      <c r="BO197" s="367"/>
      <c r="BP197" s="367"/>
      <c r="BQ197" s="367"/>
      <c r="BR197" s="367"/>
      <c r="BS197" s="367"/>
      <c r="BT197" s="367"/>
      <c r="BU197" s="367"/>
      <c r="BV197" s="367"/>
      <c r="BW197" s="367"/>
      <c r="BX197" s="367"/>
      <c r="BY197" s="367"/>
      <c r="BZ197" s="367"/>
      <c r="CA197" s="367"/>
      <c r="CB197" s="367"/>
      <c r="CC197" s="367"/>
      <c r="CD197" s="367"/>
      <c r="CE197" s="367"/>
      <c r="CF197" s="367"/>
      <c r="CG197" s="367"/>
      <c r="CH197" s="367"/>
      <c r="CI197" s="367"/>
      <c r="CJ197" s="367"/>
      <c r="CK197" s="367"/>
      <c r="CL197" s="367"/>
      <c r="CM197" s="367"/>
      <c r="CN197" s="367"/>
      <c r="CO197" s="367"/>
      <c r="CP197" s="367"/>
      <c r="CQ197" s="367"/>
      <c r="CR197" s="367"/>
      <c r="CS197" s="367"/>
      <c r="CT197" s="367"/>
      <c r="CU197" s="347"/>
      <c r="CV197" s="1363"/>
      <c r="CW197" s="347"/>
      <c r="CX197" s="347"/>
      <c r="CY197" s="347"/>
      <c r="CZ197" s="354"/>
      <c r="DA197" s="354"/>
      <c r="DB197" s="354"/>
      <c r="DC197" s="354"/>
      <c r="DD197" s="354"/>
      <c r="DE197" s="354"/>
    </row>
    <row r="198" spans="1:118">
      <c r="B198" s="449" t="s">
        <v>793</v>
      </c>
      <c r="C198" s="557">
        <f>C$2</f>
        <v>2007</v>
      </c>
      <c r="D198" s="557" t="str">
        <f t="shared" ref="D198:BO198" si="713">D$2</f>
        <v>Q1</v>
      </c>
      <c r="E198" s="557" t="str">
        <f t="shared" si="713"/>
        <v>Q2</v>
      </c>
      <c r="F198" s="557" t="str">
        <f t="shared" si="713"/>
        <v>Q3</v>
      </c>
      <c r="G198" s="557" t="str">
        <f t="shared" si="713"/>
        <v>Q4</v>
      </c>
      <c r="H198" s="557">
        <f t="shared" si="713"/>
        <v>2008</v>
      </c>
      <c r="I198" s="557" t="str">
        <f t="shared" si="713"/>
        <v>Q1</v>
      </c>
      <c r="J198" s="557" t="str">
        <f t="shared" si="713"/>
        <v>Q2</v>
      </c>
      <c r="K198" s="557" t="str">
        <f t="shared" si="713"/>
        <v>Q3</v>
      </c>
      <c r="L198" s="557" t="str">
        <f t="shared" si="713"/>
        <v>Q4</v>
      </c>
      <c r="M198" s="557">
        <f t="shared" si="713"/>
        <v>2009</v>
      </c>
      <c r="N198" s="557" t="str">
        <f t="shared" si="713"/>
        <v>Q1</v>
      </c>
      <c r="O198" s="557" t="str">
        <f t="shared" si="713"/>
        <v>Q2</v>
      </c>
      <c r="P198" s="557" t="str">
        <f t="shared" si="713"/>
        <v>Q3</v>
      </c>
      <c r="Q198" s="557" t="str">
        <f t="shared" si="713"/>
        <v>Q4</v>
      </c>
      <c r="R198" s="557">
        <f t="shared" si="713"/>
        <v>2010</v>
      </c>
      <c r="S198" s="557" t="str">
        <f t="shared" si="713"/>
        <v>Q1</v>
      </c>
      <c r="T198" s="557" t="str">
        <f t="shared" si="713"/>
        <v>Q2</v>
      </c>
      <c r="U198" s="557" t="str">
        <f t="shared" si="713"/>
        <v>Q3</v>
      </c>
      <c r="V198" s="557" t="str">
        <f t="shared" si="713"/>
        <v>Q4</v>
      </c>
      <c r="W198" s="557">
        <f t="shared" si="713"/>
        <v>2011</v>
      </c>
      <c r="X198" s="557" t="str">
        <f t="shared" si="713"/>
        <v>Q1</v>
      </c>
      <c r="Y198" s="557" t="str">
        <f t="shared" si="713"/>
        <v>Q2</v>
      </c>
      <c r="Z198" s="557" t="str">
        <f t="shared" si="713"/>
        <v>Q3</v>
      </c>
      <c r="AA198" s="557" t="str">
        <f t="shared" si="713"/>
        <v>Q4</v>
      </c>
      <c r="AB198" s="557">
        <f t="shared" si="713"/>
        <v>2012</v>
      </c>
      <c r="AC198" s="557" t="str">
        <f t="shared" si="713"/>
        <v>Q1</v>
      </c>
      <c r="AD198" s="557" t="str">
        <f t="shared" si="713"/>
        <v>Q2</v>
      </c>
      <c r="AE198" s="557" t="str">
        <f t="shared" si="713"/>
        <v>Q3</v>
      </c>
      <c r="AF198" s="557" t="str">
        <f t="shared" si="713"/>
        <v>Q4</v>
      </c>
      <c r="AG198" s="557">
        <f t="shared" si="713"/>
        <v>2013</v>
      </c>
      <c r="AH198" s="557" t="str">
        <f t="shared" si="713"/>
        <v>Q1</v>
      </c>
      <c r="AI198" s="557" t="str">
        <f t="shared" si="713"/>
        <v>Q2</v>
      </c>
      <c r="AJ198" s="557" t="str">
        <f t="shared" si="713"/>
        <v>Q3</v>
      </c>
      <c r="AK198" s="557" t="str">
        <f t="shared" si="713"/>
        <v>Q4</v>
      </c>
      <c r="AL198" s="557">
        <f t="shared" si="713"/>
        <v>2014</v>
      </c>
      <c r="AM198" s="557" t="str">
        <f t="shared" si="713"/>
        <v>Q1</v>
      </c>
      <c r="AN198" s="557" t="str">
        <f t="shared" si="713"/>
        <v>Q2</v>
      </c>
      <c r="AO198" s="557" t="str">
        <f t="shared" si="713"/>
        <v>Q3</v>
      </c>
      <c r="AP198" s="557" t="str">
        <f t="shared" si="713"/>
        <v>Q4</v>
      </c>
      <c r="AQ198" s="557">
        <f t="shared" si="713"/>
        <v>2015</v>
      </c>
      <c r="AR198" s="557" t="str">
        <f t="shared" si="713"/>
        <v>Q1</v>
      </c>
      <c r="AS198" s="557" t="str">
        <f t="shared" si="713"/>
        <v>Q2</v>
      </c>
      <c r="AT198" s="557" t="str">
        <f t="shared" si="713"/>
        <v>Q3</v>
      </c>
      <c r="AU198" s="557" t="str">
        <f t="shared" si="713"/>
        <v>Q4</v>
      </c>
      <c r="AV198" s="557">
        <f t="shared" si="713"/>
        <v>2016</v>
      </c>
      <c r="AW198" s="557" t="str">
        <f t="shared" si="713"/>
        <v>Q1</v>
      </c>
      <c r="AX198" s="557" t="str">
        <f t="shared" si="713"/>
        <v>Q2</v>
      </c>
      <c r="AY198" s="557" t="str">
        <f t="shared" si="713"/>
        <v>Q3</v>
      </c>
      <c r="AZ198" s="557" t="str">
        <f t="shared" si="713"/>
        <v>Q4</v>
      </c>
      <c r="BA198" s="557">
        <f t="shared" si="713"/>
        <v>2017</v>
      </c>
      <c r="BB198" s="557" t="str">
        <f t="shared" si="713"/>
        <v>Q1</v>
      </c>
      <c r="BC198" s="557" t="str">
        <f t="shared" si="713"/>
        <v>Q2</v>
      </c>
      <c r="BD198" s="557" t="str">
        <f t="shared" si="713"/>
        <v>Q3</v>
      </c>
      <c r="BE198" s="557" t="str">
        <f t="shared" si="713"/>
        <v>Q4</v>
      </c>
      <c r="BF198" s="557">
        <f t="shared" si="713"/>
        <v>2018</v>
      </c>
      <c r="BG198" s="557" t="str">
        <f t="shared" si="713"/>
        <v>Q1</v>
      </c>
      <c r="BH198" s="557" t="str">
        <f t="shared" si="713"/>
        <v>Q2</v>
      </c>
      <c r="BI198" s="557" t="str">
        <f t="shared" si="713"/>
        <v>Q3</v>
      </c>
      <c r="BJ198" s="557" t="str">
        <f t="shared" si="713"/>
        <v>Q4</v>
      </c>
      <c r="BK198" s="557">
        <f t="shared" si="713"/>
        <v>2019</v>
      </c>
      <c r="BL198" s="557" t="str">
        <f t="shared" si="713"/>
        <v>Q1</v>
      </c>
      <c r="BM198" s="557" t="str">
        <f t="shared" si="713"/>
        <v>Q2</v>
      </c>
      <c r="BN198" s="557" t="str">
        <f t="shared" si="713"/>
        <v>Q3</v>
      </c>
      <c r="BO198" s="557" t="str">
        <f t="shared" si="713"/>
        <v>Q4</v>
      </c>
      <c r="BP198" s="557">
        <f t="shared" ref="BP198:CT198" si="714">BP$2</f>
        <v>2020</v>
      </c>
      <c r="BQ198" s="557" t="str">
        <f t="shared" si="714"/>
        <v>Q1</v>
      </c>
      <c r="BR198" s="557" t="str">
        <f t="shared" si="714"/>
        <v>Q2</v>
      </c>
      <c r="BS198" s="557" t="str">
        <f t="shared" si="714"/>
        <v>Q3</v>
      </c>
      <c r="BT198" s="557" t="str">
        <f t="shared" si="714"/>
        <v>Q4</v>
      </c>
      <c r="BU198" s="557">
        <f t="shared" si="714"/>
        <v>2021</v>
      </c>
      <c r="BV198" s="557" t="str">
        <f t="shared" si="714"/>
        <v>Q1</v>
      </c>
      <c r="BW198" s="557" t="str">
        <f t="shared" si="714"/>
        <v>Q2</v>
      </c>
      <c r="BX198" s="557" t="str">
        <f t="shared" si="714"/>
        <v>Q3</v>
      </c>
      <c r="BY198" s="557" t="str">
        <f t="shared" si="714"/>
        <v>Q4</v>
      </c>
      <c r="BZ198" s="557">
        <f t="shared" si="714"/>
        <v>2022</v>
      </c>
      <c r="CA198" s="557" t="str">
        <f t="shared" si="714"/>
        <v>Q1</v>
      </c>
      <c r="CB198" s="557" t="str">
        <f t="shared" si="714"/>
        <v>Q2</v>
      </c>
      <c r="CC198" s="557" t="str">
        <f t="shared" si="714"/>
        <v>Q3</v>
      </c>
      <c r="CD198" s="557" t="str">
        <f t="shared" si="714"/>
        <v>Q4</v>
      </c>
      <c r="CE198" s="557">
        <f t="shared" si="714"/>
        <v>2023</v>
      </c>
      <c r="CF198" s="557" t="str">
        <f t="shared" si="714"/>
        <v>Q1</v>
      </c>
      <c r="CG198" s="557" t="str">
        <f t="shared" si="714"/>
        <v>Q2</v>
      </c>
      <c r="CH198" s="557" t="str">
        <f t="shared" si="714"/>
        <v>Q3</v>
      </c>
      <c r="CI198" s="557" t="str">
        <f t="shared" si="714"/>
        <v>Q4</v>
      </c>
      <c r="CJ198" s="557">
        <f t="shared" si="714"/>
        <v>2024</v>
      </c>
      <c r="CK198" s="557" t="str">
        <f t="shared" si="714"/>
        <v>Q1</v>
      </c>
      <c r="CL198" s="557" t="str">
        <f t="shared" si="714"/>
        <v>Q2</v>
      </c>
      <c r="CM198" s="557" t="str">
        <f t="shared" si="714"/>
        <v>Q3</v>
      </c>
      <c r="CN198" s="557"/>
      <c r="CO198" s="557">
        <f t="shared" si="714"/>
        <v>2025</v>
      </c>
      <c r="CP198" s="557">
        <f t="shared" si="714"/>
        <v>2026</v>
      </c>
      <c r="CQ198" s="557">
        <f t="shared" si="714"/>
        <v>2027</v>
      </c>
      <c r="CR198" s="557">
        <f t="shared" si="714"/>
        <v>2028</v>
      </c>
      <c r="CS198" s="557">
        <f t="shared" si="714"/>
        <v>2029</v>
      </c>
      <c r="CT198" s="557">
        <f t="shared" si="714"/>
        <v>2030</v>
      </c>
      <c r="CU198" s="347"/>
      <c r="CV198" s="1363"/>
      <c r="CW198" s="347"/>
      <c r="CX198" s="347"/>
      <c r="CY198" s="347"/>
      <c r="CZ198" s="354"/>
      <c r="DA198" s="354"/>
      <c r="DB198" s="354"/>
      <c r="DC198" s="354"/>
      <c r="DD198" s="354"/>
      <c r="DE198" s="354"/>
    </row>
    <row r="199" spans="1:118">
      <c r="B199" s="559" t="s">
        <v>808</v>
      </c>
      <c r="BQ199" s="561"/>
      <c r="BR199" s="561"/>
      <c r="BS199" s="561"/>
      <c r="BT199" s="561"/>
      <c r="BU199" s="561"/>
      <c r="BV199" s="561"/>
      <c r="BW199" s="561"/>
      <c r="BX199" s="561"/>
      <c r="BY199" s="561"/>
      <c r="BZ199" s="561"/>
      <c r="CA199" s="561"/>
      <c r="CB199" s="561"/>
      <c r="CC199" s="561"/>
      <c r="CD199" s="561"/>
      <c r="CE199" s="561"/>
      <c r="CF199" s="561"/>
      <c r="CG199" s="561"/>
      <c r="CH199" s="561"/>
      <c r="CI199" s="561"/>
      <c r="CJ199" s="365"/>
      <c r="CK199" s="561"/>
      <c r="CL199" s="426"/>
      <c r="CM199" s="426"/>
      <c r="CN199" s="426"/>
      <c r="CO199" s="365"/>
      <c r="CP199" s="365"/>
      <c r="CQ199" s="365"/>
      <c r="CR199" s="365"/>
      <c r="CS199" s="365"/>
      <c r="CT199" s="365"/>
    </row>
    <row r="200" spans="1:118" hidden="1" outlineLevel="1">
      <c r="B200" s="562" t="s">
        <v>528</v>
      </c>
      <c r="C200" s="372"/>
      <c r="D200" s="372"/>
      <c r="E200" s="372"/>
      <c r="F200" s="372"/>
      <c r="G200" s="372"/>
      <c r="H200" s="372"/>
      <c r="I200" s="372"/>
      <c r="J200" s="372"/>
      <c r="K200" s="372"/>
      <c r="L200" s="372"/>
      <c r="M200" s="413">
        <f t="shared" ref="M200:AQ200" si="715">M219-M216-M217</f>
        <v>11026</v>
      </c>
      <c r="N200" s="413">
        <f t="shared" si="715"/>
        <v>3366</v>
      </c>
      <c r="O200" s="413">
        <f t="shared" si="715"/>
        <v>3491</v>
      </c>
      <c r="P200" s="413">
        <f t="shared" si="715"/>
        <v>3605</v>
      </c>
      <c r="Q200" s="413">
        <f t="shared" si="715"/>
        <v>3804</v>
      </c>
      <c r="R200" s="413">
        <f t="shared" si="715"/>
        <v>14266</v>
      </c>
      <c r="S200" s="413">
        <f t="shared" si="715"/>
        <v>3639</v>
      </c>
      <c r="T200" s="413">
        <f t="shared" si="715"/>
        <v>3702</v>
      </c>
      <c r="U200" s="413">
        <f t="shared" si="715"/>
        <v>3890</v>
      </c>
      <c r="V200" s="413">
        <f t="shared" si="715"/>
        <v>4041</v>
      </c>
      <c r="W200" s="413">
        <f t="shared" si="715"/>
        <v>14758</v>
      </c>
      <c r="X200" s="413">
        <f t="shared" si="715"/>
        <v>4035</v>
      </c>
      <c r="Y200" s="413">
        <f t="shared" si="715"/>
        <v>4169</v>
      </c>
      <c r="Z200" s="413">
        <f t="shared" si="715"/>
        <v>4353</v>
      </c>
      <c r="AA200" s="413">
        <f t="shared" si="715"/>
        <v>4198</v>
      </c>
      <c r="AB200" s="413">
        <f t="shared" si="715"/>
        <v>16755</v>
      </c>
      <c r="AC200" s="413">
        <f t="shared" si="715"/>
        <v>4612</v>
      </c>
      <c r="AD200" s="413">
        <f t="shared" si="715"/>
        <v>4907</v>
      </c>
      <c r="AE200" s="413">
        <f t="shared" si="715"/>
        <v>5215</v>
      </c>
      <c r="AF200" s="413">
        <f t="shared" si="715"/>
        <v>5218</v>
      </c>
      <c r="AG200" s="413">
        <f t="shared" si="715"/>
        <v>16634</v>
      </c>
      <c r="AH200" s="413">
        <f t="shared" si="715"/>
        <v>4244</v>
      </c>
      <c r="AI200" s="413">
        <f t="shared" si="715"/>
        <v>4908</v>
      </c>
      <c r="AJ200" s="413">
        <f t="shared" si="715"/>
        <v>4903</v>
      </c>
      <c r="AK200" s="413">
        <f t="shared" si="715"/>
        <v>4853</v>
      </c>
      <c r="AL200" s="413">
        <f t="shared" si="715"/>
        <v>18908</v>
      </c>
      <c r="AM200" s="413">
        <f t="shared" si="715"/>
        <v>4542</v>
      </c>
      <c r="AN200" s="413">
        <f t="shared" si="715"/>
        <v>4685</v>
      </c>
      <c r="AO200" s="413">
        <f t="shared" si="715"/>
        <v>4934</v>
      </c>
      <c r="AP200" s="413">
        <f t="shared" si="715"/>
        <v>5032</v>
      </c>
      <c r="AQ200" s="413">
        <f t="shared" si="715"/>
        <v>19193</v>
      </c>
      <c r="AR200" s="413">
        <f>'[16]Reported Group Highlights'!P$13</f>
        <v>4781</v>
      </c>
      <c r="AS200" s="413">
        <f>'[16]Reported Group Highlights'!Q$13</f>
        <v>4469</v>
      </c>
      <c r="AT200" s="413">
        <f>'[16]Reported Group Highlights'!R$13</f>
        <v>4539</v>
      </c>
      <c r="AU200" s="413">
        <f>'[16]Reported Group Highlights'!S$13</f>
        <v>4585</v>
      </c>
      <c r="AV200" s="413">
        <f>AV219-AV216</f>
        <v>18590</v>
      </c>
      <c r="AW200" s="352">
        <f>'[16]Reported Group Highlights'!T$13</f>
        <v>4599</v>
      </c>
      <c r="AX200" s="352">
        <f>'[16]Reported Group Highlights'!U$13</f>
        <v>5026</v>
      </c>
      <c r="AY200" s="352">
        <f>'[16]Reported Group Highlights'!V$13</f>
        <v>5280</v>
      </c>
      <c r="AZ200" s="352">
        <f>'[16]Reported Group Highlights'!W$13</f>
        <v>5355</v>
      </c>
      <c r="BA200" s="372">
        <f>SUM(AW200:AZ200)</f>
        <v>20260</v>
      </c>
      <c r="BB200" s="352">
        <f>'[16]Reported Group Highlights'!X$13</f>
        <v>4853.4030000000002</v>
      </c>
      <c r="BC200" s="352">
        <f>'[16]Reported Group Highlights'!Y$13</f>
        <v>4842.1270000000004</v>
      </c>
      <c r="BD200" s="352">
        <f>'[16]Reported Group Highlights'!Z$13</f>
        <v>5047.2139999999999</v>
      </c>
      <c r="BE200" s="352">
        <f>'[16]Reported Group Highlights'!AA$13</f>
        <v>5343.116</v>
      </c>
      <c r="BF200" s="372">
        <f>SUM(BB200:BE200)</f>
        <v>20085.86</v>
      </c>
      <c r="BG200" s="352">
        <f>'[16]Reported Group Highlights'!AB$13</f>
        <v>5416.491</v>
      </c>
      <c r="BH200" s="352">
        <f>'[16]Reported Group Highlights'!AC$13</f>
        <v>5702.2049999999999</v>
      </c>
      <c r="BI200" s="352">
        <f>'[16]Reported Group Highlights'!AD$13</f>
        <v>5938.03</v>
      </c>
      <c r="BJ200" s="352">
        <f>'[16]Reported Group Highlights'!AE$13</f>
        <v>5893.9310000000005</v>
      </c>
      <c r="BK200" s="372">
        <f>SUM(BG200:BJ200)</f>
        <v>22950.656999999999</v>
      </c>
      <c r="BL200" s="352">
        <f>'[16]Reported Group Highlights'!AF$13</f>
        <v>6007.1940000000004</v>
      </c>
      <c r="BM200" s="352">
        <f>'[16]Reported Group Highlights'!AG$13</f>
        <v>6179.2209999999995</v>
      </c>
      <c r="BN200" s="352">
        <f>'[16]Reported Group Highlights'!AH$13</f>
        <v>6149.0410000000002</v>
      </c>
      <c r="BO200" s="352">
        <f>'[16]Reported Group Highlights'!AI$13</f>
        <v>5877.299</v>
      </c>
      <c r="BP200" s="372">
        <f>SUM(BL200:BO200)</f>
        <v>24212.755000000001</v>
      </c>
      <c r="BQ200" s="352">
        <f>'[16]Reported Group Highlights'!AJ$13</f>
        <v>5787.55</v>
      </c>
      <c r="BR200" s="352">
        <f>'[16]Reported Group Highlights'!AK$13</f>
        <v>6279.5730000000003</v>
      </c>
      <c r="BS200" s="352">
        <f>'[16]Reported Group Highlights'!AL$13</f>
        <v>6339.808</v>
      </c>
      <c r="BT200" s="352">
        <f>'[16]Reported Group Highlights'!AM$13</f>
        <v>6399.6030000000001</v>
      </c>
      <c r="BU200" s="372">
        <f>SUM(BQ200:BT200)</f>
        <v>24806.534</v>
      </c>
      <c r="BV200" s="352">
        <f>'[16]Reported Group Highlights'!AN$13</f>
        <v>6481.942</v>
      </c>
      <c r="BW200" s="352">
        <f>'[16]Reported Group Highlights'!AO$13</f>
        <v>6915.7349999999997</v>
      </c>
      <c r="BX200" s="352">
        <f>'[16]Reported Group Highlights'!AP$13</f>
        <v>7106.4489999999996</v>
      </c>
      <c r="BY200" s="352">
        <f>'[16]Reported Group Highlights'!AQ$13</f>
        <v>7303.9309999999996</v>
      </c>
      <c r="BZ200" s="372">
        <f>SUM(BV200:BY200)</f>
        <v>27808.057000000001</v>
      </c>
      <c r="CA200" s="352">
        <f>'[16]Reported Group Highlights'!AR$13</f>
        <v>7295.3689999999997</v>
      </c>
      <c r="CB200" s="352">
        <f>'[16]Reported Group Highlights'!AS$13</f>
        <v>7885.442</v>
      </c>
      <c r="CC200" s="352">
        <f>'[16]Reported Group Highlights'!AT$13</f>
        <v>7678.3300000000008</v>
      </c>
      <c r="CD200" s="352">
        <f>'[16]Reported Group Highlights'!AU$13</f>
        <v>8048.0879999999988</v>
      </c>
      <c r="CE200" s="372">
        <f>SUM(CA200:CD200)</f>
        <v>30907.228999999999</v>
      </c>
      <c r="CF200" s="352">
        <f>'[16]Reported Group Highlights'!AV$13</f>
        <v>8228.6280000000006</v>
      </c>
      <c r="CG200" s="352">
        <f>'[16]Reported Group Highlights'!AW$13</f>
        <v>8449.6939999999995</v>
      </c>
      <c r="CH200" s="352">
        <f>'[16]Reported Group Highlights'!AX$13</f>
        <v>7967.1709999999985</v>
      </c>
      <c r="CI200" s="352">
        <f>'[16]Reported Group Highlights'!AY$13</f>
        <v>8606.3990000000013</v>
      </c>
      <c r="CJ200" s="372"/>
      <c r="CK200" s="352">
        <f>'[16]Reported Group Highlights'!AZ$13</f>
        <v>8208.5290000000005</v>
      </c>
      <c r="CL200" s="352">
        <f>'[16]Reported Group Highlights'!BA$13</f>
        <v>0</v>
      </c>
      <c r="CM200" s="352">
        <f>'[16]Reported Group Highlights'!BB$13</f>
        <v>0</v>
      </c>
      <c r="CN200" s="352"/>
      <c r="CO200" s="372"/>
      <c r="CP200" s="372"/>
      <c r="CQ200" s="372"/>
      <c r="CR200" s="372"/>
      <c r="CS200" s="372"/>
      <c r="CT200" s="372"/>
      <c r="CV200" s="1363"/>
      <c r="CW200" s="347"/>
      <c r="CX200" s="347"/>
      <c r="CZ200" s="354"/>
      <c r="DA200" s="354"/>
      <c r="DB200" s="354"/>
      <c r="DC200" s="354"/>
      <c r="DD200" s="354"/>
      <c r="DE200" s="354"/>
    </row>
    <row r="201" spans="1:118" hidden="1" outlineLevel="1">
      <c r="B201" s="562" t="s">
        <v>561</v>
      </c>
      <c r="C201" s="372"/>
      <c r="D201" s="426"/>
      <c r="E201" s="426"/>
      <c r="F201" s="426"/>
      <c r="G201" s="426"/>
      <c r="H201" s="372"/>
      <c r="I201" s="372"/>
      <c r="J201" s="372"/>
      <c r="K201" s="372"/>
      <c r="L201" s="372"/>
      <c r="M201" s="372"/>
      <c r="N201" s="372"/>
      <c r="O201" s="372"/>
      <c r="P201" s="372"/>
      <c r="Q201" s="372"/>
      <c r="R201" s="426">
        <f t="shared" ref="R201:AW201" si="716">R200/M200-1</f>
        <v>0.29385089787774343</v>
      </c>
      <c r="S201" s="426">
        <f t="shared" si="716"/>
        <v>8.1105169340463412E-2</v>
      </c>
      <c r="T201" s="426">
        <f t="shared" si="716"/>
        <v>6.0441134345459835E-2</v>
      </c>
      <c r="U201" s="426">
        <f t="shared" si="716"/>
        <v>7.905686546463242E-2</v>
      </c>
      <c r="V201" s="426">
        <f t="shared" si="716"/>
        <v>6.23028391167193E-2</v>
      </c>
      <c r="W201" s="426">
        <f t="shared" si="716"/>
        <v>3.4487592878171824E-2</v>
      </c>
      <c r="X201" s="426">
        <f t="shared" si="716"/>
        <v>0.10882110469909323</v>
      </c>
      <c r="Y201" s="426">
        <f t="shared" si="716"/>
        <v>0.1261480280929228</v>
      </c>
      <c r="Z201" s="426">
        <f t="shared" si="716"/>
        <v>0.11902313624678662</v>
      </c>
      <c r="AA201" s="426">
        <f t="shared" si="716"/>
        <v>3.8851769364018907E-2</v>
      </c>
      <c r="AB201" s="426">
        <f t="shared" si="716"/>
        <v>0.13531643854180775</v>
      </c>
      <c r="AC201" s="426">
        <f t="shared" si="716"/>
        <v>0.14299876084262708</v>
      </c>
      <c r="AD201" s="426">
        <f t="shared" si="716"/>
        <v>0.1770208683137442</v>
      </c>
      <c r="AE201" s="426">
        <f t="shared" si="716"/>
        <v>0.19802435102228344</v>
      </c>
      <c r="AF201" s="426">
        <f t="shared" si="716"/>
        <v>0.24297284421152932</v>
      </c>
      <c r="AG201" s="426">
        <f t="shared" si="716"/>
        <v>-7.2217248582512328E-3</v>
      </c>
      <c r="AH201" s="426">
        <f t="shared" si="716"/>
        <v>-7.9791847354726775E-2</v>
      </c>
      <c r="AI201" s="426">
        <f t="shared" si="716"/>
        <v>2.0379050336249982E-4</v>
      </c>
      <c r="AJ201" s="426">
        <f t="shared" si="716"/>
        <v>-5.9827420901246375E-2</v>
      </c>
      <c r="AK201" s="426">
        <f t="shared" si="716"/>
        <v>-6.9950172479877337E-2</v>
      </c>
      <c r="AL201" s="426">
        <f t="shared" si="716"/>
        <v>0.13670794757725147</v>
      </c>
      <c r="AM201" s="426">
        <f t="shared" si="716"/>
        <v>7.0216776625824595E-2</v>
      </c>
      <c r="AN201" s="426">
        <f t="shared" si="716"/>
        <v>-4.5436022819885902E-2</v>
      </c>
      <c r="AO201" s="426">
        <f t="shared" si="716"/>
        <v>6.3226595961656251E-3</v>
      </c>
      <c r="AP201" s="426">
        <f t="shared" si="716"/>
        <v>3.6884401401195088E-2</v>
      </c>
      <c r="AQ201" s="426">
        <f t="shared" si="716"/>
        <v>1.5072984979902726E-2</v>
      </c>
      <c r="AR201" s="426">
        <f t="shared" si="716"/>
        <v>5.2619991193306959E-2</v>
      </c>
      <c r="AS201" s="426">
        <f t="shared" si="716"/>
        <v>-4.6104589114194239E-2</v>
      </c>
      <c r="AT201" s="426">
        <f t="shared" si="716"/>
        <v>-8.0056749087961121E-2</v>
      </c>
      <c r="AU201" s="426">
        <f t="shared" si="716"/>
        <v>-8.8831478537360842E-2</v>
      </c>
      <c r="AV201" s="426">
        <f t="shared" si="716"/>
        <v>-3.1417704371385358E-2</v>
      </c>
      <c r="AW201" s="426">
        <f t="shared" si="716"/>
        <v>-3.8067349926793503E-2</v>
      </c>
      <c r="AX201" s="426">
        <f t="shared" ref="AX201:CM201" si="717">AX200/AS200-1</f>
        <v>0.12463638397851873</v>
      </c>
      <c r="AY201" s="426">
        <f t="shared" si="717"/>
        <v>0.16325181758096496</v>
      </c>
      <c r="AZ201" s="426">
        <f t="shared" si="717"/>
        <v>0.16793893129770998</v>
      </c>
      <c r="BA201" s="426">
        <f t="shared" si="717"/>
        <v>8.9833243679397601E-2</v>
      </c>
      <c r="BB201" s="426">
        <f t="shared" si="717"/>
        <v>5.531702544031325E-2</v>
      </c>
      <c r="BC201" s="426">
        <f t="shared" si="717"/>
        <v>-3.6584361321130077E-2</v>
      </c>
      <c r="BD201" s="426">
        <f t="shared" si="717"/>
        <v>-4.4088257575757628E-2</v>
      </c>
      <c r="BE201" s="426">
        <f t="shared" si="717"/>
        <v>-2.2192343604108267E-3</v>
      </c>
      <c r="BF201" s="426">
        <f t="shared" si="717"/>
        <v>-8.5952615992102022E-3</v>
      </c>
      <c r="BG201" s="426">
        <f t="shared" si="717"/>
        <v>0.11601921373518742</v>
      </c>
      <c r="BH201" s="426">
        <f t="shared" si="717"/>
        <v>0.17762400697049041</v>
      </c>
      <c r="BI201" s="426">
        <f t="shared" si="717"/>
        <v>0.1764965781122021</v>
      </c>
      <c r="BJ201" s="426">
        <f t="shared" si="717"/>
        <v>0.10308872201165031</v>
      </c>
      <c r="BK201" s="426">
        <f t="shared" si="717"/>
        <v>0.1426275499281584</v>
      </c>
      <c r="BL201" s="426">
        <f t="shared" si="717"/>
        <v>0.10905639832134861</v>
      </c>
      <c r="BM201" s="426">
        <f t="shared" si="717"/>
        <v>8.3654656400462546E-2</v>
      </c>
      <c r="BN201" s="426">
        <f t="shared" si="717"/>
        <v>3.5535522723866508E-2</v>
      </c>
      <c r="BO201" s="426">
        <f t="shared" si="717"/>
        <v>-2.8218857669016773E-3</v>
      </c>
      <c r="BP201" s="426">
        <f t="shared" si="717"/>
        <v>5.4991802631183972E-2</v>
      </c>
      <c r="BQ201" s="426">
        <f t="shared" si="717"/>
        <v>-3.6563493704381833E-2</v>
      </c>
      <c r="BR201" s="426">
        <f t="shared" si="717"/>
        <v>1.6240234812770149E-2</v>
      </c>
      <c r="BS201" s="426">
        <f t="shared" si="717"/>
        <v>3.1023862094918586E-2</v>
      </c>
      <c r="BT201" s="426">
        <f t="shared" si="717"/>
        <v>8.8868032747695835E-2</v>
      </c>
      <c r="BU201" s="426">
        <f t="shared" si="717"/>
        <v>2.4523396862521363E-2</v>
      </c>
      <c r="BV201" s="426">
        <f t="shared" si="717"/>
        <v>0.11998030254598224</v>
      </c>
      <c r="BW201" s="426">
        <f t="shared" si="717"/>
        <v>0.10130656973013918</v>
      </c>
      <c r="BX201" s="426">
        <f t="shared" si="717"/>
        <v>0.1209249554560643</v>
      </c>
      <c r="BY201" s="426">
        <f t="shared" si="717"/>
        <v>0.14131001563690737</v>
      </c>
      <c r="BZ201" s="426">
        <f t="shared" si="717"/>
        <v>0.1209972743471539</v>
      </c>
      <c r="CA201" s="426">
        <f t="shared" si="717"/>
        <v>0.12549124938174394</v>
      </c>
      <c r="CB201" s="426">
        <f t="shared" si="717"/>
        <v>0.14021748953654245</v>
      </c>
      <c r="CC201" s="426">
        <f t="shared" si="717"/>
        <v>8.0473524822312958E-2</v>
      </c>
      <c r="CD201" s="426">
        <f t="shared" si="717"/>
        <v>0.10188445098947385</v>
      </c>
      <c r="CE201" s="426">
        <f t="shared" si="717"/>
        <v>0.11144870711391297</v>
      </c>
      <c r="CF201" s="426">
        <f t="shared" si="717"/>
        <v>0.12792485205340554</v>
      </c>
      <c r="CG201" s="426">
        <f t="shared" si="717"/>
        <v>7.1556166414006972E-2</v>
      </c>
      <c r="CH201" s="426">
        <f t="shared" si="717"/>
        <v>3.7617685095586939E-2</v>
      </c>
      <c r="CI201" s="426">
        <f t="shared" si="717"/>
        <v>6.9371880625560101E-2</v>
      </c>
      <c r="CJ201" s="426"/>
      <c r="CK201" s="426">
        <f t="shared" si="717"/>
        <v>-2.4425700128867245E-3</v>
      </c>
      <c r="CL201" s="426">
        <f t="shared" si="717"/>
        <v>-1</v>
      </c>
      <c r="CM201" s="426">
        <f t="shared" si="717"/>
        <v>-1</v>
      </c>
      <c r="CN201" s="426"/>
      <c r="CO201" s="426"/>
      <c r="CP201" s="426"/>
      <c r="CQ201" s="426"/>
      <c r="CR201" s="426"/>
      <c r="CS201" s="426"/>
      <c r="CT201" s="426"/>
      <c r="CU201" s="347"/>
      <c r="CV201" s="1363"/>
      <c r="CW201" s="347"/>
      <c r="CX201" s="347"/>
      <c r="CZ201" s="354"/>
      <c r="DA201" s="354"/>
      <c r="DB201" s="354"/>
      <c r="DC201" s="354"/>
      <c r="DD201" s="354"/>
      <c r="DE201" s="354"/>
    </row>
    <row r="202" spans="1:118" hidden="1" outlineLevel="1">
      <c r="B202" s="573"/>
      <c r="C202" s="390"/>
      <c r="D202" s="390"/>
      <c r="E202" s="390"/>
      <c r="F202" s="390"/>
      <c r="G202" s="390"/>
      <c r="H202" s="390"/>
      <c r="I202" s="390"/>
      <c r="J202" s="390"/>
      <c r="K202" s="390"/>
      <c r="L202" s="390"/>
      <c r="M202" s="390"/>
      <c r="N202" s="390"/>
      <c r="O202" s="390"/>
      <c r="P202" s="390"/>
      <c r="Q202" s="390"/>
      <c r="R202" s="390"/>
      <c r="S202" s="390"/>
      <c r="T202" s="390"/>
      <c r="U202" s="390"/>
      <c r="V202" s="390"/>
      <c r="W202" s="390"/>
      <c r="X202" s="390"/>
      <c r="Y202" s="390"/>
      <c r="Z202" s="390"/>
      <c r="AA202" s="390"/>
      <c r="AB202" s="390"/>
      <c r="AC202" s="390"/>
      <c r="AD202" s="390"/>
      <c r="AE202" s="390"/>
      <c r="AF202" s="390"/>
      <c r="AG202" s="390"/>
      <c r="AH202" s="390"/>
      <c r="AI202" s="390"/>
      <c r="AJ202" s="390"/>
      <c r="AK202" s="390"/>
      <c r="AL202" s="390"/>
      <c r="AM202" s="390"/>
      <c r="AN202" s="390"/>
      <c r="AO202" s="390"/>
      <c r="AP202" s="390"/>
      <c r="AQ202" s="390"/>
      <c r="AR202" s="390"/>
      <c r="AS202" s="390"/>
      <c r="AT202" s="390"/>
      <c r="AU202" s="390"/>
      <c r="AV202" s="390"/>
      <c r="AW202" s="390"/>
      <c r="AX202" s="390"/>
      <c r="AY202" s="390"/>
      <c r="AZ202" s="390"/>
      <c r="BA202" s="390"/>
      <c r="BB202" s="390"/>
      <c r="BC202" s="390"/>
      <c r="BD202" s="390"/>
      <c r="BE202" s="390"/>
      <c r="BF202" s="390"/>
      <c r="BG202" s="390"/>
      <c r="BH202" s="390"/>
      <c r="BI202" s="390"/>
      <c r="BJ202" s="390"/>
      <c r="BK202" s="390"/>
      <c r="BL202" s="390"/>
      <c r="BM202" s="390"/>
      <c r="BN202" s="390"/>
      <c r="BO202" s="390"/>
      <c r="BP202" s="390"/>
      <c r="BQ202" s="390"/>
      <c r="BR202" s="390"/>
      <c r="BS202" s="390"/>
      <c r="BT202" s="390"/>
      <c r="BU202" s="390"/>
      <c r="BV202" s="390"/>
      <c r="BW202" s="390"/>
      <c r="BX202" s="390"/>
      <c r="BY202" s="390"/>
      <c r="BZ202" s="390"/>
      <c r="CA202" s="390"/>
      <c r="CB202" s="390"/>
      <c r="CC202" s="390"/>
      <c r="CD202" s="390"/>
      <c r="CE202" s="390"/>
      <c r="CF202" s="390"/>
      <c r="CG202" s="390"/>
      <c r="CH202" s="390"/>
      <c r="CI202" s="390"/>
      <c r="CJ202" s="390"/>
      <c r="CK202" s="390"/>
      <c r="CL202" s="390"/>
      <c r="CM202" s="390"/>
      <c r="CN202" s="390"/>
      <c r="CO202" s="390"/>
      <c r="CP202" s="390"/>
      <c r="CQ202" s="390"/>
      <c r="CR202" s="390"/>
      <c r="CS202" s="390"/>
      <c r="CT202" s="390"/>
      <c r="CU202" s="347"/>
      <c r="CV202" s="1363"/>
      <c r="CW202" s="347"/>
      <c r="CX202" s="347"/>
      <c r="CZ202" s="354"/>
      <c r="DA202" s="354"/>
      <c r="DB202" s="354"/>
      <c r="DC202" s="354"/>
      <c r="DD202" s="354"/>
      <c r="DE202" s="354"/>
    </row>
    <row r="203" spans="1:118" hidden="1" outlineLevel="1">
      <c r="B203" s="562" t="s">
        <v>575</v>
      </c>
      <c r="C203" s="426"/>
      <c r="D203" s="426"/>
      <c r="E203" s="426"/>
      <c r="F203" s="426"/>
      <c r="G203" s="426"/>
      <c r="H203" s="426"/>
      <c r="I203" s="426"/>
      <c r="J203" s="426"/>
      <c r="K203" s="426"/>
      <c r="L203" s="426"/>
      <c r="M203" s="426"/>
      <c r="N203" s="426"/>
      <c r="O203" s="426"/>
      <c r="P203" s="426"/>
      <c r="Q203" s="426"/>
      <c r="R203" s="426"/>
      <c r="S203" s="426"/>
      <c r="T203" s="426"/>
      <c r="U203" s="426"/>
      <c r="V203" s="426"/>
      <c r="W203" s="426"/>
      <c r="X203" s="426"/>
      <c r="Y203" s="426"/>
      <c r="Z203" s="426"/>
      <c r="AA203" s="426"/>
      <c r="AB203" s="426"/>
      <c r="AC203" s="426"/>
      <c r="AD203" s="426"/>
      <c r="AE203" s="426"/>
      <c r="AF203" s="426"/>
      <c r="AG203" s="426"/>
      <c r="AH203" s="426"/>
      <c r="AI203" s="426"/>
      <c r="AJ203" s="426"/>
      <c r="AK203" s="426"/>
      <c r="AL203" s="426"/>
      <c r="AM203" s="426"/>
      <c r="AN203" s="426"/>
      <c r="AO203" s="426"/>
      <c r="AP203" s="426"/>
      <c r="AQ203" s="426"/>
      <c r="AR203" s="426"/>
      <c r="AS203" s="426"/>
      <c r="AT203" s="426"/>
      <c r="AU203" s="426"/>
      <c r="AV203" s="426"/>
      <c r="AW203" s="426"/>
      <c r="AX203" s="426"/>
      <c r="AY203" s="426"/>
      <c r="AZ203" s="426"/>
      <c r="BA203" s="426"/>
      <c r="BB203" s="354">
        <f t="shared" ref="BB203:CA203" si="718">BB136*BB97*BB153/1000000</f>
        <v>4860</v>
      </c>
      <c r="BC203" s="354">
        <f t="shared" si="718"/>
        <v>4994.1000000000004</v>
      </c>
      <c r="BD203" s="354">
        <f t="shared" si="718"/>
        <v>5126.3999999999996</v>
      </c>
      <c r="BE203" s="354">
        <f t="shared" si="718"/>
        <v>5385.6</v>
      </c>
      <c r="BF203" s="354">
        <f t="shared" si="718"/>
        <v>20487.599999999999</v>
      </c>
      <c r="BG203" s="354">
        <f t="shared" si="718"/>
        <v>5445</v>
      </c>
      <c r="BH203" s="354">
        <f t="shared" si="718"/>
        <v>5696.7</v>
      </c>
      <c r="BI203" s="354">
        <f t="shared" si="718"/>
        <v>5885.25</v>
      </c>
      <c r="BJ203" s="354">
        <f t="shared" si="718"/>
        <v>6058.8</v>
      </c>
      <c r="BK203" s="354">
        <f t="shared" si="718"/>
        <v>23101.200000000001</v>
      </c>
      <c r="BL203" s="354">
        <f t="shared" si="718"/>
        <v>6058.26</v>
      </c>
      <c r="BM203" s="354">
        <f t="shared" si="718"/>
        <v>6169.38</v>
      </c>
      <c r="BN203" s="354">
        <f t="shared" si="718"/>
        <v>6077.7</v>
      </c>
      <c r="BO203" s="354">
        <f t="shared" si="718"/>
        <v>5853.27</v>
      </c>
      <c r="BP203" s="354">
        <f t="shared" si="718"/>
        <v>24579.555</v>
      </c>
      <c r="BQ203" s="354">
        <f t="shared" si="718"/>
        <v>5979.75</v>
      </c>
      <c r="BR203" s="354">
        <f t="shared" si="718"/>
        <v>6259.29</v>
      </c>
      <c r="BS203" s="354">
        <f t="shared" si="718"/>
        <v>6368.625</v>
      </c>
      <c r="BT203" s="354">
        <f t="shared" si="718"/>
        <v>6431.8950000000004</v>
      </c>
      <c r="BU203" s="354">
        <f t="shared" si="718"/>
        <v>25360.2</v>
      </c>
      <c r="BV203" s="354">
        <f t="shared" si="718"/>
        <v>6205.14</v>
      </c>
      <c r="BW203" s="354">
        <f t="shared" si="718"/>
        <v>6682.4549999999999</v>
      </c>
      <c r="BX203" s="354">
        <f t="shared" si="718"/>
        <v>6877.8</v>
      </c>
      <c r="BY203" s="354">
        <f t="shared" si="718"/>
        <v>6894</v>
      </c>
      <c r="BZ203" s="354">
        <f t="shared" si="718"/>
        <v>26832.825000000001</v>
      </c>
      <c r="CA203" s="354">
        <f t="shared" si="718"/>
        <v>6924</v>
      </c>
      <c r="CB203" s="354">
        <f t="shared" ref="CB203:CC203" si="719">CB136*CB97*CB153/1000000</f>
        <v>7301.7</v>
      </c>
      <c r="CC203" s="354">
        <f t="shared" si="719"/>
        <v>7276.5</v>
      </c>
      <c r="CD203" s="354">
        <f t="shared" ref="CD203:CE203" si="720">CD136*CD97*CD153/1000000</f>
        <v>7417.5</v>
      </c>
      <c r="CE203" s="354">
        <f t="shared" si="720"/>
        <v>0</v>
      </c>
      <c r="CF203" s="354">
        <f t="shared" ref="CF203:CG203" si="721">CF136*CF97*CF153/1000000</f>
        <v>7596.6</v>
      </c>
      <c r="CG203" s="354">
        <f t="shared" si="721"/>
        <v>7662.6</v>
      </c>
      <c r="CH203" s="354">
        <f t="shared" ref="CH203:CI203" si="722">CH136*CH97*CH153/1000000</f>
        <v>7201.65</v>
      </c>
      <c r="CI203" s="354">
        <f t="shared" si="722"/>
        <v>7220.1</v>
      </c>
      <c r="CJ203" s="354"/>
      <c r="CK203" s="354">
        <f t="shared" ref="CK203:CL203" si="723">CK136*CK97*CK153/1000000</f>
        <v>7062</v>
      </c>
      <c r="CL203" s="354">
        <f t="shared" si="723"/>
        <v>7641</v>
      </c>
      <c r="CM203" s="354">
        <f t="shared" ref="CM203" si="724">CM136*CM97*CM153/1000000</f>
        <v>9464.3700000000008</v>
      </c>
      <c r="CN203" s="354"/>
      <c r="CO203" s="354"/>
      <c r="CP203" s="354"/>
      <c r="CQ203" s="354"/>
      <c r="CR203" s="354"/>
      <c r="CS203" s="354"/>
      <c r="CT203" s="354"/>
      <c r="CU203" s="347"/>
      <c r="CV203" s="1363"/>
      <c r="CW203" s="347"/>
      <c r="CX203" s="347"/>
      <c r="CZ203" s="354"/>
      <c r="DA203" s="354"/>
      <c r="DB203" s="354"/>
      <c r="DC203" s="354"/>
      <c r="DD203" s="354"/>
      <c r="DE203" s="354"/>
    </row>
    <row r="204" spans="1:118" hidden="1" outlineLevel="1">
      <c r="B204" s="562" t="s">
        <v>561</v>
      </c>
      <c r="C204" s="426"/>
      <c r="D204" s="426"/>
      <c r="E204" s="426"/>
      <c r="F204" s="426"/>
      <c r="G204" s="426"/>
      <c r="H204" s="426"/>
      <c r="I204" s="426"/>
      <c r="J204" s="426"/>
      <c r="K204" s="426"/>
      <c r="L204" s="426"/>
      <c r="M204" s="426"/>
      <c r="N204" s="426"/>
      <c r="O204" s="426"/>
      <c r="P204" s="426"/>
      <c r="Q204" s="426"/>
      <c r="R204" s="426"/>
      <c r="S204" s="426"/>
      <c r="T204" s="426"/>
      <c r="U204" s="426"/>
      <c r="V204" s="426"/>
      <c r="W204" s="426"/>
      <c r="X204" s="426"/>
      <c r="Y204" s="426"/>
      <c r="Z204" s="426"/>
      <c r="AA204" s="426"/>
      <c r="AB204" s="426"/>
      <c r="AC204" s="426"/>
      <c r="AD204" s="426"/>
      <c r="AE204" s="426"/>
      <c r="AF204" s="426"/>
      <c r="AG204" s="426"/>
      <c r="AH204" s="426"/>
      <c r="AI204" s="426"/>
      <c r="AJ204" s="426"/>
      <c r="AK204" s="426"/>
      <c r="AL204" s="426"/>
      <c r="AM204" s="426"/>
      <c r="AN204" s="426"/>
      <c r="AO204" s="426"/>
      <c r="AP204" s="426"/>
      <c r="AQ204" s="426"/>
      <c r="AR204" s="426"/>
      <c r="AS204" s="426"/>
      <c r="AT204" s="426"/>
      <c r="AU204" s="426"/>
      <c r="AV204" s="426"/>
      <c r="AW204" s="426"/>
      <c r="AX204" s="426"/>
      <c r="AY204" s="426"/>
      <c r="AZ204" s="426"/>
      <c r="BA204" s="426"/>
      <c r="BB204" s="354"/>
      <c r="BC204" s="354"/>
      <c r="BD204" s="354"/>
      <c r="BE204" s="354"/>
      <c r="BF204" s="354"/>
      <c r="BG204" s="356">
        <f t="shared" ref="BG204:CM204" si="725">BG203/BB203-1</f>
        <v>0.12037037037037046</v>
      </c>
      <c r="BH204" s="356">
        <f t="shared" si="725"/>
        <v>0.14068600949119947</v>
      </c>
      <c r="BI204" s="356">
        <f t="shared" si="725"/>
        <v>0.14802785580524347</v>
      </c>
      <c r="BJ204" s="356">
        <f t="shared" si="725"/>
        <v>0.125</v>
      </c>
      <c r="BK204" s="356">
        <f t="shared" si="725"/>
        <v>0.12756984712704278</v>
      </c>
      <c r="BL204" s="356">
        <f t="shared" si="725"/>
        <v>0.11262809917355376</v>
      </c>
      <c r="BM204" s="356">
        <f t="shared" si="725"/>
        <v>8.2974353573121329E-2</v>
      </c>
      <c r="BN204" s="356">
        <f t="shared" si="725"/>
        <v>3.2700395055435205E-2</v>
      </c>
      <c r="BO204" s="356">
        <f t="shared" si="725"/>
        <v>-3.392255892255891E-2</v>
      </c>
      <c r="BP204" s="356">
        <f t="shared" si="725"/>
        <v>6.3994727546620833E-2</v>
      </c>
      <c r="BQ204" s="356">
        <f t="shared" si="725"/>
        <v>-1.2959166493349605E-2</v>
      </c>
      <c r="BR204" s="356">
        <f t="shared" si="725"/>
        <v>1.457358762144656E-2</v>
      </c>
      <c r="BS204" s="356">
        <f t="shared" si="725"/>
        <v>4.7867614393602764E-2</v>
      </c>
      <c r="BT204" s="356">
        <f t="shared" si="725"/>
        <v>9.8854999000558719E-2</v>
      </c>
      <c r="BU204" s="356">
        <f t="shared" si="725"/>
        <v>3.1759932187543694E-2</v>
      </c>
      <c r="BV204" s="356">
        <f t="shared" si="725"/>
        <v>3.7692211212843496E-2</v>
      </c>
      <c r="BW204" s="356">
        <f t="shared" si="725"/>
        <v>6.7605910574521921E-2</v>
      </c>
      <c r="BX204" s="356">
        <f t="shared" si="725"/>
        <v>7.9950538774068214E-2</v>
      </c>
      <c r="BY204" s="356">
        <f t="shared" si="725"/>
        <v>7.184585569260693E-2</v>
      </c>
      <c r="BZ204" s="356">
        <f t="shared" si="725"/>
        <v>5.8068351195968537E-2</v>
      </c>
      <c r="CA204" s="356">
        <f t="shared" si="725"/>
        <v>0.11584911863390657</v>
      </c>
      <c r="CB204" s="356">
        <f t="shared" si="725"/>
        <v>9.2667290688826176E-2</v>
      </c>
      <c r="CC204" s="356">
        <f t="shared" si="725"/>
        <v>5.7969118031928835E-2</v>
      </c>
      <c r="CD204" s="356">
        <f t="shared" si="725"/>
        <v>7.5935596170583208E-2</v>
      </c>
      <c r="CE204" s="356">
        <f t="shared" si="725"/>
        <v>-1</v>
      </c>
      <c r="CF204" s="356">
        <f t="shared" si="725"/>
        <v>9.7140381282495802E-2</v>
      </c>
      <c r="CG204" s="356">
        <f t="shared" si="725"/>
        <v>4.9426845803032249E-2</v>
      </c>
      <c r="CH204" s="356">
        <f t="shared" si="725"/>
        <v>-1.0286538857967487E-2</v>
      </c>
      <c r="CI204" s="356">
        <f t="shared" si="725"/>
        <v>-2.6612740141557123E-2</v>
      </c>
      <c r="CJ204" s="356"/>
      <c r="CK204" s="356">
        <f t="shared" si="725"/>
        <v>-7.0373588184187708E-2</v>
      </c>
      <c r="CL204" s="356">
        <f t="shared" si="725"/>
        <v>-2.8188865398167673E-3</v>
      </c>
      <c r="CM204" s="356">
        <f t="shared" si="725"/>
        <v>0.31419466372289695</v>
      </c>
      <c r="CN204" s="356"/>
      <c r="CO204" s="356"/>
      <c r="CP204" s="356"/>
      <c r="CQ204" s="356"/>
      <c r="CR204" s="356"/>
      <c r="CS204" s="356"/>
      <c r="CT204" s="356"/>
      <c r="CU204" s="347"/>
      <c r="CV204" s="1363"/>
      <c r="CW204" s="347"/>
      <c r="CX204" s="347"/>
      <c r="CY204" s="347"/>
      <c r="CZ204" s="354"/>
      <c r="DA204" s="354"/>
      <c r="DB204" s="354"/>
      <c r="DC204" s="354"/>
      <c r="DD204" s="354"/>
      <c r="DE204" s="354"/>
    </row>
    <row r="205" spans="1:118" hidden="1" outlineLevel="1">
      <c r="B205" s="562" t="s">
        <v>560</v>
      </c>
      <c r="C205" s="426"/>
      <c r="D205" s="426"/>
      <c r="E205" s="426"/>
      <c r="F205" s="426"/>
      <c r="G205" s="426"/>
      <c r="H205" s="426"/>
      <c r="I205" s="426"/>
      <c r="J205" s="426"/>
      <c r="K205" s="426"/>
      <c r="L205" s="426"/>
      <c r="M205" s="426"/>
      <c r="N205" s="426"/>
      <c r="O205" s="426"/>
      <c r="P205" s="426"/>
      <c r="Q205" s="426"/>
      <c r="R205" s="426"/>
      <c r="S205" s="426"/>
      <c r="T205" s="426"/>
      <c r="U205" s="426"/>
      <c r="V205" s="426"/>
      <c r="W205" s="426"/>
      <c r="X205" s="426"/>
      <c r="Y205" s="426"/>
      <c r="Z205" s="426"/>
      <c r="AA205" s="426"/>
      <c r="AB205" s="426"/>
      <c r="AC205" s="426"/>
      <c r="AD205" s="426"/>
      <c r="AE205" s="426"/>
      <c r="AF205" s="426"/>
      <c r="AG205" s="426"/>
      <c r="AH205" s="426"/>
      <c r="AI205" s="426"/>
      <c r="AJ205" s="426"/>
      <c r="AK205" s="426"/>
      <c r="AL205" s="426"/>
      <c r="AM205" s="426"/>
      <c r="AN205" s="426"/>
      <c r="AO205" s="426"/>
      <c r="AP205" s="426"/>
      <c r="AQ205" s="426"/>
      <c r="AR205" s="426"/>
      <c r="AS205" s="426"/>
      <c r="AT205" s="426"/>
      <c r="AU205" s="426"/>
      <c r="AV205" s="426"/>
      <c r="AW205" s="426"/>
      <c r="AX205" s="426"/>
      <c r="AY205" s="426"/>
      <c r="AZ205" s="426"/>
      <c r="BA205" s="426"/>
      <c r="BB205" s="354">
        <f t="shared" ref="BB205:CA205" si="726">BB200-BB203</f>
        <v>-6.5969999999997526</v>
      </c>
      <c r="BC205" s="354">
        <f t="shared" si="726"/>
        <v>-151.97299999999996</v>
      </c>
      <c r="BD205" s="354">
        <f t="shared" si="726"/>
        <v>-79.185999999999694</v>
      </c>
      <c r="BE205" s="354">
        <f t="shared" si="726"/>
        <v>-42.484000000000378</v>
      </c>
      <c r="BF205" s="354">
        <f t="shared" si="726"/>
        <v>-401.73999999999796</v>
      </c>
      <c r="BG205" s="354">
        <f t="shared" si="726"/>
        <v>-28.509000000000015</v>
      </c>
      <c r="BH205" s="354">
        <f t="shared" si="726"/>
        <v>5.5050000000001091</v>
      </c>
      <c r="BI205" s="354">
        <f t="shared" si="726"/>
        <v>52.779999999999745</v>
      </c>
      <c r="BJ205" s="354">
        <f t="shared" si="726"/>
        <v>-164.86899999999969</v>
      </c>
      <c r="BK205" s="354">
        <f t="shared" si="726"/>
        <v>-150.54300000000148</v>
      </c>
      <c r="BL205" s="354">
        <f t="shared" si="726"/>
        <v>-51.065999999999804</v>
      </c>
      <c r="BM205" s="354">
        <f t="shared" si="726"/>
        <v>9.8409999999994398</v>
      </c>
      <c r="BN205" s="354">
        <f t="shared" si="726"/>
        <v>71.341000000000349</v>
      </c>
      <c r="BO205" s="354">
        <f t="shared" si="726"/>
        <v>24.028999999999542</v>
      </c>
      <c r="BP205" s="354">
        <f t="shared" si="726"/>
        <v>-366.79999999999927</v>
      </c>
      <c r="BQ205" s="354">
        <f t="shared" si="726"/>
        <v>-192.19999999999982</v>
      </c>
      <c r="BR205" s="354">
        <f t="shared" si="726"/>
        <v>20.283000000000357</v>
      </c>
      <c r="BS205" s="354">
        <f t="shared" si="726"/>
        <v>-28.817000000000007</v>
      </c>
      <c r="BT205" s="354">
        <f t="shared" si="726"/>
        <v>-32.292000000000371</v>
      </c>
      <c r="BU205" s="354">
        <f t="shared" si="726"/>
        <v>-553.66600000000108</v>
      </c>
      <c r="BV205" s="354">
        <f t="shared" si="726"/>
        <v>276.80199999999968</v>
      </c>
      <c r="BW205" s="354">
        <f t="shared" si="726"/>
        <v>233.27999999999975</v>
      </c>
      <c r="BX205" s="354">
        <f t="shared" si="726"/>
        <v>228.64899999999943</v>
      </c>
      <c r="BY205" s="354">
        <f t="shared" si="726"/>
        <v>409.93099999999959</v>
      </c>
      <c r="BZ205" s="354">
        <f t="shared" si="726"/>
        <v>975.23199999999997</v>
      </c>
      <c r="CA205" s="354">
        <f t="shared" si="726"/>
        <v>371.36899999999969</v>
      </c>
      <c r="CB205" s="354">
        <f t="shared" ref="CB205:CC205" si="727">CB200-CB203</f>
        <v>583.74200000000019</v>
      </c>
      <c r="CC205" s="354">
        <f t="shared" si="727"/>
        <v>401.83000000000084</v>
      </c>
      <c r="CD205" s="354">
        <f t="shared" ref="CD205:CE205" si="728">CD200-CD203</f>
        <v>630.58799999999883</v>
      </c>
      <c r="CE205" s="354">
        <f t="shared" si="728"/>
        <v>30907.228999999999</v>
      </c>
      <c r="CF205" s="354">
        <f t="shared" ref="CF205:CG205" si="729">CF200-CF203</f>
        <v>632.02800000000025</v>
      </c>
      <c r="CG205" s="354">
        <f t="shared" si="729"/>
        <v>787.09399999999914</v>
      </c>
      <c r="CH205" s="354">
        <f t="shared" ref="CH205:CI205" si="730">CH200-CH203</f>
        <v>765.52099999999882</v>
      </c>
      <c r="CI205" s="354">
        <f t="shared" si="730"/>
        <v>1386.2990000000009</v>
      </c>
      <c r="CJ205" s="413"/>
      <c r="CK205" s="354">
        <f t="shared" ref="CK205:CL205" si="731">CK200-CK203</f>
        <v>1146.5290000000005</v>
      </c>
      <c r="CL205" s="354">
        <f t="shared" si="731"/>
        <v>-7641</v>
      </c>
      <c r="CM205" s="354">
        <f t="shared" ref="CM205" si="732">CM200-CM203</f>
        <v>-9464.3700000000008</v>
      </c>
      <c r="CN205" s="354"/>
      <c r="CO205" s="413"/>
      <c r="CP205" s="413"/>
      <c r="CQ205" s="413"/>
      <c r="CR205" s="413"/>
      <c r="CS205" s="413"/>
      <c r="CT205" s="413"/>
      <c r="CU205" s="347"/>
      <c r="CV205" s="1363"/>
      <c r="CW205" s="347"/>
      <c r="CX205" s="347"/>
      <c r="CY205" s="347"/>
      <c r="CZ205" s="354"/>
      <c r="DA205" s="354"/>
      <c r="DB205" s="354"/>
      <c r="DC205" s="354"/>
      <c r="DD205" s="354"/>
      <c r="DE205" s="354"/>
    </row>
    <row r="206" spans="1:118" hidden="1" outlineLevel="1">
      <c r="B206" s="573"/>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0"/>
      <c r="AP206" s="390"/>
      <c r="AQ206" s="390"/>
      <c r="AR206" s="390"/>
      <c r="AS206" s="390"/>
      <c r="AT206" s="390"/>
      <c r="AU206" s="390"/>
      <c r="AV206" s="390"/>
      <c r="AW206" s="390"/>
      <c r="AX206" s="390"/>
      <c r="AY206" s="390"/>
      <c r="AZ206" s="390"/>
      <c r="BA206" s="390"/>
      <c r="BB206" s="390"/>
      <c r="BC206" s="390"/>
      <c r="BD206" s="390"/>
      <c r="BE206" s="390"/>
      <c r="BF206" s="390"/>
      <c r="BG206" s="390"/>
      <c r="BH206" s="390"/>
      <c r="BI206" s="390"/>
      <c r="BJ206" s="390"/>
      <c r="BK206" s="390"/>
      <c r="BL206" s="390"/>
      <c r="BM206" s="390"/>
      <c r="BN206" s="390"/>
      <c r="BO206" s="390"/>
      <c r="BP206" s="390"/>
      <c r="BQ206" s="390"/>
      <c r="BR206" s="390"/>
      <c r="BS206" s="390"/>
      <c r="BT206" s="390"/>
      <c r="BU206" s="390"/>
      <c r="BV206" s="390"/>
      <c r="BW206" s="390"/>
      <c r="BX206" s="390"/>
      <c r="BY206" s="390"/>
      <c r="BZ206" s="390"/>
      <c r="CA206" s="390"/>
      <c r="CB206" s="390"/>
      <c r="CC206" s="390"/>
      <c r="CD206" s="390"/>
      <c r="CE206" s="390"/>
      <c r="CF206" s="390"/>
      <c r="CG206" s="390"/>
      <c r="CH206" s="390"/>
      <c r="CI206" s="390"/>
      <c r="CJ206" s="390"/>
      <c r="CK206" s="390"/>
      <c r="CL206" s="390"/>
      <c r="CM206" s="390"/>
      <c r="CN206" s="390"/>
      <c r="CO206" s="390"/>
      <c r="CP206" s="390"/>
      <c r="CQ206" s="390"/>
      <c r="CR206" s="390"/>
      <c r="CS206" s="390"/>
      <c r="CT206" s="390"/>
      <c r="CU206" s="347"/>
      <c r="CV206" s="1363"/>
      <c r="CW206" s="347"/>
      <c r="CX206" s="347"/>
      <c r="CY206" s="347"/>
      <c r="CZ206" s="354"/>
      <c r="DA206" s="354"/>
      <c r="DB206" s="354"/>
      <c r="DC206" s="354"/>
      <c r="DD206" s="354"/>
      <c r="DE206" s="354"/>
    </row>
    <row r="207" spans="1:118" hidden="1" outlineLevel="1">
      <c r="B207" s="579" t="s">
        <v>576</v>
      </c>
      <c r="C207" s="390"/>
      <c r="D207" s="390"/>
      <c r="E207" s="390"/>
      <c r="F207" s="390"/>
      <c r="G207" s="390"/>
      <c r="H207" s="390"/>
      <c r="I207" s="390"/>
      <c r="J207" s="390"/>
      <c r="K207" s="390"/>
      <c r="L207" s="390"/>
      <c r="M207" s="390"/>
      <c r="N207" s="390"/>
      <c r="O207" s="390"/>
      <c r="P207" s="390"/>
      <c r="Q207" s="390"/>
      <c r="R207" s="390"/>
      <c r="S207" s="390"/>
      <c r="T207" s="390"/>
      <c r="U207" s="390"/>
      <c r="V207" s="390"/>
      <c r="W207" s="390"/>
      <c r="X207" s="390"/>
      <c r="Y207" s="390"/>
      <c r="Z207" s="390"/>
      <c r="AA207" s="390"/>
      <c r="AB207" s="390"/>
      <c r="AC207" s="390"/>
      <c r="AD207" s="390"/>
      <c r="AE207" s="390"/>
      <c r="AF207" s="390"/>
      <c r="AG207" s="390"/>
      <c r="AH207" s="390"/>
      <c r="AI207" s="390"/>
      <c r="AJ207" s="390"/>
      <c r="AK207" s="390"/>
      <c r="AL207" s="390"/>
      <c r="AM207" s="390"/>
      <c r="AN207" s="390"/>
      <c r="AO207" s="390"/>
      <c r="AP207" s="390"/>
      <c r="AQ207" s="390"/>
      <c r="AR207" s="390"/>
      <c r="AS207" s="390"/>
      <c r="AT207" s="390"/>
      <c r="AU207" s="390"/>
      <c r="AV207" s="390"/>
      <c r="AW207" s="390"/>
      <c r="AX207" s="390"/>
      <c r="AY207" s="390"/>
      <c r="AZ207" s="390"/>
      <c r="BA207" s="390"/>
      <c r="BB207" s="390"/>
      <c r="BC207" s="390"/>
      <c r="BD207" s="390"/>
      <c r="BE207" s="390"/>
      <c r="BF207" s="390"/>
      <c r="BG207" s="390"/>
      <c r="BH207" s="390"/>
      <c r="BI207" s="390"/>
      <c r="BJ207" s="390"/>
      <c r="BK207" s="390"/>
      <c r="BL207" s="390"/>
      <c r="BM207" s="390"/>
      <c r="BN207" s="390"/>
      <c r="BO207" s="390"/>
      <c r="BP207" s="390"/>
      <c r="BQ207" s="390"/>
      <c r="BR207" s="390"/>
      <c r="BS207" s="390"/>
      <c r="BT207" s="390"/>
      <c r="BU207" s="390"/>
      <c r="BV207" s="390"/>
      <c r="BW207" s="390"/>
      <c r="BX207" s="390"/>
      <c r="BY207" s="390"/>
      <c r="BZ207" s="390"/>
      <c r="CA207" s="390"/>
      <c r="CB207" s="390"/>
      <c r="CC207" s="390"/>
      <c r="CD207" s="390"/>
      <c r="CE207" s="390"/>
      <c r="CF207" s="390"/>
      <c r="CG207" s="390"/>
      <c r="CH207" s="390"/>
      <c r="CI207" s="390"/>
      <c r="CJ207" s="390"/>
      <c r="CK207" s="390"/>
      <c r="CL207" s="390"/>
      <c r="CM207" s="390"/>
      <c r="CN207" s="390"/>
      <c r="CO207" s="390"/>
      <c r="CP207" s="390"/>
      <c r="CQ207" s="390"/>
      <c r="CR207" s="390"/>
      <c r="CS207" s="390"/>
      <c r="CT207" s="390"/>
      <c r="CU207" s="347"/>
      <c r="CV207" s="1363"/>
      <c r="CW207" s="347"/>
      <c r="CX207" s="347"/>
      <c r="CY207" s="347"/>
      <c r="CZ207" s="354"/>
      <c r="DA207" s="354"/>
      <c r="DB207" s="354"/>
      <c r="DC207" s="354"/>
      <c r="DD207" s="354"/>
      <c r="DE207" s="354"/>
    </row>
    <row r="208" spans="1:118" hidden="1" outlineLevel="1">
      <c r="B208" s="562" t="s">
        <v>48</v>
      </c>
      <c r="C208" s="426"/>
      <c r="D208" s="426"/>
      <c r="E208" s="426"/>
      <c r="F208" s="426"/>
      <c r="G208" s="426"/>
      <c r="H208" s="426"/>
      <c r="I208" s="426"/>
      <c r="J208" s="426"/>
      <c r="K208" s="426"/>
      <c r="L208" s="426"/>
      <c r="M208" s="413">
        <v>1259</v>
      </c>
      <c r="N208" s="372">
        <v>502</v>
      </c>
      <c r="O208" s="372">
        <v>543</v>
      </c>
      <c r="P208" s="372">
        <v>589</v>
      </c>
      <c r="Q208" s="372">
        <v>698</v>
      </c>
      <c r="R208" s="413">
        <v>2332</v>
      </c>
      <c r="S208" s="372">
        <v>721</v>
      </c>
      <c r="T208" s="372">
        <v>819</v>
      </c>
      <c r="U208" s="372">
        <v>903</v>
      </c>
      <c r="V208" s="372">
        <v>888</v>
      </c>
      <c r="W208" s="413">
        <v>2817</v>
      </c>
      <c r="X208" s="413">
        <v>857</v>
      </c>
      <c r="Y208" s="413">
        <v>906</v>
      </c>
      <c r="Z208" s="413">
        <v>956</v>
      </c>
      <c r="AA208" s="413">
        <v>999</v>
      </c>
      <c r="AB208" s="413">
        <v>3718</v>
      </c>
      <c r="AC208" s="413">
        <v>861</v>
      </c>
      <c r="AD208" s="413">
        <v>920</v>
      </c>
      <c r="AE208" s="413">
        <v>1013</v>
      </c>
      <c r="AF208" s="413">
        <v>1066</v>
      </c>
      <c r="AG208" s="413">
        <v>3860</v>
      </c>
      <c r="AH208" s="413">
        <v>1122</v>
      </c>
      <c r="AI208" s="413">
        <v>1425</v>
      </c>
      <c r="AJ208" s="413">
        <v>1451</v>
      </c>
      <c r="AK208" s="413">
        <v>1466</v>
      </c>
      <c r="AL208" s="413">
        <v>5464</v>
      </c>
      <c r="AM208" s="413">
        <v>1447</v>
      </c>
      <c r="AN208" s="413">
        <v>1468</v>
      </c>
      <c r="AO208" s="413">
        <v>1536</v>
      </c>
      <c r="AP208" s="413">
        <v>1765</v>
      </c>
      <c r="AQ208" s="413">
        <v>6216</v>
      </c>
      <c r="AR208" s="413">
        <v>1782</v>
      </c>
      <c r="AS208" s="413">
        <v>1786</v>
      </c>
      <c r="AT208" s="413">
        <v>2123</v>
      </c>
      <c r="AU208" s="413">
        <f>AV208-AT208-AS208-AR208</f>
        <v>2436</v>
      </c>
      <c r="AV208" s="413">
        <v>8127</v>
      </c>
      <c r="AW208" s="352">
        <v>2650</v>
      </c>
      <c r="AX208" s="352">
        <f>5814-AW208</f>
        <v>3164</v>
      </c>
      <c r="AY208" s="352">
        <f>'[16]Reported Group Highlights'!V$66</f>
        <v>3517</v>
      </c>
      <c r="AZ208" s="352">
        <f>'[16]Reported Group Highlights'!W$66</f>
        <v>3757</v>
      </c>
      <c r="BA208" s="372">
        <f>SUM(AW208:AZ208)</f>
        <v>13088</v>
      </c>
      <c r="BB208" s="352">
        <f>'[16]Reported Group Highlights'!X$66</f>
        <v>3462</v>
      </c>
      <c r="BC208" s="352">
        <f>'[16]Reported Group Highlights'!Y$66</f>
        <v>3527</v>
      </c>
      <c r="BD208" s="352">
        <f>'[16]Reported Group Highlights'!Z$66</f>
        <v>3985</v>
      </c>
      <c r="BE208" s="352">
        <f>'[16]Reported Group Highlights'!AA$66</f>
        <v>4362</v>
      </c>
      <c r="BF208" s="372">
        <f>SUM(BB208:BE208)</f>
        <v>15336</v>
      </c>
      <c r="BG208" s="352">
        <f>'[16]Reported Group Highlights'!AB$66</f>
        <v>4636</v>
      </c>
      <c r="BH208" s="352">
        <f>'[16]Reported Group Highlights'!AC$66</f>
        <v>4997</v>
      </c>
      <c r="BI208" s="352">
        <f>'[16]Reported Group Highlights'!AD$66</f>
        <v>5308</v>
      </c>
      <c r="BJ208" s="352">
        <f>'[16]Reported Group Highlights'!AE$66</f>
        <v>5313</v>
      </c>
      <c r="BK208" s="372">
        <f>SUM(BG208:BJ208)</f>
        <v>20254</v>
      </c>
      <c r="BL208" s="352">
        <f>'[16]Reported Group Highlights'!AF$66</f>
        <v>5429</v>
      </c>
      <c r="BM208" s="352">
        <f>'[16]Reported Group Highlights'!AG$66</f>
        <v>5659</v>
      </c>
      <c r="BN208" s="352">
        <f>'[16]Reported Group Highlights'!AH$66</f>
        <v>5684</v>
      </c>
      <c r="BO208" s="352">
        <f>'[16]Reported Group Highlights'!AI$66</f>
        <v>5432</v>
      </c>
      <c r="BP208" s="372">
        <f>SUM(BL208:BO208)</f>
        <v>22204</v>
      </c>
      <c r="BQ208" s="352">
        <f>'[16]Reported Group Highlights'!AJ$66</f>
        <v>5392</v>
      </c>
      <c r="BR208" s="352">
        <f>'[16]Reported Group Highlights'!AK$66</f>
        <v>5896</v>
      </c>
      <c r="BS208" s="352">
        <f>'[16]Reported Group Highlights'!AL$66</f>
        <v>6014</v>
      </c>
      <c r="BT208" s="352">
        <f>'[16]Reported Group Highlights'!AM$66</f>
        <v>6107</v>
      </c>
      <c r="BU208" s="372">
        <f>SUM(BQ208:BT208)</f>
        <v>23409</v>
      </c>
      <c r="BV208" s="352">
        <f>'[16]Reported Group Highlights'!AN$66</f>
        <v>5910</v>
      </c>
      <c r="BW208" s="352">
        <f>'[16]Reported Group Highlights'!AO$66</f>
        <v>6643</v>
      </c>
      <c r="BX208" s="352">
        <f>'[16]Reported Group Highlights'!AP$66</f>
        <v>6846</v>
      </c>
      <c r="BY208" s="352">
        <f>'[16]Reported Group Highlights'!AQ$66</f>
        <v>6836</v>
      </c>
      <c r="BZ208" s="372">
        <f>SUM(BV208:BY208)</f>
        <v>26235</v>
      </c>
      <c r="CA208" s="352">
        <f>'[16]Reported Group Highlights'!AR$66</f>
        <v>6910</v>
      </c>
      <c r="CB208" s="352">
        <f>'[16]Reported Group Highlights'!AS$66</f>
        <v>7501</v>
      </c>
      <c r="CC208" s="352">
        <f>'[16]Reported Group Highlights'!AT$66</f>
        <v>7311</v>
      </c>
      <c r="CD208" s="352">
        <f>'[16]Reported Group Highlights'!AU$66</f>
        <v>7680</v>
      </c>
      <c r="CE208" s="372">
        <f>SUM(CA208:CD208)</f>
        <v>29402</v>
      </c>
      <c r="CF208" s="352">
        <f>'[16]Reported Group Highlights'!AV$66</f>
        <v>7823</v>
      </c>
      <c r="CG208" s="352">
        <f>'[16]Reported Group Highlights'!AW$66</f>
        <v>8015.4740000000002</v>
      </c>
      <c r="CH208" s="352">
        <f>'[16]Reported Group Highlights'!AX$66</f>
        <v>7539</v>
      </c>
      <c r="CI208" s="352">
        <f>'[16]Reported Group Highlights'!AY$66</f>
        <v>8201</v>
      </c>
      <c r="CJ208" s="372"/>
      <c r="CK208" s="352">
        <f>'[16]Reported Group Highlights'!AZ$66</f>
        <v>7887</v>
      </c>
      <c r="CL208" s="352">
        <f>'[16]Reported Group Highlights'!BA$66</f>
        <v>9579</v>
      </c>
      <c r="CM208" s="352">
        <f>'[16]Reported Group Highlights'!BB$66</f>
        <v>10292</v>
      </c>
      <c r="CN208" s="352"/>
      <c r="CO208" s="372"/>
      <c r="CP208" s="372"/>
      <c r="CQ208" s="372"/>
      <c r="CR208" s="372"/>
      <c r="CS208" s="372"/>
      <c r="CT208" s="372"/>
      <c r="CU208" s="347"/>
      <c r="CV208" s="1363"/>
      <c r="CW208" s="347"/>
      <c r="CX208" s="347"/>
      <c r="CY208" s="347"/>
      <c r="CZ208" s="354"/>
      <c r="DA208" s="354"/>
      <c r="DB208" s="354"/>
      <c r="DC208" s="354"/>
      <c r="DD208" s="354"/>
      <c r="DE208" s="354"/>
    </row>
    <row r="209" spans="1:121" hidden="1" outlineLevel="1">
      <c r="B209" s="562" t="s">
        <v>561</v>
      </c>
      <c r="C209" s="426"/>
      <c r="D209" s="426"/>
      <c r="E209" s="426"/>
      <c r="F209" s="426"/>
      <c r="G209" s="426"/>
      <c r="H209" s="426"/>
      <c r="I209" s="426"/>
      <c r="J209" s="426"/>
      <c r="K209" s="426"/>
      <c r="L209" s="426"/>
      <c r="M209" s="426"/>
      <c r="N209" s="426"/>
      <c r="O209" s="426"/>
      <c r="P209" s="426"/>
      <c r="Q209" s="426"/>
      <c r="R209" s="426">
        <f t="shared" ref="R209:AW209" si="733">R208/M208-1</f>
        <v>0.85226370135027807</v>
      </c>
      <c r="S209" s="426">
        <f t="shared" si="733"/>
        <v>0.43625498007968133</v>
      </c>
      <c r="T209" s="426">
        <f t="shared" si="733"/>
        <v>0.50828729281767959</v>
      </c>
      <c r="U209" s="426">
        <f t="shared" si="733"/>
        <v>0.53310696095076393</v>
      </c>
      <c r="V209" s="426">
        <f t="shared" si="733"/>
        <v>0.27220630372492827</v>
      </c>
      <c r="W209" s="426">
        <f t="shared" si="733"/>
        <v>0.20797598627787317</v>
      </c>
      <c r="X209" s="426">
        <f t="shared" si="733"/>
        <v>0.18862690707350893</v>
      </c>
      <c r="Y209" s="426">
        <f t="shared" si="733"/>
        <v>0.10622710622710629</v>
      </c>
      <c r="Z209" s="426">
        <f t="shared" si="733"/>
        <v>5.8693244739756345E-2</v>
      </c>
      <c r="AA209" s="426">
        <f t="shared" si="733"/>
        <v>0.125</v>
      </c>
      <c r="AB209" s="426">
        <f t="shared" si="733"/>
        <v>0.31984380546680868</v>
      </c>
      <c r="AC209" s="426">
        <f t="shared" si="733"/>
        <v>4.667444574095736E-3</v>
      </c>
      <c r="AD209" s="426">
        <f t="shared" si="733"/>
        <v>1.5452538631346657E-2</v>
      </c>
      <c r="AE209" s="426">
        <f t="shared" si="733"/>
        <v>5.9623430962343127E-2</v>
      </c>
      <c r="AF209" s="426">
        <f t="shared" si="733"/>
        <v>6.7067067067066999E-2</v>
      </c>
      <c r="AG209" s="426">
        <f t="shared" si="733"/>
        <v>3.8192576654115129E-2</v>
      </c>
      <c r="AH209" s="426">
        <f t="shared" si="733"/>
        <v>0.30313588850174211</v>
      </c>
      <c r="AI209" s="426">
        <f t="shared" si="733"/>
        <v>0.54891304347826098</v>
      </c>
      <c r="AJ209" s="426">
        <f t="shared" si="733"/>
        <v>0.4323790720631786</v>
      </c>
      <c r="AK209" s="426">
        <f t="shared" si="733"/>
        <v>0.37523452157598491</v>
      </c>
      <c r="AL209" s="426">
        <f t="shared" si="733"/>
        <v>0.41554404145077717</v>
      </c>
      <c r="AM209" s="426">
        <f t="shared" si="733"/>
        <v>0.28966131907308368</v>
      </c>
      <c r="AN209" s="426">
        <f t="shared" si="733"/>
        <v>3.0175438596491189E-2</v>
      </c>
      <c r="AO209" s="426">
        <f t="shared" si="733"/>
        <v>5.8580289455547829E-2</v>
      </c>
      <c r="AP209" s="426">
        <f t="shared" si="733"/>
        <v>0.20395634379263305</v>
      </c>
      <c r="AQ209" s="426">
        <f t="shared" si="733"/>
        <v>0.13762811127379204</v>
      </c>
      <c r="AR209" s="426">
        <f t="shared" si="733"/>
        <v>0.23151347615756745</v>
      </c>
      <c r="AS209" s="426">
        <f t="shared" si="733"/>
        <v>0.21662125340599458</v>
      </c>
      <c r="AT209" s="426">
        <f t="shared" si="733"/>
        <v>0.38216145833333326</v>
      </c>
      <c r="AU209" s="426">
        <f t="shared" si="733"/>
        <v>0.380169971671388</v>
      </c>
      <c r="AV209" s="426">
        <f t="shared" si="733"/>
        <v>0.30743243243243246</v>
      </c>
      <c r="AW209" s="426">
        <f t="shared" si="733"/>
        <v>0.48709315375982043</v>
      </c>
      <c r="AX209" s="426">
        <f t="shared" ref="AX209:CM209" si="734">AX208/AS208-1</f>
        <v>0.77155655095184761</v>
      </c>
      <c r="AY209" s="426">
        <f t="shared" si="734"/>
        <v>0.65661799340555826</v>
      </c>
      <c r="AZ209" s="426">
        <f t="shared" si="734"/>
        <v>0.54228243021346478</v>
      </c>
      <c r="BA209" s="426">
        <f t="shared" si="734"/>
        <v>0.61043435462040119</v>
      </c>
      <c r="BB209" s="426">
        <f t="shared" si="734"/>
        <v>0.30641509433962266</v>
      </c>
      <c r="BC209" s="426">
        <f t="shared" si="734"/>
        <v>0.1147281921618204</v>
      </c>
      <c r="BD209" s="426">
        <f t="shared" si="734"/>
        <v>0.13306795564401486</v>
      </c>
      <c r="BE209" s="426">
        <f t="shared" si="734"/>
        <v>0.16103273888741021</v>
      </c>
      <c r="BF209" s="426">
        <f t="shared" si="734"/>
        <v>0.17176039119804409</v>
      </c>
      <c r="BG209" s="426">
        <f t="shared" si="734"/>
        <v>0.33911034084344305</v>
      </c>
      <c r="BH209" s="426">
        <f t="shared" si="734"/>
        <v>0.41678480294868159</v>
      </c>
      <c r="BI209" s="426">
        <f t="shared" si="734"/>
        <v>0.33199498117942294</v>
      </c>
      <c r="BJ209" s="426">
        <f t="shared" si="734"/>
        <v>0.2180192572214581</v>
      </c>
      <c r="BK209" s="426">
        <f t="shared" si="734"/>
        <v>0.32068335941575388</v>
      </c>
      <c r="BL209" s="426">
        <f t="shared" si="734"/>
        <v>0.17105263157894735</v>
      </c>
      <c r="BM209" s="426">
        <f t="shared" si="734"/>
        <v>0.13247948769261564</v>
      </c>
      <c r="BN209" s="426">
        <f t="shared" si="734"/>
        <v>7.0836473247927634E-2</v>
      </c>
      <c r="BO209" s="426">
        <f t="shared" si="734"/>
        <v>2.2397891963109373E-2</v>
      </c>
      <c r="BP209" s="426">
        <f t="shared" si="734"/>
        <v>9.6277278562259205E-2</v>
      </c>
      <c r="BQ209" s="426">
        <f t="shared" si="734"/>
        <v>-6.8152514275189313E-3</v>
      </c>
      <c r="BR209" s="426">
        <f t="shared" si="734"/>
        <v>4.1880190846439236E-2</v>
      </c>
      <c r="BS209" s="426">
        <f t="shared" si="734"/>
        <v>5.8057705840957041E-2</v>
      </c>
      <c r="BT209" s="426">
        <f t="shared" si="734"/>
        <v>0.12426362297496318</v>
      </c>
      <c r="BU209" s="426">
        <f t="shared" si="734"/>
        <v>5.4269500990812514E-2</v>
      </c>
      <c r="BV209" s="426">
        <f t="shared" si="734"/>
        <v>9.6068249258160154E-2</v>
      </c>
      <c r="BW209" s="426">
        <f t="shared" si="734"/>
        <v>0.12669606512890086</v>
      </c>
      <c r="BX209" s="426">
        <f t="shared" si="734"/>
        <v>0.13834386431659462</v>
      </c>
      <c r="BY209" s="426">
        <f t="shared" si="734"/>
        <v>0.11937121336171597</v>
      </c>
      <c r="BZ209" s="426">
        <f t="shared" si="734"/>
        <v>0.12072279892349091</v>
      </c>
      <c r="CA209" s="426">
        <f t="shared" si="734"/>
        <v>0.16920473773265643</v>
      </c>
      <c r="CB209" s="426">
        <f t="shared" si="734"/>
        <v>0.12915851272015666</v>
      </c>
      <c r="CC209" s="426">
        <f t="shared" si="734"/>
        <v>6.7922874671340949E-2</v>
      </c>
      <c r="CD209" s="426">
        <f t="shared" si="734"/>
        <v>0.1234640140433001</v>
      </c>
      <c r="CE209" s="426">
        <f t="shared" si="734"/>
        <v>0.12071659996188289</v>
      </c>
      <c r="CF209" s="426">
        <f t="shared" si="734"/>
        <v>0.13212735166425471</v>
      </c>
      <c r="CG209" s="426">
        <f t="shared" si="734"/>
        <v>6.8587388348220202E-2</v>
      </c>
      <c r="CH209" s="426">
        <f t="shared" si="734"/>
        <v>3.1185884283955634E-2</v>
      </c>
      <c r="CI209" s="426">
        <f t="shared" si="734"/>
        <v>6.7838541666666696E-2</v>
      </c>
      <c r="CJ209" s="426"/>
      <c r="CK209" s="426">
        <f t="shared" si="734"/>
        <v>8.1810047296433375E-3</v>
      </c>
      <c r="CL209" s="426">
        <f t="shared" si="734"/>
        <v>0.19506344852469115</v>
      </c>
      <c r="CM209" s="426">
        <f t="shared" si="734"/>
        <v>0.36516779413715339</v>
      </c>
      <c r="CN209" s="426"/>
      <c r="CO209" s="426"/>
      <c r="CP209" s="426"/>
      <c r="CQ209" s="426"/>
      <c r="CR209" s="426"/>
      <c r="CS209" s="426"/>
      <c r="CT209" s="426"/>
      <c r="CU209" s="347"/>
      <c r="CV209" s="1363"/>
      <c r="CW209" s="347"/>
      <c r="CX209" s="347"/>
      <c r="CY209" s="347"/>
      <c r="CZ209" s="354"/>
      <c r="DA209" s="354"/>
      <c r="DB209" s="354"/>
      <c r="DC209" s="354"/>
      <c r="DD209" s="354"/>
      <c r="DE209" s="354"/>
    </row>
    <row r="210" spans="1:121" hidden="1" outlineLevel="1">
      <c r="B210" s="562" t="s">
        <v>255</v>
      </c>
      <c r="C210" s="352">
        <v>3866</v>
      </c>
      <c r="D210" s="413">
        <v>1388</v>
      </c>
      <c r="E210" s="413">
        <v>1786</v>
      </c>
      <c r="F210" s="413">
        <v>1841</v>
      </c>
      <c r="G210" s="413">
        <v>1608</v>
      </c>
      <c r="H210" s="352">
        <v>6065</v>
      </c>
      <c r="I210" s="413">
        <v>1503</v>
      </c>
      <c r="J210" s="413">
        <v>1705</v>
      </c>
      <c r="K210" s="413">
        <v>1818</v>
      </c>
      <c r="L210" s="413">
        <v>2038</v>
      </c>
      <c r="M210" s="352">
        <v>7064</v>
      </c>
      <c r="N210" s="413">
        <v>2076</v>
      </c>
      <c r="O210" s="413">
        <v>2099</v>
      </c>
      <c r="P210" s="413">
        <v>2142</v>
      </c>
      <c r="Q210" s="413">
        <v>2140</v>
      </c>
      <c r="R210" s="352">
        <v>8457</v>
      </c>
      <c r="S210" s="413">
        <v>1945</v>
      </c>
      <c r="T210" s="413">
        <v>1931</v>
      </c>
      <c r="U210" s="413">
        <v>1954</v>
      </c>
      <c r="V210" s="413">
        <v>2034</v>
      </c>
      <c r="W210" s="352">
        <v>7864</v>
      </c>
      <c r="X210" s="413">
        <v>2032</v>
      </c>
      <c r="Y210" s="413">
        <v>2099</v>
      </c>
      <c r="Z210" s="413">
        <v>2126</v>
      </c>
      <c r="AA210" s="413">
        <v>2051</v>
      </c>
      <c r="AB210" s="352">
        <v>8308</v>
      </c>
      <c r="AC210" s="413">
        <v>1814</v>
      </c>
      <c r="AD210" s="413">
        <v>1925</v>
      </c>
      <c r="AE210" s="413">
        <v>1983</v>
      </c>
      <c r="AF210" s="413">
        <v>1966</v>
      </c>
      <c r="AG210" s="352">
        <v>7688</v>
      </c>
      <c r="AH210" s="413">
        <v>1875</v>
      </c>
      <c r="AI210" s="413">
        <v>2055</v>
      </c>
      <c r="AJ210" s="413">
        <v>2013</v>
      </c>
      <c r="AK210" s="413">
        <v>1994</v>
      </c>
      <c r="AL210" s="352">
        <v>7937</v>
      </c>
      <c r="AM210" s="413">
        <v>1869</v>
      </c>
      <c r="AN210" s="413">
        <v>1995</v>
      </c>
      <c r="AO210" s="413">
        <v>2220</v>
      </c>
      <c r="AP210" s="413">
        <v>2192</v>
      </c>
      <c r="AQ210" s="352">
        <v>8276</v>
      </c>
      <c r="AR210" s="413">
        <v>2006</v>
      </c>
      <c r="AS210" s="372"/>
      <c r="AT210" s="372"/>
      <c r="AU210" s="372"/>
      <c r="AV210" s="372">
        <v>7450</v>
      </c>
      <c r="AW210" s="372"/>
      <c r="AX210" s="372"/>
      <c r="AY210" s="460"/>
      <c r="AZ210" s="460"/>
      <c r="BA210" s="372">
        <f>BA219-BA217-BA216-BA214-BA212-BA208</f>
        <v>5736.0157480314956</v>
      </c>
      <c r="BB210" s="372"/>
      <c r="BC210" s="372"/>
      <c r="BD210" s="372"/>
      <c r="BE210" s="460"/>
      <c r="BF210" s="372">
        <f>BF104*BF108</f>
        <v>4535.9532926553675</v>
      </c>
      <c r="BG210" s="372"/>
      <c r="BH210" s="372"/>
      <c r="BI210" s="372"/>
      <c r="BJ210" s="372"/>
      <c r="BK210" s="372">
        <f>BK104*BK108</f>
        <v>3731.2149223322026</v>
      </c>
      <c r="BL210" s="372"/>
      <c r="BM210" s="372"/>
      <c r="BN210" s="372"/>
      <c r="BO210" s="372"/>
      <c r="BP210" s="372">
        <f>BP104*BP108</f>
        <v>3061.1144663269497</v>
      </c>
      <c r="BQ210" s="372"/>
      <c r="BR210" s="372"/>
      <c r="BS210" s="372"/>
      <c r="BT210" s="372"/>
      <c r="BU210" s="372">
        <f>BU104*BU108</f>
        <v>2471.6569256071907</v>
      </c>
      <c r="BV210" s="372"/>
      <c r="BW210" s="372"/>
      <c r="BX210" s="372"/>
      <c r="BY210" s="372"/>
      <c r="BZ210" s="372">
        <f>BZ104*BZ108</f>
        <v>1968.2028212579992</v>
      </c>
      <c r="CA210" s="372"/>
      <c r="CB210" s="372"/>
      <c r="CC210" s="372"/>
      <c r="CD210" s="372"/>
      <c r="CE210" s="372">
        <f>CE104*CE108</f>
        <v>1567.0073323913982</v>
      </c>
      <c r="CF210" s="372"/>
      <c r="CG210" s="372"/>
      <c r="CH210" s="372"/>
      <c r="CI210" s="372"/>
      <c r="CJ210" s="372"/>
      <c r="CK210" s="372"/>
      <c r="CL210" s="372"/>
      <c r="CM210" s="372"/>
      <c r="CN210" s="372"/>
      <c r="CO210" s="372"/>
      <c r="CP210" s="372"/>
      <c r="CQ210" s="372"/>
      <c r="CR210" s="372"/>
      <c r="CS210" s="372"/>
      <c r="CT210" s="372"/>
      <c r="CU210" s="347"/>
      <c r="CV210" s="1363"/>
      <c r="CW210" s="347"/>
      <c r="CX210" s="347"/>
      <c r="CY210" s="347"/>
      <c r="CZ210" s="354"/>
      <c r="DA210" s="354"/>
      <c r="DB210" s="354"/>
      <c r="DC210" s="354"/>
      <c r="DD210" s="354"/>
      <c r="DE210" s="354"/>
    </row>
    <row r="211" spans="1:121" hidden="1" outlineLevel="1">
      <c r="B211" s="562" t="s">
        <v>561</v>
      </c>
      <c r="C211" s="426"/>
      <c r="D211" s="426"/>
      <c r="E211" s="426"/>
      <c r="F211" s="426"/>
      <c r="G211" s="426"/>
      <c r="H211" s="426"/>
      <c r="I211" s="426"/>
      <c r="J211" s="426"/>
      <c r="K211" s="426"/>
      <c r="L211" s="426"/>
      <c r="M211" s="426"/>
      <c r="N211" s="426"/>
      <c r="O211" s="426"/>
      <c r="P211" s="426"/>
      <c r="Q211" s="426"/>
      <c r="R211" s="426">
        <f t="shared" ref="R211:AR211" si="735">R210/M210-1</f>
        <v>0.19719705549263877</v>
      </c>
      <c r="S211" s="426">
        <f t="shared" si="735"/>
        <v>-6.3102119460500927E-2</v>
      </c>
      <c r="T211" s="426">
        <f t="shared" si="735"/>
        <v>-8.0038113387327248E-2</v>
      </c>
      <c r="U211" s="426">
        <f t="shared" si="735"/>
        <v>-8.7768440709617201E-2</v>
      </c>
      <c r="V211" s="426">
        <f t="shared" si="735"/>
        <v>-4.9532710280373871E-2</v>
      </c>
      <c r="W211" s="426">
        <f t="shared" si="735"/>
        <v>-7.0119427693035363E-2</v>
      </c>
      <c r="X211" s="426">
        <f t="shared" si="735"/>
        <v>4.4730077120822553E-2</v>
      </c>
      <c r="Y211" s="426">
        <f t="shared" si="735"/>
        <v>8.7001553599171499E-2</v>
      </c>
      <c r="Z211" s="426">
        <f t="shared" si="735"/>
        <v>8.8024564994882315E-2</v>
      </c>
      <c r="AA211" s="426">
        <f t="shared" si="735"/>
        <v>8.3579154375614806E-3</v>
      </c>
      <c r="AB211" s="426">
        <f t="shared" si="735"/>
        <v>5.6459816887080461E-2</v>
      </c>
      <c r="AC211" s="426">
        <f t="shared" si="735"/>
        <v>-0.10728346456692917</v>
      </c>
      <c r="AD211" s="426">
        <f t="shared" si="735"/>
        <v>-8.2896617436874709E-2</v>
      </c>
      <c r="AE211" s="426">
        <f t="shared" si="735"/>
        <v>-6.7262464722483539E-2</v>
      </c>
      <c r="AF211" s="426">
        <f t="shared" si="735"/>
        <v>-4.14431984397855E-2</v>
      </c>
      <c r="AG211" s="426">
        <f t="shared" si="735"/>
        <v>-7.4626865671641784E-2</v>
      </c>
      <c r="AH211" s="426">
        <f t="shared" si="735"/>
        <v>3.3627342888643774E-2</v>
      </c>
      <c r="AI211" s="426">
        <f t="shared" si="735"/>
        <v>6.7532467532467555E-2</v>
      </c>
      <c r="AJ211" s="426">
        <f t="shared" si="735"/>
        <v>1.5128593040847127E-2</v>
      </c>
      <c r="AK211" s="426">
        <f t="shared" si="735"/>
        <v>1.4242115971515812E-2</v>
      </c>
      <c r="AL211" s="426">
        <f t="shared" si="735"/>
        <v>3.2388137356919922E-2</v>
      </c>
      <c r="AM211" s="426">
        <f t="shared" si="735"/>
        <v>-3.1999999999999806E-3</v>
      </c>
      <c r="AN211" s="426">
        <f t="shared" si="735"/>
        <v>-2.9197080291970767E-2</v>
      </c>
      <c r="AO211" s="426">
        <f t="shared" si="735"/>
        <v>0.10283159463487324</v>
      </c>
      <c r="AP211" s="426">
        <f t="shared" si="735"/>
        <v>9.9297893681043137E-2</v>
      </c>
      <c r="AQ211" s="426">
        <f t="shared" si="735"/>
        <v>4.2711351896182359E-2</v>
      </c>
      <c r="AR211" s="426">
        <f t="shared" si="735"/>
        <v>7.3301230604601475E-2</v>
      </c>
      <c r="AS211" s="426"/>
      <c r="AT211" s="426"/>
      <c r="AU211" s="426"/>
      <c r="AV211" s="426">
        <f>AV210/AQ210-1</f>
        <v>-9.9806669888835131E-2</v>
      </c>
      <c r="AW211" s="426"/>
      <c r="AX211" s="426"/>
      <c r="AY211" s="461"/>
      <c r="AZ211" s="460"/>
      <c r="BA211" s="426">
        <f>BA210/AV210-1</f>
        <v>-0.23006500026422882</v>
      </c>
      <c r="BB211" s="426"/>
      <c r="BC211" s="426"/>
      <c r="BD211" s="426"/>
      <c r="BE211" s="460"/>
      <c r="BF211" s="426">
        <f>BF210/BA210-1</f>
        <v>-0.20921533484073318</v>
      </c>
      <c r="BG211" s="426"/>
      <c r="BH211" s="426"/>
      <c r="BI211" s="426"/>
      <c r="BJ211" s="426"/>
      <c r="BK211" s="426">
        <f>BK210/BF210-1</f>
        <v>-0.17741328413284152</v>
      </c>
      <c r="BL211" s="426"/>
      <c r="BM211" s="426"/>
      <c r="BN211" s="426"/>
      <c r="BO211" s="426"/>
      <c r="BP211" s="426">
        <f>BP210/BK210-1</f>
        <v>-0.17959310035842302</v>
      </c>
      <c r="BQ211" s="426"/>
      <c r="BR211" s="426"/>
      <c r="BS211" s="426"/>
      <c r="BT211" s="426"/>
      <c r="BU211" s="426">
        <f>BU210/BP210-1</f>
        <v>-0.19256305087703984</v>
      </c>
      <c r="BV211" s="426"/>
      <c r="BW211" s="426"/>
      <c r="BX211" s="426"/>
      <c r="BY211" s="426"/>
      <c r="BZ211" s="426">
        <f>BZ210/BU210-1</f>
        <v>-0.20369093264248728</v>
      </c>
      <c r="CA211" s="426"/>
      <c r="CB211" s="426"/>
      <c r="CC211" s="426"/>
      <c r="CD211" s="426"/>
      <c r="CE211" s="426">
        <f>CE210/BZ210-1</f>
        <v>-0.20383848886578282</v>
      </c>
      <c r="CF211" s="426"/>
      <c r="CG211" s="426"/>
      <c r="CH211" s="426"/>
      <c r="CI211" s="426"/>
      <c r="CJ211" s="426"/>
      <c r="CK211" s="426"/>
      <c r="CL211" s="426"/>
      <c r="CM211" s="426"/>
      <c r="CN211" s="426"/>
      <c r="CO211" s="426"/>
      <c r="CP211" s="426"/>
      <c r="CQ211" s="426"/>
      <c r="CR211" s="426"/>
      <c r="CS211" s="426"/>
      <c r="CT211" s="426"/>
      <c r="CU211" s="347"/>
      <c r="CV211" s="1363"/>
      <c r="CW211" s="347"/>
      <c r="CX211" s="347"/>
      <c r="CY211" s="347"/>
      <c r="CZ211" s="354"/>
      <c r="DA211" s="354"/>
      <c r="DB211" s="354"/>
      <c r="DC211" s="354"/>
      <c r="DD211" s="354"/>
      <c r="DE211" s="354"/>
    </row>
    <row r="212" spans="1:121" hidden="1" outlineLevel="1">
      <c r="B212" s="562" t="s">
        <v>256</v>
      </c>
      <c r="C212" s="426"/>
      <c r="D212" s="426"/>
      <c r="E212" s="426"/>
      <c r="F212" s="426"/>
      <c r="G212" s="426"/>
      <c r="H212" s="426"/>
      <c r="I212" s="426"/>
      <c r="J212" s="426"/>
      <c r="K212" s="426"/>
      <c r="L212" s="426"/>
      <c r="M212" s="413">
        <v>2703</v>
      </c>
      <c r="N212" s="372">
        <v>788</v>
      </c>
      <c r="O212" s="372">
        <v>849</v>
      </c>
      <c r="P212" s="372">
        <v>874</v>
      </c>
      <c r="Q212" s="372">
        <v>966</v>
      </c>
      <c r="R212" s="413">
        <v>3477</v>
      </c>
      <c r="S212" s="372">
        <v>973</v>
      </c>
      <c r="T212" s="372">
        <v>952</v>
      </c>
      <c r="U212" s="372">
        <v>1033</v>
      </c>
      <c r="V212" s="372">
        <v>1119</v>
      </c>
      <c r="W212" s="413">
        <v>4077</v>
      </c>
      <c r="X212" s="413">
        <v>1146</v>
      </c>
      <c r="Y212" s="413">
        <v>1164</v>
      </c>
      <c r="Z212" s="413">
        <v>1271</v>
      </c>
      <c r="AA212" s="413">
        <v>1148</v>
      </c>
      <c r="AB212" s="413">
        <v>4729</v>
      </c>
      <c r="AC212" s="413">
        <v>1076</v>
      </c>
      <c r="AD212" s="413">
        <v>1142</v>
      </c>
      <c r="AE212" s="413">
        <v>1206</v>
      </c>
      <c r="AF212" s="413">
        <v>1120</v>
      </c>
      <c r="AG212" s="413">
        <v>4544</v>
      </c>
      <c r="AH212" s="413">
        <v>1097</v>
      </c>
      <c r="AI212" s="413">
        <v>1225</v>
      </c>
      <c r="AJ212" s="413">
        <v>1224</v>
      </c>
      <c r="AK212" s="413">
        <v>1150</v>
      </c>
      <c r="AL212" s="413">
        <v>4696</v>
      </c>
      <c r="AM212" s="413">
        <v>1005</v>
      </c>
      <c r="AN212" s="413">
        <v>983</v>
      </c>
      <c r="AO212" s="413">
        <v>994</v>
      </c>
      <c r="AP212" s="413">
        <v>908</v>
      </c>
      <c r="AQ212" s="413">
        <v>3890</v>
      </c>
      <c r="AR212" s="413">
        <v>828</v>
      </c>
      <c r="AS212" s="372"/>
      <c r="AT212" s="372"/>
      <c r="AU212" s="372"/>
      <c r="AV212" s="372">
        <f>AV144*AV97*AV153/1000</f>
        <v>2541.3262795275591</v>
      </c>
      <c r="AW212" s="372"/>
      <c r="AX212" s="372"/>
      <c r="AY212" s="460"/>
      <c r="AZ212" s="460"/>
      <c r="BA212" s="372">
        <f>BA144*BA97*BA153/1000</f>
        <v>1148.6220472440946</v>
      </c>
      <c r="BB212" s="372"/>
      <c r="BC212" s="372"/>
      <c r="BD212" s="372"/>
      <c r="BE212" s="460"/>
      <c r="BF212" s="372">
        <f>BF144*BF97*BF153/1000</f>
        <v>996.08503937007868</v>
      </c>
      <c r="BG212" s="372"/>
      <c r="BH212" s="372"/>
      <c r="BI212" s="372"/>
      <c r="BJ212" s="372"/>
      <c r="BK212" s="372">
        <f>BK144*BK97*BK153/1000</f>
        <v>820.39181102362204</v>
      </c>
      <c r="BL212" s="372"/>
      <c r="BM212" s="372"/>
      <c r="BN212" s="372"/>
      <c r="BO212" s="372"/>
      <c r="BP212" s="372">
        <f>BP144*BP97*BP153/1000</f>
        <v>673.897474015748</v>
      </c>
      <c r="BQ212" s="372"/>
      <c r="BR212" s="372"/>
      <c r="BS212" s="372"/>
      <c r="BT212" s="372"/>
      <c r="BU212" s="372">
        <f>BU144*BU97*BU153/1000</f>
        <v>544.81073385826778</v>
      </c>
      <c r="BV212" s="372"/>
      <c r="BW212" s="372"/>
      <c r="BX212" s="372"/>
      <c r="BY212" s="372"/>
      <c r="BZ212" s="372">
        <f>BZ144*BZ97*BZ153/1000</f>
        <v>434.38070324409455</v>
      </c>
      <c r="CA212" s="372"/>
      <c r="CB212" s="372"/>
      <c r="CC212" s="372"/>
      <c r="CD212" s="372"/>
      <c r="CE212" s="372">
        <f>CE144*CE97*CE153/1000</f>
        <v>0</v>
      </c>
      <c r="CF212" s="372"/>
      <c r="CG212" s="372"/>
      <c r="CH212" s="372"/>
      <c r="CI212" s="372"/>
      <c r="CJ212" s="372"/>
      <c r="CK212" s="372"/>
      <c r="CL212" s="372"/>
      <c r="CM212" s="372"/>
      <c r="CN212" s="372"/>
      <c r="CO212" s="372"/>
      <c r="CP212" s="372"/>
      <c r="CQ212" s="372"/>
      <c r="CR212" s="372"/>
      <c r="CS212" s="372"/>
      <c r="CT212" s="372"/>
      <c r="CU212" s="347"/>
      <c r="CV212" s="1363"/>
      <c r="CW212" s="347"/>
      <c r="CX212" s="347"/>
      <c r="CY212" s="347"/>
      <c r="CZ212" s="354"/>
      <c r="DA212" s="354"/>
      <c r="DB212" s="354"/>
      <c r="DC212" s="354"/>
      <c r="DD212" s="354"/>
      <c r="DE212" s="354"/>
    </row>
    <row r="213" spans="1:121" hidden="1" outlineLevel="1">
      <c r="B213" s="562" t="s">
        <v>561</v>
      </c>
      <c r="C213" s="426"/>
      <c r="D213" s="426"/>
      <c r="E213" s="426"/>
      <c r="F213" s="426"/>
      <c r="G213" s="426"/>
      <c r="H213" s="426"/>
      <c r="I213" s="426"/>
      <c r="J213" s="426"/>
      <c r="K213" s="426"/>
      <c r="L213" s="426"/>
      <c r="M213" s="426"/>
      <c r="N213" s="426"/>
      <c r="O213" s="426"/>
      <c r="P213" s="426"/>
      <c r="Q213" s="426"/>
      <c r="R213" s="426">
        <f t="shared" ref="R213:AR213" si="736">R212/M212-1</f>
        <v>0.28634850166481685</v>
      </c>
      <c r="S213" s="426">
        <f t="shared" si="736"/>
        <v>0.23477157360406098</v>
      </c>
      <c r="T213" s="426">
        <f t="shared" si="736"/>
        <v>0.12131919905771493</v>
      </c>
      <c r="U213" s="426">
        <f t="shared" si="736"/>
        <v>0.1819221967963387</v>
      </c>
      <c r="V213" s="426">
        <f t="shared" si="736"/>
        <v>0.15838509316770177</v>
      </c>
      <c r="W213" s="426">
        <f t="shared" si="736"/>
        <v>0.172562553925798</v>
      </c>
      <c r="X213" s="426">
        <f t="shared" si="736"/>
        <v>0.17780061664953761</v>
      </c>
      <c r="Y213" s="426">
        <f t="shared" si="736"/>
        <v>0.2226890756302522</v>
      </c>
      <c r="Z213" s="426">
        <f t="shared" si="736"/>
        <v>0.23039690222652465</v>
      </c>
      <c r="AA213" s="426">
        <f t="shared" si="736"/>
        <v>2.5915996425379895E-2</v>
      </c>
      <c r="AB213" s="426">
        <f t="shared" si="736"/>
        <v>0.15992151091488838</v>
      </c>
      <c r="AC213" s="426">
        <f t="shared" si="736"/>
        <v>-6.1082024432809745E-2</v>
      </c>
      <c r="AD213" s="426">
        <f t="shared" si="736"/>
        <v>-1.8900343642611728E-2</v>
      </c>
      <c r="AE213" s="426">
        <f t="shared" si="736"/>
        <v>-5.1140833988985057E-2</v>
      </c>
      <c r="AF213" s="426">
        <f t="shared" si="736"/>
        <v>-2.4390243902439046E-2</v>
      </c>
      <c r="AG213" s="426">
        <f t="shared" si="736"/>
        <v>-3.9120321421019288E-2</v>
      </c>
      <c r="AH213" s="426">
        <f t="shared" si="736"/>
        <v>1.951672862453524E-2</v>
      </c>
      <c r="AI213" s="426">
        <f t="shared" si="736"/>
        <v>7.2679509632224137E-2</v>
      </c>
      <c r="AJ213" s="426">
        <f t="shared" si="736"/>
        <v>1.4925373134328401E-2</v>
      </c>
      <c r="AK213" s="426">
        <f t="shared" si="736"/>
        <v>2.6785714285714191E-2</v>
      </c>
      <c r="AL213" s="426">
        <f t="shared" si="736"/>
        <v>3.3450704225352013E-2</v>
      </c>
      <c r="AM213" s="426">
        <f t="shared" si="736"/>
        <v>-8.3865086599817729E-2</v>
      </c>
      <c r="AN213" s="426">
        <f t="shared" si="736"/>
        <v>-0.1975510204081633</v>
      </c>
      <c r="AO213" s="426">
        <f t="shared" si="736"/>
        <v>-0.18790849673202614</v>
      </c>
      <c r="AP213" s="426">
        <f t="shared" si="736"/>
        <v>-0.21043478260869564</v>
      </c>
      <c r="AQ213" s="426">
        <f t="shared" si="736"/>
        <v>-0.17163543441226581</v>
      </c>
      <c r="AR213" s="426">
        <f t="shared" si="736"/>
        <v>-0.17611940298507467</v>
      </c>
      <c r="AS213" s="426"/>
      <c r="AT213" s="426"/>
      <c r="AU213" s="426"/>
      <c r="AV213" s="426">
        <f>AV212/AQ212-1</f>
        <v>-0.34670275590551181</v>
      </c>
      <c r="AW213" s="426"/>
      <c r="AX213" s="426"/>
      <c r="AY213" s="461"/>
      <c r="AZ213" s="460"/>
      <c r="BA213" s="426">
        <f>BA212/AV212-1</f>
        <v>-0.54802259887005644</v>
      </c>
      <c r="BB213" s="426"/>
      <c r="BC213" s="426"/>
      <c r="BD213" s="426"/>
      <c r="BE213" s="460"/>
      <c r="BF213" s="426">
        <f>BF212/BA212-1</f>
        <v>-0.13280000000000014</v>
      </c>
      <c r="BG213" s="426"/>
      <c r="BH213" s="426"/>
      <c r="BI213" s="426"/>
      <c r="BJ213" s="426"/>
      <c r="BK213" s="426">
        <f>BK212/BF212-1</f>
        <v>-0.17638376383763832</v>
      </c>
      <c r="BL213" s="426"/>
      <c r="BM213" s="426"/>
      <c r="BN213" s="426"/>
      <c r="BO213" s="426"/>
      <c r="BP213" s="426">
        <f>BP212/BK212-1</f>
        <v>-0.17856630824372766</v>
      </c>
      <c r="BQ213" s="426"/>
      <c r="BR213" s="426"/>
      <c r="BS213" s="426"/>
      <c r="BT213" s="426"/>
      <c r="BU213" s="426">
        <f>BU212/BP212-1</f>
        <v>-0.19155249149140396</v>
      </c>
      <c r="BV213" s="426"/>
      <c r="BW213" s="426"/>
      <c r="BX213" s="426"/>
      <c r="BY213" s="426"/>
      <c r="BZ213" s="426">
        <f>BZ212/BU212-1</f>
        <v>-0.20269430051813475</v>
      </c>
      <c r="CA213" s="426"/>
      <c r="CB213" s="426"/>
      <c r="CC213" s="426"/>
      <c r="CD213" s="426"/>
      <c r="CE213" s="426">
        <f>CE212/BZ212-1</f>
        <v>-1</v>
      </c>
      <c r="CF213" s="426"/>
      <c r="CG213" s="426"/>
      <c r="CH213" s="426"/>
      <c r="CI213" s="426"/>
      <c r="CJ213" s="426"/>
      <c r="CK213" s="426"/>
      <c r="CL213" s="426"/>
      <c r="CM213" s="426"/>
      <c r="CN213" s="426"/>
      <c r="CO213" s="426"/>
      <c r="CP213" s="426"/>
      <c r="CQ213" s="426"/>
      <c r="CR213" s="426"/>
      <c r="CS213" s="426"/>
      <c r="CT213" s="426"/>
      <c r="CU213" s="347"/>
      <c r="CV213" s="1363"/>
      <c r="CW213" s="347"/>
      <c r="CX213" s="347"/>
      <c r="CY213" s="347"/>
      <c r="CZ213" s="354"/>
      <c r="DA213" s="354"/>
      <c r="DB213" s="354"/>
      <c r="DC213" s="354"/>
      <c r="DD213" s="354"/>
      <c r="DE213" s="354"/>
    </row>
    <row r="214" spans="1:121" hidden="1" outlineLevel="1">
      <c r="B214" s="562" t="s">
        <v>257</v>
      </c>
      <c r="C214" s="426"/>
      <c r="D214" s="426"/>
      <c r="E214" s="426"/>
      <c r="F214" s="426"/>
      <c r="G214" s="426"/>
      <c r="H214" s="426"/>
      <c r="I214" s="426"/>
      <c r="J214" s="426"/>
      <c r="K214" s="426"/>
      <c r="L214" s="426"/>
      <c r="M214" s="372"/>
      <c r="N214" s="372"/>
      <c r="O214" s="372"/>
      <c r="P214" s="372"/>
      <c r="Q214" s="372"/>
      <c r="R214" s="372"/>
      <c r="S214" s="372"/>
      <c r="T214" s="372"/>
      <c r="U214" s="372"/>
      <c r="V214" s="372"/>
      <c r="W214" s="372"/>
      <c r="X214" s="372"/>
      <c r="Y214" s="372"/>
      <c r="Z214" s="372"/>
      <c r="AA214" s="372"/>
      <c r="AB214" s="372"/>
      <c r="AC214" s="413">
        <v>861</v>
      </c>
      <c r="AD214" s="413">
        <v>920</v>
      </c>
      <c r="AE214" s="413">
        <v>1013</v>
      </c>
      <c r="AF214" s="413">
        <v>1066</v>
      </c>
      <c r="AG214" s="413">
        <v>542</v>
      </c>
      <c r="AH214" s="413">
        <v>150</v>
      </c>
      <c r="AI214" s="413">
        <v>203</v>
      </c>
      <c r="AJ214" s="413">
        <v>215</v>
      </c>
      <c r="AK214" s="413">
        <v>243</v>
      </c>
      <c r="AL214" s="413">
        <v>811</v>
      </c>
      <c r="AM214" s="413">
        <v>221</v>
      </c>
      <c r="AN214" s="413">
        <v>239</v>
      </c>
      <c r="AO214" s="413">
        <v>184</v>
      </c>
      <c r="AP214" s="413">
        <v>167</v>
      </c>
      <c r="AQ214" s="413">
        <v>811</v>
      </c>
      <c r="AR214" s="413">
        <v>165</v>
      </c>
      <c r="AS214" s="372"/>
      <c r="AT214" s="372"/>
      <c r="AU214" s="372"/>
      <c r="AV214" s="372">
        <f>AV145*AV153*AV97/1000</f>
        <v>423.85925196850394</v>
      </c>
      <c r="AW214" s="372"/>
      <c r="AX214" s="372"/>
      <c r="AY214" s="460"/>
      <c r="AZ214" s="460"/>
      <c r="BA214" s="372">
        <f>BA145*BA153*BA97/1000</f>
        <v>287.36220472440937</v>
      </c>
      <c r="BB214" s="372"/>
      <c r="BC214" s="372"/>
      <c r="BD214" s="372"/>
      <c r="BE214" s="460"/>
      <c r="BF214" s="372">
        <f>BF145*BF153*BF97/1000</f>
        <v>264.77553543307079</v>
      </c>
      <c r="BG214" s="372"/>
      <c r="BH214" s="372"/>
      <c r="BI214" s="372"/>
      <c r="BJ214" s="372"/>
      <c r="BK214" s="372">
        <f>BK145*BK153*BK97/1000</f>
        <v>231.70301929133851</v>
      </c>
      <c r="BL214" s="372"/>
      <c r="BM214" s="372"/>
      <c r="BN214" s="372"/>
      <c r="BO214" s="372"/>
      <c r="BP214" s="372">
        <f>BP145*BP153*BP97/1000</f>
        <v>202.22420818553144</v>
      </c>
      <c r="BQ214" s="372"/>
      <c r="BR214" s="372"/>
      <c r="BS214" s="372"/>
      <c r="BT214" s="372"/>
      <c r="BU214" s="372">
        <f>BU145*BU153*BU97/1000</f>
        <v>173.70563584694881</v>
      </c>
      <c r="BV214" s="372"/>
      <c r="BW214" s="372"/>
      <c r="BX214" s="372"/>
      <c r="BY214" s="372"/>
      <c r="BZ214" s="372">
        <f>BZ145*BZ153*BZ97/1000</f>
        <v>147.15252433619955</v>
      </c>
      <c r="CA214" s="372"/>
      <c r="CB214" s="372"/>
      <c r="CC214" s="372"/>
      <c r="CD214" s="372"/>
      <c r="CE214" s="372">
        <f>CE145*CE153*CE97/1000</f>
        <v>0</v>
      </c>
      <c r="CF214" s="372"/>
      <c r="CG214" s="372"/>
      <c r="CH214" s="372"/>
      <c r="CI214" s="372"/>
      <c r="CJ214" s="372"/>
      <c r="CK214" s="372"/>
      <c r="CL214" s="372"/>
      <c r="CM214" s="372"/>
      <c r="CN214" s="372"/>
      <c r="CO214" s="372"/>
      <c r="CP214" s="372"/>
      <c r="CQ214" s="372"/>
      <c r="CR214" s="372"/>
      <c r="CS214" s="372"/>
      <c r="CT214" s="372"/>
      <c r="CU214" s="347"/>
      <c r="CV214" s="1363"/>
      <c r="CW214" s="347"/>
      <c r="CX214" s="347"/>
      <c r="CY214" s="347"/>
      <c r="CZ214" s="354"/>
      <c r="DA214" s="354"/>
      <c r="DB214" s="354"/>
      <c r="DC214" s="354"/>
      <c r="DD214" s="354"/>
      <c r="DE214" s="354"/>
    </row>
    <row r="215" spans="1:121" hidden="1" outlineLevel="1">
      <c r="B215" s="562" t="s">
        <v>561</v>
      </c>
      <c r="C215" s="426"/>
      <c r="D215" s="426"/>
      <c r="E215" s="426"/>
      <c r="F215" s="426"/>
      <c r="G215" s="426"/>
      <c r="H215" s="426"/>
      <c r="I215" s="426"/>
      <c r="J215" s="426"/>
      <c r="K215" s="426"/>
      <c r="L215" s="426"/>
      <c r="M215" s="426"/>
      <c r="N215" s="426"/>
      <c r="O215" s="426"/>
      <c r="P215" s="426"/>
      <c r="Q215" s="426"/>
      <c r="R215" s="426" t="e">
        <f t="shared" ref="R215:AR215" si="737">R214/M214-1</f>
        <v>#DIV/0!</v>
      </c>
      <c r="S215" s="426" t="e">
        <f t="shared" si="737"/>
        <v>#DIV/0!</v>
      </c>
      <c r="T215" s="426" t="e">
        <f t="shared" si="737"/>
        <v>#DIV/0!</v>
      </c>
      <c r="U215" s="426" t="e">
        <f t="shared" si="737"/>
        <v>#DIV/0!</v>
      </c>
      <c r="V215" s="426" t="e">
        <f t="shared" si="737"/>
        <v>#DIV/0!</v>
      </c>
      <c r="W215" s="426" t="e">
        <f t="shared" si="737"/>
        <v>#DIV/0!</v>
      </c>
      <c r="X215" s="426" t="e">
        <f t="shared" si="737"/>
        <v>#DIV/0!</v>
      </c>
      <c r="Y215" s="426" t="e">
        <f t="shared" si="737"/>
        <v>#DIV/0!</v>
      </c>
      <c r="Z215" s="426" t="e">
        <f t="shared" si="737"/>
        <v>#DIV/0!</v>
      </c>
      <c r="AA215" s="426" t="e">
        <f t="shared" si="737"/>
        <v>#DIV/0!</v>
      </c>
      <c r="AB215" s="426" t="e">
        <f t="shared" si="737"/>
        <v>#DIV/0!</v>
      </c>
      <c r="AC215" s="426" t="e">
        <f t="shared" si="737"/>
        <v>#DIV/0!</v>
      </c>
      <c r="AD215" s="426" t="e">
        <f t="shared" si="737"/>
        <v>#DIV/0!</v>
      </c>
      <c r="AE215" s="426" t="e">
        <f t="shared" si="737"/>
        <v>#DIV/0!</v>
      </c>
      <c r="AF215" s="426" t="e">
        <f t="shared" si="737"/>
        <v>#DIV/0!</v>
      </c>
      <c r="AG215" s="426" t="e">
        <f t="shared" si="737"/>
        <v>#DIV/0!</v>
      </c>
      <c r="AH215" s="426">
        <f t="shared" si="737"/>
        <v>-0.82578397212543553</v>
      </c>
      <c r="AI215" s="426">
        <f t="shared" si="737"/>
        <v>-0.77934782608695652</v>
      </c>
      <c r="AJ215" s="426">
        <f t="shared" si="737"/>
        <v>-0.78775913129318853</v>
      </c>
      <c r="AK215" s="426">
        <f t="shared" si="737"/>
        <v>-0.77204502814258913</v>
      </c>
      <c r="AL215" s="426">
        <f t="shared" si="737"/>
        <v>0.49630996309963105</v>
      </c>
      <c r="AM215" s="426">
        <f t="shared" si="737"/>
        <v>0.47333333333333338</v>
      </c>
      <c r="AN215" s="426">
        <f t="shared" si="737"/>
        <v>0.17733990147783252</v>
      </c>
      <c r="AO215" s="426">
        <f t="shared" si="737"/>
        <v>-0.14418604651162792</v>
      </c>
      <c r="AP215" s="426">
        <f t="shared" si="737"/>
        <v>-0.31275720164609055</v>
      </c>
      <c r="AQ215" s="426">
        <f t="shared" si="737"/>
        <v>0</v>
      </c>
      <c r="AR215" s="426">
        <f t="shared" si="737"/>
        <v>-0.25339366515837103</v>
      </c>
      <c r="AS215" s="426"/>
      <c r="AT215" s="426"/>
      <c r="AU215" s="426"/>
      <c r="AV215" s="426">
        <f>AV214/AQ214-1</f>
        <v>-0.47736220472440949</v>
      </c>
      <c r="AW215" s="426"/>
      <c r="AX215" s="426"/>
      <c r="AY215" s="461"/>
      <c r="AZ215" s="460"/>
      <c r="BA215" s="426">
        <f>BA214/AV214-1</f>
        <v>-0.322033898305085</v>
      </c>
      <c r="BB215" s="426"/>
      <c r="BC215" s="426"/>
      <c r="BD215" s="426"/>
      <c r="BE215" s="460"/>
      <c r="BF215" s="426">
        <f>BF214/BA214-1</f>
        <v>-7.8600000000000003E-2</v>
      </c>
      <c r="BG215" s="426"/>
      <c r="BH215" s="426"/>
      <c r="BI215" s="426"/>
      <c r="BJ215" s="426"/>
      <c r="BK215" s="426">
        <f>BK214/BF214-1</f>
        <v>-0.1249077490774908</v>
      </c>
      <c r="BL215" s="426"/>
      <c r="BM215" s="426"/>
      <c r="BN215" s="426"/>
      <c r="BO215" s="426"/>
      <c r="BP215" s="426">
        <f>BP214/BK214-1</f>
        <v>-0.12722670250896051</v>
      </c>
      <c r="BQ215" s="426"/>
      <c r="BR215" s="426"/>
      <c r="BS215" s="426"/>
      <c r="BT215" s="426"/>
      <c r="BU215" s="426">
        <f>BU214/BP214-1</f>
        <v>-0.1410245222096167</v>
      </c>
      <c r="BV215" s="426"/>
      <c r="BW215" s="426">
        <f>BW219/BV219-1</f>
        <v>0.12795427513006508</v>
      </c>
      <c r="BX215" s="426">
        <f>BX219/BW219-1</f>
        <v>-6.9749938621654906E-4</v>
      </c>
      <c r="BY215" s="426">
        <f>BY219/BX219-1</f>
        <v>2.8713158537389205E-2</v>
      </c>
      <c r="BZ215" s="426">
        <f>BZ214/BU214-1</f>
        <v>-0.15286269430051813</v>
      </c>
      <c r="CA215" s="426"/>
      <c r="CB215" s="426"/>
      <c r="CC215" s="426"/>
      <c r="CD215" s="426"/>
      <c r="CE215" s="426">
        <f>CE214/BZ214-1</f>
        <v>-1</v>
      </c>
      <c r="CF215" s="426"/>
      <c r="CG215" s="426"/>
      <c r="CH215" s="426"/>
      <c r="CI215" s="426"/>
      <c r="CJ215" s="426"/>
      <c r="CK215" s="426"/>
      <c r="CL215" s="426"/>
      <c r="CM215" s="426"/>
      <c r="CN215" s="426"/>
      <c r="CO215" s="426"/>
      <c r="CP215" s="426"/>
      <c r="CQ215" s="426"/>
      <c r="CR215" s="426"/>
      <c r="CS215" s="426"/>
      <c r="CT215" s="426"/>
      <c r="CU215" s="347"/>
      <c r="CV215" s="1363"/>
      <c r="CW215" s="347"/>
      <c r="CX215" s="347"/>
      <c r="CY215" s="347"/>
      <c r="CZ215" s="354"/>
      <c r="DA215" s="354"/>
      <c r="DB215" s="354"/>
      <c r="DC215" s="354"/>
      <c r="DD215" s="354"/>
      <c r="DE215" s="354"/>
    </row>
    <row r="216" spans="1:121" s="540" customFormat="1" hidden="1" outlineLevel="1">
      <c r="A216" s="880"/>
      <c r="B216" s="562" t="s">
        <v>498</v>
      </c>
      <c r="C216" s="566"/>
      <c r="D216" s="566"/>
      <c r="E216" s="566"/>
      <c r="F216" s="566"/>
      <c r="G216" s="566"/>
      <c r="H216" s="566"/>
      <c r="I216" s="566"/>
      <c r="J216" s="566"/>
      <c r="K216" s="566"/>
      <c r="L216" s="566"/>
      <c r="M216" s="549">
        <v>1551</v>
      </c>
      <c r="N216" s="548">
        <v>420</v>
      </c>
      <c r="O216" s="548">
        <v>425</v>
      </c>
      <c r="P216" s="548">
        <v>445</v>
      </c>
      <c r="Q216" s="548">
        <v>437</v>
      </c>
      <c r="R216" s="549">
        <v>1727</v>
      </c>
      <c r="S216" s="548">
        <v>419</v>
      </c>
      <c r="T216" s="548">
        <v>436</v>
      </c>
      <c r="U216" s="548">
        <v>466</v>
      </c>
      <c r="V216" s="548">
        <v>441</v>
      </c>
      <c r="W216" s="549">
        <v>1762</v>
      </c>
      <c r="X216" s="549">
        <v>426</v>
      </c>
      <c r="Y216" s="549">
        <v>624</v>
      </c>
      <c r="Z216" s="549">
        <v>820</v>
      </c>
      <c r="AA216" s="549">
        <v>771</v>
      </c>
      <c r="AB216" s="549">
        <v>2641</v>
      </c>
      <c r="AC216" s="549">
        <v>749</v>
      </c>
      <c r="AD216" s="549">
        <v>773</v>
      </c>
      <c r="AE216" s="549">
        <v>770</v>
      </c>
      <c r="AF216" s="549">
        <v>741</v>
      </c>
      <c r="AG216" s="549">
        <v>3033</v>
      </c>
      <c r="AH216" s="549">
        <v>783</v>
      </c>
      <c r="AI216" s="549">
        <v>773</v>
      </c>
      <c r="AJ216" s="549">
        <v>761</v>
      </c>
      <c r="AK216" s="549">
        <v>690</v>
      </c>
      <c r="AL216" s="549">
        <v>3007</v>
      </c>
      <c r="AM216" s="549">
        <v>642</v>
      </c>
      <c r="AN216" s="549">
        <v>614</v>
      </c>
      <c r="AO216" s="549">
        <v>581</v>
      </c>
      <c r="AP216" s="549">
        <v>548</v>
      </c>
      <c r="AQ216" s="549">
        <v>2385</v>
      </c>
      <c r="AR216" s="547">
        <v>481</v>
      </c>
      <c r="AS216" s="549">
        <f>'[16]Reported Group Highlights'!Q$68</f>
        <v>435</v>
      </c>
      <c r="AT216" s="549">
        <f>'[16]Reported Group Highlights'!R$68</f>
        <v>425</v>
      </c>
      <c r="AU216" s="549">
        <f>'[16]Reported Group Highlights'!S$68</f>
        <v>403</v>
      </c>
      <c r="AV216" s="549">
        <v>1744</v>
      </c>
      <c r="AW216" s="547">
        <f>'[16]Reported Group Highlights'!T$68</f>
        <v>369</v>
      </c>
      <c r="AX216" s="547">
        <f>'[16]Reported Group Highlights'!U$68</f>
        <v>347</v>
      </c>
      <c r="AY216" s="547">
        <f>'[16]Reported Group Highlights'!V$68</f>
        <v>333</v>
      </c>
      <c r="AZ216" s="547">
        <f>'[16]Reported Group Highlights'!W$68</f>
        <v>334</v>
      </c>
      <c r="BA216" s="548">
        <f>SUM(AW216:AZ216)</f>
        <v>1383</v>
      </c>
      <c r="BB216" s="547">
        <f>'[16]Reported Group Highlights'!X$68</f>
        <v>311</v>
      </c>
      <c r="BC216" s="547">
        <f>'[16]Reported Group Highlights'!Y$68</f>
        <v>327</v>
      </c>
      <c r="BD216" s="547">
        <f>'[16]Reported Group Highlights'!Z$68</f>
        <v>615</v>
      </c>
      <c r="BE216" s="547">
        <f>'[16]Reported Group Highlights'!AA$68</f>
        <v>534</v>
      </c>
      <c r="BF216" s="548">
        <f>SUM(BB216:BE216)</f>
        <v>1787</v>
      </c>
      <c r="BG216" s="547">
        <f>'[16]Reported Group Highlights'!AB$68</f>
        <v>371</v>
      </c>
      <c r="BH216" s="547">
        <f>'[16]Reported Group Highlights'!AC$68</f>
        <v>372</v>
      </c>
      <c r="BI216" s="547">
        <f>'[16]Reported Group Highlights'!AD$68</f>
        <v>331</v>
      </c>
      <c r="BJ216" s="547">
        <f>'[16]Reported Group Highlights'!AE$68</f>
        <v>325</v>
      </c>
      <c r="BK216" s="548">
        <f>SUM(BG216:BJ216)</f>
        <v>1399</v>
      </c>
      <c r="BL216" s="549">
        <f>'[16]Reported Group Highlights'!AF$68</f>
        <v>343.65299999999957</v>
      </c>
      <c r="BM216" s="549">
        <f>'[16]Reported Group Highlights'!AG$68</f>
        <v>288.34800000000041</v>
      </c>
      <c r="BN216" s="549">
        <f>'[16]Reported Group Highlights'!AH$68</f>
        <v>291.71699999999998</v>
      </c>
      <c r="BO216" s="549">
        <f>'[16]Reported Group Highlights'!AI$68</f>
        <v>216.25199999999995</v>
      </c>
      <c r="BP216" s="548">
        <f>SUM(BL216:BO216)</f>
        <v>1139.9699999999998</v>
      </c>
      <c r="BQ216" s="549">
        <f>'[16]Reported Group Highlights'!AJ$68</f>
        <v>0</v>
      </c>
      <c r="BR216" s="549">
        <f>'[16]Reported Group Highlights'!AK$68</f>
        <v>0</v>
      </c>
      <c r="BS216" s="549">
        <f>'[16]Reported Group Highlights'!AL$68</f>
        <v>0</v>
      </c>
      <c r="BT216" s="549">
        <f>'[16]Reported Group Highlights'!AM$68</f>
        <v>0</v>
      </c>
      <c r="BU216" s="548">
        <f>SUM(BQ216:BT216)</f>
        <v>0</v>
      </c>
      <c r="BV216" s="567"/>
      <c r="BW216" s="567"/>
      <c r="BX216" s="567"/>
      <c r="BY216" s="567"/>
      <c r="BZ216" s="548">
        <f>SUM(BV216:BY216)</f>
        <v>0</v>
      </c>
      <c r="CA216" s="567"/>
      <c r="CB216" s="567"/>
      <c r="CC216" s="567"/>
      <c r="CD216" s="567"/>
      <c r="CE216" s="548">
        <f>SUM(CA216:CD216)</f>
        <v>0</v>
      </c>
      <c r="CF216" s="567"/>
      <c r="CG216" s="567"/>
      <c r="CH216" s="567"/>
      <c r="CI216" s="567"/>
      <c r="CJ216" s="549"/>
      <c r="CK216" s="567"/>
      <c r="CL216" s="567"/>
      <c r="CM216" s="567"/>
      <c r="CN216" s="567"/>
      <c r="CO216" s="549"/>
      <c r="CP216" s="549"/>
      <c r="CQ216" s="549"/>
      <c r="CR216" s="549"/>
      <c r="CS216" s="549"/>
      <c r="CT216" s="549"/>
      <c r="CV216" s="1368"/>
    </row>
    <row r="217" spans="1:121" s="540" customFormat="1" hidden="1" outlineLevel="1">
      <c r="A217" s="880"/>
      <c r="B217" s="562" t="s">
        <v>578</v>
      </c>
      <c r="C217" s="548">
        <v>2634</v>
      </c>
      <c r="D217" s="548">
        <v>723</v>
      </c>
      <c r="E217" s="548">
        <v>831</v>
      </c>
      <c r="F217" s="548">
        <v>852</v>
      </c>
      <c r="G217" s="548">
        <v>739</v>
      </c>
      <c r="H217" s="548">
        <v>3145</v>
      </c>
      <c r="I217" s="566"/>
      <c r="J217" s="566"/>
      <c r="K217" s="566"/>
      <c r="L217" s="566"/>
      <c r="M217" s="549">
        <v>194</v>
      </c>
      <c r="N217" s="549">
        <v>36</v>
      </c>
      <c r="O217" s="549">
        <v>40</v>
      </c>
      <c r="P217" s="549">
        <v>38</v>
      </c>
      <c r="Q217" s="549">
        <v>44</v>
      </c>
      <c r="R217" s="549">
        <v>158</v>
      </c>
      <c r="S217" s="549">
        <v>43</v>
      </c>
      <c r="T217" s="549">
        <v>47</v>
      </c>
      <c r="U217" s="549">
        <v>57</v>
      </c>
      <c r="V217" s="549">
        <v>49</v>
      </c>
      <c r="W217" s="549">
        <v>196</v>
      </c>
      <c r="X217" s="549">
        <v>55</v>
      </c>
      <c r="Y217" s="549">
        <v>51</v>
      </c>
      <c r="Z217" s="549">
        <v>46</v>
      </c>
      <c r="AA217" s="549">
        <v>47</v>
      </c>
      <c r="AB217" s="549">
        <v>199</v>
      </c>
      <c r="AC217" s="549">
        <v>62</v>
      </c>
      <c r="AD217" s="549">
        <v>44</v>
      </c>
      <c r="AE217" s="549">
        <v>54</v>
      </c>
      <c r="AF217" s="549">
        <v>48</v>
      </c>
      <c r="AG217" s="549">
        <v>208</v>
      </c>
      <c r="AH217" s="549">
        <v>48</v>
      </c>
      <c r="AI217" s="549">
        <v>49</v>
      </c>
      <c r="AJ217" s="549">
        <v>63</v>
      </c>
      <c r="AK217" s="549">
        <v>37</v>
      </c>
      <c r="AL217" s="549">
        <v>197</v>
      </c>
      <c r="AM217" s="549">
        <v>65</v>
      </c>
      <c r="AN217" s="549">
        <v>69</v>
      </c>
      <c r="AO217" s="549">
        <v>76</v>
      </c>
      <c r="AP217" s="549">
        <v>50</v>
      </c>
      <c r="AQ217" s="549">
        <v>260</v>
      </c>
      <c r="AR217" s="549">
        <v>51</v>
      </c>
      <c r="AS217" s="549">
        <f>'[16]Reported Group Highlights'!Q15-AS216</f>
        <v>65</v>
      </c>
      <c r="AT217" s="549">
        <f>'[16]Reported Group Highlights'!R15-AT216</f>
        <v>67</v>
      </c>
      <c r="AU217" s="549">
        <f>'[16]Reported Group Highlights'!S15-AU216</f>
        <v>32</v>
      </c>
      <c r="AV217" s="549">
        <f>AV219-AV216-AV214-AV212-AV208-AV210</f>
        <v>47.814468503936951</v>
      </c>
      <c r="AW217" s="547">
        <f>'[16]Reported Group Highlights'!T$15-AW216</f>
        <v>71</v>
      </c>
      <c r="AX217" s="547">
        <f>'[16]Reported Group Highlights'!U$15-AX216</f>
        <v>73</v>
      </c>
      <c r="AY217" s="547">
        <f>'[16]Reported Group Highlights'!V$15-AY216</f>
        <v>76</v>
      </c>
      <c r="AZ217" s="547">
        <f>'[16]Reported Group Highlights'!W$15-AZ216</f>
        <v>58</v>
      </c>
      <c r="BA217" s="548">
        <f>SUM(AW217:AZ217)</f>
        <v>278</v>
      </c>
      <c r="BB217" s="547">
        <f>'[16]Reported Group Highlights'!X$15-BB216</f>
        <v>-8.9999999999974989E-2</v>
      </c>
      <c r="BC217" s="547">
        <f>'[16]Reported Group Highlights'!Y$15-BC216</f>
        <v>0.33100000000001728</v>
      </c>
      <c r="BD217" s="547">
        <f>'[16]Reported Group Highlights'!Z$15-BD216</f>
        <v>-258.26600000000002</v>
      </c>
      <c r="BE217" s="547">
        <f>'[16]Reported Group Highlights'!AA$15-BE216</f>
        <v>-211.34800000000001</v>
      </c>
      <c r="BF217" s="548">
        <f>SUM(BB217:BE217)</f>
        <v>-469.37299999999999</v>
      </c>
      <c r="BG217" s="547">
        <f>'[16]Reported Group Highlights'!AB$15-BG216</f>
        <v>-86.59899999999999</v>
      </c>
      <c r="BH217" s="547">
        <f>'[16]Reported Group Highlights'!AC$15-BH216</f>
        <v>-86</v>
      </c>
      <c r="BI217" s="547">
        <f>'[16]Reported Group Highlights'!AD$15-BI216</f>
        <v>-47.079999999999984</v>
      </c>
      <c r="BJ217" s="547">
        <f>'[16]Reported Group Highlights'!AE$15-BJ216</f>
        <v>-66.70700000000005</v>
      </c>
      <c r="BK217" s="548">
        <f>SUM(BG217:BJ217)</f>
        <v>-286.38600000000002</v>
      </c>
      <c r="BL217" s="549">
        <f>'[16]Reported Group Highlights'!AF$15-BL216</f>
        <v>-93.060999999999552</v>
      </c>
      <c r="BM217" s="549">
        <f>'[16]Reported Group Highlights'!AG$15-BM216</f>
        <v>-110.21800000000042</v>
      </c>
      <c r="BN217" s="549">
        <f>'[16]Reported Group Highlights'!AH$15-BN216</f>
        <v>-113.97899999999993</v>
      </c>
      <c r="BO217" s="549">
        <f>'[16]Reported Group Highlights'!AI$15-BO216</f>
        <v>-49.426000000000045</v>
      </c>
      <c r="BP217" s="548">
        <f>SUM(BL217:BO217)</f>
        <v>-366.68399999999997</v>
      </c>
      <c r="BQ217" s="549">
        <f>'[16]Reported Group Highlights'!AJ$15-BQ216</f>
        <v>154.67500000000001</v>
      </c>
      <c r="BR217" s="549">
        <f>'[16]Reported Group Highlights'!AK$15-BR216</f>
        <v>153.79300000000001</v>
      </c>
      <c r="BS217" s="549">
        <f>'[16]Reported Group Highlights'!AL$15-BS216</f>
        <v>152.13399999999996</v>
      </c>
      <c r="BT217" s="549">
        <f>'[16]Reported Group Highlights'!AM$15-BT216</f>
        <v>161.03399999999999</v>
      </c>
      <c r="BU217" s="548">
        <f>SUM(BQ217:BT217)</f>
        <v>621.63599999999997</v>
      </c>
      <c r="BV217" s="567"/>
      <c r="BW217" s="567"/>
      <c r="BX217" s="567"/>
      <c r="BY217" s="567"/>
      <c r="BZ217" s="548">
        <f>SUM(BV217:BY217)</f>
        <v>0</v>
      </c>
      <c r="CA217" s="567"/>
      <c r="CB217" s="567"/>
      <c r="CC217" s="567"/>
      <c r="CD217" s="567"/>
      <c r="CE217" s="548">
        <f>SUM(CA217:CD217)</f>
        <v>0</v>
      </c>
      <c r="CF217" s="567"/>
      <c r="CG217" s="567"/>
      <c r="CH217" s="567"/>
      <c r="CI217" s="567"/>
      <c r="CJ217" s="549"/>
      <c r="CK217" s="567"/>
      <c r="CL217" s="567"/>
      <c r="CM217" s="567"/>
      <c r="CN217" s="567"/>
      <c r="CO217" s="549"/>
      <c r="CP217" s="549"/>
      <c r="CQ217" s="549"/>
      <c r="CR217" s="549"/>
      <c r="CS217" s="549"/>
      <c r="CT217" s="549"/>
      <c r="CV217" s="1368"/>
    </row>
    <row r="218" spans="1:121" s="540" customFormat="1" hidden="1" outlineLevel="1">
      <c r="A218" s="880"/>
      <c r="B218" s="562" t="s">
        <v>590</v>
      </c>
      <c r="C218" s="548"/>
      <c r="D218" s="548"/>
      <c r="E218" s="548"/>
      <c r="F218" s="548"/>
      <c r="G218" s="548"/>
      <c r="H218" s="548"/>
      <c r="I218" s="566"/>
      <c r="J218" s="566"/>
      <c r="K218" s="566"/>
      <c r="L218" s="566"/>
      <c r="M218" s="549"/>
      <c r="N218" s="549"/>
      <c r="O218" s="549"/>
      <c r="P218" s="549"/>
      <c r="Q218" s="549"/>
      <c r="R218" s="549"/>
      <c r="S218" s="549"/>
      <c r="T218" s="549"/>
      <c r="U218" s="549"/>
      <c r="V218" s="549"/>
      <c r="W218" s="549"/>
      <c r="X218" s="549"/>
      <c r="Y218" s="549"/>
      <c r="Z218" s="549"/>
      <c r="AA218" s="549"/>
      <c r="AB218" s="549"/>
      <c r="AC218" s="549"/>
      <c r="AD218" s="549"/>
      <c r="AE218" s="549"/>
      <c r="AF218" s="549"/>
      <c r="AG218" s="549"/>
      <c r="AH218" s="549"/>
      <c r="AI218" s="549"/>
      <c r="AJ218" s="549"/>
      <c r="AK218" s="549"/>
      <c r="AL218" s="549"/>
      <c r="AM218" s="549"/>
      <c r="AN218" s="549"/>
      <c r="AO218" s="549"/>
      <c r="AP218" s="549"/>
      <c r="AQ218" s="549">
        <f>AQ219-SUM(AQ216:AQ217)</f>
        <v>19193</v>
      </c>
      <c r="AR218" s="549"/>
      <c r="AS218" s="549"/>
      <c r="AT218" s="549"/>
      <c r="AU218" s="549"/>
      <c r="AV218" s="549">
        <f>AV219-SUM(AV216:AV217)</f>
        <v>18542.185531496063</v>
      </c>
      <c r="AW218" s="547">
        <f>'[16]Reported Group Highlights'!T$13</f>
        <v>4599</v>
      </c>
      <c r="AX218" s="547">
        <f>'[16]Reported Group Highlights'!U$13</f>
        <v>5026</v>
      </c>
      <c r="AY218" s="547">
        <f>'[16]Reported Group Highlights'!V$13</f>
        <v>5280</v>
      </c>
      <c r="AZ218" s="547">
        <f>'[16]Reported Group Highlights'!W$13</f>
        <v>5355</v>
      </c>
      <c r="BA218" s="548">
        <f>SUM(AW218:AZ218)</f>
        <v>20260</v>
      </c>
      <c r="BB218" s="547">
        <f>'[16]Reported Group Highlights'!X$13</f>
        <v>4853.4030000000002</v>
      </c>
      <c r="BC218" s="547">
        <f>'[16]Reported Group Highlights'!Y$13</f>
        <v>4842.1270000000004</v>
      </c>
      <c r="BD218" s="547">
        <f>'[16]Reported Group Highlights'!Z$13</f>
        <v>5047.2139999999999</v>
      </c>
      <c r="BE218" s="547">
        <f>'[16]Reported Group Highlights'!AA$13</f>
        <v>5343.116</v>
      </c>
      <c r="BF218" s="548">
        <f>SUM(BB218:BE218)</f>
        <v>20085.86</v>
      </c>
      <c r="BG218" s="547">
        <f>'[16]Reported Group Highlights'!AB$13</f>
        <v>5416.491</v>
      </c>
      <c r="BH218" s="547">
        <f>'[16]Reported Group Highlights'!AC$13</f>
        <v>5702.2049999999999</v>
      </c>
      <c r="BI218" s="547">
        <f>'[16]Reported Group Highlights'!AD$13</f>
        <v>5938.03</v>
      </c>
      <c r="BJ218" s="547">
        <f>'[16]Reported Group Highlights'!AE$13</f>
        <v>5893.9310000000005</v>
      </c>
      <c r="BK218" s="548">
        <f>SUM(BG218:BJ218)</f>
        <v>22950.656999999999</v>
      </c>
      <c r="BL218" s="547">
        <f>'[16]Reported Group Highlights'!AF$13</f>
        <v>6007.1940000000004</v>
      </c>
      <c r="BM218" s="547">
        <f>'[16]Reported Group Highlights'!AG$13</f>
        <v>6179.2209999999995</v>
      </c>
      <c r="BN218" s="547">
        <f>'[16]Reported Group Highlights'!AH$13</f>
        <v>6149.0410000000002</v>
      </c>
      <c r="BO218" s="547">
        <f>'[16]Reported Group Highlights'!AI$13</f>
        <v>5877.299</v>
      </c>
      <c r="BP218" s="548">
        <f>SUM(BL218:BO218)</f>
        <v>24212.755000000001</v>
      </c>
      <c r="BQ218" s="547">
        <f>'[16]Reported Group Highlights'!AJ$13</f>
        <v>5787.55</v>
      </c>
      <c r="BR218" s="547">
        <f>'[16]Reported Group Highlights'!AK$13</f>
        <v>6279.5730000000003</v>
      </c>
      <c r="BS218" s="547">
        <f>'[16]Reported Group Highlights'!AL$13</f>
        <v>6339.808</v>
      </c>
      <c r="BT218" s="547">
        <f>'[16]Reported Group Highlights'!AM$13</f>
        <v>6399.6030000000001</v>
      </c>
      <c r="BU218" s="548">
        <f>SUM(BQ218:BT218)</f>
        <v>24806.534</v>
      </c>
      <c r="BV218" s="567"/>
      <c r="BW218" s="567"/>
      <c r="BX218" s="567"/>
      <c r="BY218" s="567"/>
      <c r="BZ218" s="548">
        <f>SUM(BV218:BY218)</f>
        <v>0</v>
      </c>
      <c r="CA218" s="567"/>
      <c r="CB218" s="567"/>
      <c r="CC218" s="567"/>
      <c r="CD218" s="567"/>
      <c r="CE218" s="548">
        <f>SUM(CA218:CD218)</f>
        <v>0</v>
      </c>
      <c r="CF218" s="567"/>
      <c r="CG218" s="567"/>
      <c r="CH218" s="567"/>
      <c r="CI218" s="567"/>
      <c r="CJ218" s="549"/>
      <c r="CK218" s="567"/>
      <c r="CL218" s="567"/>
      <c r="CM218" s="567"/>
      <c r="CN218" s="567"/>
      <c r="CO218" s="549"/>
      <c r="CP218" s="549"/>
      <c r="CQ218" s="549"/>
      <c r="CR218" s="549"/>
      <c r="CS218" s="549"/>
      <c r="CT218" s="549"/>
      <c r="CV218" s="1368"/>
    </row>
    <row r="219" spans="1:121" s="540" customFormat="1" hidden="1" outlineLevel="1">
      <c r="A219" s="880"/>
      <c r="B219" s="580" t="s">
        <v>259</v>
      </c>
      <c r="C219" s="564">
        <f t="shared" ref="C219:AR219" si="738">C210+C208+C212+C214+C216+C217</f>
        <v>6500</v>
      </c>
      <c r="D219" s="564">
        <f t="shared" si="738"/>
        <v>2111</v>
      </c>
      <c r="E219" s="564">
        <f t="shared" si="738"/>
        <v>2617</v>
      </c>
      <c r="F219" s="564">
        <f t="shared" si="738"/>
        <v>2693</v>
      </c>
      <c r="G219" s="564">
        <f t="shared" si="738"/>
        <v>2347</v>
      </c>
      <c r="H219" s="564">
        <f t="shared" si="738"/>
        <v>9210</v>
      </c>
      <c r="I219" s="564">
        <f t="shared" si="738"/>
        <v>1503</v>
      </c>
      <c r="J219" s="564">
        <f t="shared" si="738"/>
        <v>1705</v>
      </c>
      <c r="K219" s="564">
        <f t="shared" si="738"/>
        <v>1818</v>
      </c>
      <c r="L219" s="564">
        <f t="shared" si="738"/>
        <v>2038</v>
      </c>
      <c r="M219" s="564">
        <f t="shared" si="738"/>
        <v>12771</v>
      </c>
      <c r="N219" s="564">
        <f t="shared" si="738"/>
        <v>3822</v>
      </c>
      <c r="O219" s="564">
        <f t="shared" si="738"/>
        <v>3956</v>
      </c>
      <c r="P219" s="564">
        <f t="shared" si="738"/>
        <v>4088</v>
      </c>
      <c r="Q219" s="564">
        <f t="shared" si="738"/>
        <v>4285</v>
      </c>
      <c r="R219" s="564">
        <f t="shared" si="738"/>
        <v>16151</v>
      </c>
      <c r="S219" s="564">
        <f t="shared" si="738"/>
        <v>4101</v>
      </c>
      <c r="T219" s="564">
        <f t="shared" si="738"/>
        <v>4185</v>
      </c>
      <c r="U219" s="564">
        <f t="shared" si="738"/>
        <v>4413</v>
      </c>
      <c r="V219" s="564">
        <f t="shared" si="738"/>
        <v>4531</v>
      </c>
      <c r="W219" s="564">
        <f t="shared" si="738"/>
        <v>16716</v>
      </c>
      <c r="X219" s="564">
        <f t="shared" si="738"/>
        <v>4516</v>
      </c>
      <c r="Y219" s="564">
        <f t="shared" si="738"/>
        <v>4844</v>
      </c>
      <c r="Z219" s="564">
        <f t="shared" si="738"/>
        <v>5219</v>
      </c>
      <c r="AA219" s="564">
        <f t="shared" si="738"/>
        <v>5016</v>
      </c>
      <c r="AB219" s="564">
        <f t="shared" si="738"/>
        <v>19595</v>
      </c>
      <c r="AC219" s="564">
        <f t="shared" si="738"/>
        <v>5423</v>
      </c>
      <c r="AD219" s="564">
        <f t="shared" si="738"/>
        <v>5724</v>
      </c>
      <c r="AE219" s="564">
        <f t="shared" si="738"/>
        <v>6039</v>
      </c>
      <c r="AF219" s="564">
        <f t="shared" si="738"/>
        <v>6007</v>
      </c>
      <c r="AG219" s="564">
        <f t="shared" si="738"/>
        <v>19875</v>
      </c>
      <c r="AH219" s="564">
        <f t="shared" si="738"/>
        <v>5075</v>
      </c>
      <c r="AI219" s="564">
        <f t="shared" si="738"/>
        <v>5730</v>
      </c>
      <c r="AJ219" s="564">
        <f t="shared" si="738"/>
        <v>5727</v>
      </c>
      <c r="AK219" s="564">
        <f t="shared" si="738"/>
        <v>5580</v>
      </c>
      <c r="AL219" s="564">
        <f t="shared" si="738"/>
        <v>22112</v>
      </c>
      <c r="AM219" s="564">
        <f t="shared" si="738"/>
        <v>5249</v>
      </c>
      <c r="AN219" s="564">
        <f t="shared" si="738"/>
        <v>5368</v>
      </c>
      <c r="AO219" s="564">
        <f t="shared" si="738"/>
        <v>5591</v>
      </c>
      <c r="AP219" s="564">
        <f t="shared" si="738"/>
        <v>5630</v>
      </c>
      <c r="AQ219" s="564">
        <f t="shared" si="738"/>
        <v>21838</v>
      </c>
      <c r="AR219" s="564">
        <f t="shared" si="738"/>
        <v>5313</v>
      </c>
      <c r="AS219" s="568">
        <v>4969</v>
      </c>
      <c r="AT219" s="568">
        <v>5031</v>
      </c>
      <c r="AU219" s="568">
        <f>AV219-AT219-AS219-AR219</f>
        <v>5021</v>
      </c>
      <c r="AV219" s="568">
        <v>20334</v>
      </c>
      <c r="AW219" s="563">
        <f>'[16]Reported Group Highlights'!T$13+'[16]Reported Group Highlights'!T$15</f>
        <v>5039</v>
      </c>
      <c r="AX219" s="563">
        <f>'[16]Reported Group Highlights'!U$13+'[16]Reported Group Highlights'!U$15</f>
        <v>5446</v>
      </c>
      <c r="AY219" s="563">
        <f>'[16]Reported Group Highlights'!V$13+'[16]Reported Group Highlights'!V$15</f>
        <v>5689</v>
      </c>
      <c r="AZ219" s="563">
        <f>'[16]Reported Group Highlights'!W$13+'[16]Reported Group Highlights'!W$15</f>
        <v>5747</v>
      </c>
      <c r="BA219" s="564">
        <f>SUM(AW219:AZ219)</f>
        <v>21921</v>
      </c>
      <c r="BB219" s="563">
        <f>'[16]Reported Group Highlights'!X$13+'[16]Reported Group Highlights'!X$15</f>
        <v>5164.3130000000001</v>
      </c>
      <c r="BC219" s="563">
        <f>'[16]Reported Group Highlights'!Y$13+'[16]Reported Group Highlights'!Y$15</f>
        <v>5169.4580000000005</v>
      </c>
      <c r="BD219" s="563">
        <f>'[16]Reported Group Highlights'!Z$13+'[16]Reported Group Highlights'!Z$15</f>
        <v>5403.9480000000003</v>
      </c>
      <c r="BE219" s="563">
        <f>'[16]Reported Group Highlights'!AA$13+'[16]Reported Group Highlights'!AA$15</f>
        <v>5665.768</v>
      </c>
      <c r="BF219" s="564">
        <f>SUM(BB219:BE219)</f>
        <v>21403.487000000001</v>
      </c>
      <c r="BG219" s="563">
        <f>'[16]Reported Group Highlights'!AB$13+'[16]Reported Group Highlights'!AB$15</f>
        <v>5700.8919999999998</v>
      </c>
      <c r="BH219" s="563">
        <f>'[16]Reported Group Highlights'!AC$13+'[16]Reported Group Highlights'!AC$15</f>
        <v>5988.2049999999999</v>
      </c>
      <c r="BI219" s="563">
        <f>'[16]Reported Group Highlights'!AD$13+'[16]Reported Group Highlights'!AD$15</f>
        <v>6221.95</v>
      </c>
      <c r="BJ219" s="563">
        <f>'[16]Reported Group Highlights'!AE$13+'[16]Reported Group Highlights'!AE$15</f>
        <v>6152.2240000000002</v>
      </c>
      <c r="BK219" s="564">
        <f>SUM(BG219:BJ219)</f>
        <v>24063.271000000001</v>
      </c>
      <c r="BL219" s="563">
        <f>'[16]Reported Group Highlights'!AF$13+'[16]Reported Group Highlights'!AF$15</f>
        <v>6257.7860000000001</v>
      </c>
      <c r="BM219" s="563">
        <f>'[16]Reported Group Highlights'!AG$13+'[16]Reported Group Highlights'!AG$15</f>
        <v>6357.3509999999997</v>
      </c>
      <c r="BN219" s="563">
        <f>'[16]Reported Group Highlights'!AH$13+'[16]Reported Group Highlights'!AH$15</f>
        <v>6326.7790000000005</v>
      </c>
      <c r="BO219" s="563">
        <f>'[16]Reported Group Highlights'!AI$13+'[16]Reported Group Highlights'!AI$15</f>
        <v>6044.125</v>
      </c>
      <c r="BP219" s="564">
        <f>SUM(BL219:BO219)</f>
        <v>24986.040999999997</v>
      </c>
      <c r="BQ219" s="563">
        <f>'[16]Reported Group Highlights'!AJ$13+'[16]Reported Group Highlights'!AJ$15</f>
        <v>5942.2250000000004</v>
      </c>
      <c r="BR219" s="563">
        <f>'[16]Reported Group Highlights'!AK$13+'[16]Reported Group Highlights'!AK$15</f>
        <v>6433.366</v>
      </c>
      <c r="BS219" s="563">
        <f>'[16]Reported Group Highlights'!AL$13+'[16]Reported Group Highlights'!AL$15</f>
        <v>6491.942</v>
      </c>
      <c r="BT219" s="563">
        <f>'[16]Reported Group Highlights'!AM$13+'[16]Reported Group Highlights'!AM$15</f>
        <v>6560.6369999999997</v>
      </c>
      <c r="BU219" s="564">
        <f>SUM(BQ219:BT219)</f>
        <v>25428.17</v>
      </c>
      <c r="BV219" s="563">
        <f>'[16]Reported Group Highlights'!AN$13+'[16]Reported Group Highlights'!AN$15</f>
        <v>6608.22</v>
      </c>
      <c r="BW219" s="563">
        <f>'[16]Reported Group Highlights'!AO$13+'[16]Reported Group Highlights'!AO$15</f>
        <v>7453.7699999999995</v>
      </c>
      <c r="BX219" s="563">
        <f>'[16]Reported Group Highlights'!AP$13+'[16]Reported Group Highlights'!AP$15</f>
        <v>7448.5709999999999</v>
      </c>
      <c r="BY219" s="563">
        <f>'[16]Reported Group Highlights'!AQ$13+'[16]Reported Group Highlights'!AQ$15</f>
        <v>7662.4429999999993</v>
      </c>
      <c r="BZ219" s="564">
        <f>SUM(BV219:BY219)</f>
        <v>29173.004000000001</v>
      </c>
      <c r="CA219" s="563">
        <f>'[16]Reported Group Highlights'!AR$13+'[16]Reported Group Highlights'!AR$15</f>
        <v>7550.473</v>
      </c>
      <c r="CB219" s="563">
        <f>'[16]Reported Group Highlights'!AS$13+'[16]Reported Group Highlights'!AS$15</f>
        <v>8222.5400000000009</v>
      </c>
      <c r="CC219" s="563">
        <f>'[16]Reported Group Highlights'!AT$13+'[16]Reported Group Highlights'!AT$15</f>
        <v>8107.0610000000006</v>
      </c>
      <c r="CD219" s="563">
        <f>'[16]Reported Group Highlights'!AU$13+'[16]Reported Group Highlights'!AU$15</f>
        <v>8457.0879999999997</v>
      </c>
      <c r="CE219" s="564">
        <f>SUM(CA219:CD219)</f>
        <v>32337.162</v>
      </c>
      <c r="CF219" s="563">
        <f>'[16]Reported Group Highlights'!AV$13+'[16]Reported Group Highlights'!AV$15</f>
        <v>8439.6260000000002</v>
      </c>
      <c r="CG219" s="563">
        <f>'[16]Reported Group Highlights'!AW$13+'[16]Reported Group Highlights'!AW$15</f>
        <v>8830.8979999999992</v>
      </c>
      <c r="CH219" s="563">
        <f>'[16]Reported Group Highlights'!AX$13+'[16]Reported Group Highlights'!AX$15</f>
        <v>8090.8869999999988</v>
      </c>
      <c r="CI219" s="563">
        <f>'[16]Reported Group Highlights'!AY$13+'[16]Reported Group Highlights'!AY$15</f>
        <v>9030.1860000000015</v>
      </c>
      <c r="CJ219" s="564">
        <f t="shared" ref="CJ219:CT219" si="739">CJ200+CJ216+CJ217</f>
        <v>0</v>
      </c>
      <c r="CK219" s="563">
        <f>'[16]Reported Group Highlights'!AZ$13+'[16]Reported Group Highlights'!AZ$15</f>
        <v>8601.1769999999997</v>
      </c>
      <c r="CL219" s="563">
        <f>'[16]Reported Group Highlights'!BA$13+'[16]Reported Group Highlights'!BA$15</f>
        <v>0</v>
      </c>
      <c r="CM219" s="563">
        <f>'[16]Reported Group Highlights'!BB$13+'[16]Reported Group Highlights'!BB$15</f>
        <v>0</v>
      </c>
      <c r="CN219" s="563"/>
      <c r="CO219" s="564">
        <f t="shared" si="739"/>
        <v>0</v>
      </c>
      <c r="CP219" s="564">
        <f t="shared" si="739"/>
        <v>0</v>
      </c>
      <c r="CQ219" s="564">
        <f t="shared" si="739"/>
        <v>0</v>
      </c>
      <c r="CR219" s="564">
        <f t="shared" si="739"/>
        <v>0</v>
      </c>
      <c r="CS219" s="564">
        <f t="shared" si="739"/>
        <v>0</v>
      </c>
      <c r="CT219" s="564">
        <f t="shared" si="739"/>
        <v>0</v>
      </c>
      <c r="CV219" s="1368" t="s">
        <v>731</v>
      </c>
    </row>
    <row r="220" spans="1:121" hidden="1" outlineLevel="1">
      <c r="B220" s="562" t="s">
        <v>561</v>
      </c>
      <c r="C220" s="426"/>
      <c r="D220" s="426"/>
      <c r="E220" s="426"/>
      <c r="F220" s="426"/>
      <c r="G220" s="426"/>
      <c r="H220" s="426"/>
      <c r="I220" s="426"/>
      <c r="J220" s="426"/>
      <c r="K220" s="426"/>
      <c r="L220" s="426"/>
      <c r="M220" s="426"/>
      <c r="N220" s="426"/>
      <c r="O220" s="426"/>
      <c r="P220" s="426"/>
      <c r="Q220" s="426"/>
      <c r="R220" s="426">
        <f t="shared" ref="R220:AW220" si="740">R219/M219-1</f>
        <v>0.26466212512724141</v>
      </c>
      <c r="S220" s="426">
        <f t="shared" si="740"/>
        <v>7.2998430141287374E-2</v>
      </c>
      <c r="T220" s="426">
        <f t="shared" si="740"/>
        <v>5.788675429726986E-2</v>
      </c>
      <c r="U220" s="426">
        <f t="shared" si="740"/>
        <v>7.9500978473581174E-2</v>
      </c>
      <c r="V220" s="426">
        <f t="shared" si="740"/>
        <v>5.7409568261376887E-2</v>
      </c>
      <c r="W220" s="426">
        <f t="shared" si="740"/>
        <v>3.4982354033805896E-2</v>
      </c>
      <c r="X220" s="426">
        <f t="shared" si="740"/>
        <v>0.10119483052913925</v>
      </c>
      <c r="Y220" s="426">
        <f t="shared" si="740"/>
        <v>0.15746714456391886</v>
      </c>
      <c r="Z220" s="426">
        <f t="shared" si="740"/>
        <v>0.18264219351914801</v>
      </c>
      <c r="AA220" s="426">
        <f t="shared" si="740"/>
        <v>0.10704038843522401</v>
      </c>
      <c r="AB220" s="426">
        <f t="shared" si="740"/>
        <v>0.1722301986121082</v>
      </c>
      <c r="AC220" s="426">
        <f t="shared" si="740"/>
        <v>0.20084145261293185</v>
      </c>
      <c r="AD220" s="426">
        <f t="shared" si="740"/>
        <v>0.18166804293971928</v>
      </c>
      <c r="AE220" s="426">
        <f t="shared" si="740"/>
        <v>0.15711822188158653</v>
      </c>
      <c r="AF220" s="426">
        <f t="shared" si="740"/>
        <v>0.19756778309409895</v>
      </c>
      <c r="AG220" s="426">
        <f t="shared" si="740"/>
        <v>1.4289359530492485E-2</v>
      </c>
      <c r="AH220" s="426">
        <f t="shared" si="740"/>
        <v>-6.4171122994652441E-2</v>
      </c>
      <c r="AI220" s="426">
        <f t="shared" si="740"/>
        <v>1.0482180293500676E-3</v>
      </c>
      <c r="AJ220" s="426">
        <f t="shared" si="740"/>
        <v>-5.1664182811723802E-2</v>
      </c>
      <c r="AK220" s="426">
        <f t="shared" si="740"/>
        <v>-7.10837356417513E-2</v>
      </c>
      <c r="AL220" s="426">
        <f t="shared" si="740"/>
        <v>0.11255345911949677</v>
      </c>
      <c r="AM220" s="426">
        <f t="shared" si="740"/>
        <v>3.4285714285714253E-2</v>
      </c>
      <c r="AN220" s="426">
        <f t="shared" si="740"/>
        <v>-6.3176265270506127E-2</v>
      </c>
      <c r="AO220" s="426">
        <f t="shared" si="740"/>
        <v>-2.3747162563296675E-2</v>
      </c>
      <c r="AP220" s="426">
        <f t="shared" si="740"/>
        <v>8.960573476702427E-3</v>
      </c>
      <c r="AQ220" s="426">
        <f t="shared" si="740"/>
        <v>-1.2391461649782887E-2</v>
      </c>
      <c r="AR220" s="426">
        <f t="shared" si="740"/>
        <v>1.2192798628310131E-2</v>
      </c>
      <c r="AS220" s="426">
        <f t="shared" si="740"/>
        <v>-7.4329359165424713E-2</v>
      </c>
      <c r="AT220" s="426">
        <f t="shared" si="740"/>
        <v>-0.10016097299230908</v>
      </c>
      <c r="AU220" s="426">
        <f t="shared" si="740"/>
        <v>-0.10817051509769093</v>
      </c>
      <c r="AV220" s="426">
        <f t="shared" si="740"/>
        <v>-6.8870775712061572E-2</v>
      </c>
      <c r="AW220" s="426">
        <f t="shared" si="740"/>
        <v>-5.1571616789008123E-2</v>
      </c>
      <c r="AX220" s="426">
        <f t="shared" ref="AX220:BV220" si="741">AX219/AS219-1</f>
        <v>9.5995170054336887E-2</v>
      </c>
      <c r="AY220" s="426">
        <f t="shared" si="741"/>
        <v>0.13078910753329365</v>
      </c>
      <c r="AZ220" s="426">
        <f t="shared" si="741"/>
        <v>0.14459271061541523</v>
      </c>
      <c r="BA220" s="426">
        <f t="shared" si="741"/>
        <v>7.8046621422248386E-2</v>
      </c>
      <c r="BB220" s="426">
        <f t="shared" si="741"/>
        <v>2.4868624727128363E-2</v>
      </c>
      <c r="BC220" s="426">
        <f t="shared" si="741"/>
        <v>-5.0778920308483189E-2</v>
      </c>
      <c r="BD220" s="426">
        <f t="shared" si="741"/>
        <v>-5.0105818245737344E-2</v>
      </c>
      <c r="BE220" s="426">
        <f t="shared" si="741"/>
        <v>-1.4134678962937186E-2</v>
      </c>
      <c r="BF220" s="426">
        <f t="shared" si="741"/>
        <v>-2.3608092696500993E-2</v>
      </c>
      <c r="BG220" s="426">
        <f t="shared" si="741"/>
        <v>0.10390133208424812</v>
      </c>
      <c r="BH220" s="426">
        <f t="shared" si="741"/>
        <v>0.15838159435670041</v>
      </c>
      <c r="BI220" s="426">
        <f t="shared" si="741"/>
        <v>0.15137118269827909</v>
      </c>
      <c r="BJ220" s="426">
        <f t="shared" si="741"/>
        <v>8.5858792665001404E-2</v>
      </c>
      <c r="BK220" s="426">
        <f t="shared" si="741"/>
        <v>0.12426872312908643</v>
      </c>
      <c r="BL220" s="426">
        <f t="shared" si="741"/>
        <v>9.7685414843852625E-2</v>
      </c>
      <c r="BM220" s="426">
        <f t="shared" si="741"/>
        <v>6.1645518147758649E-2</v>
      </c>
      <c r="BN220" s="426">
        <f t="shared" si="741"/>
        <v>1.6848254968297782E-2</v>
      </c>
      <c r="BO220" s="426">
        <f t="shared" si="741"/>
        <v>-1.7570719141565716E-2</v>
      </c>
      <c r="BP220" s="426">
        <f t="shared" si="741"/>
        <v>3.8347654398273479E-2</v>
      </c>
      <c r="BQ220" s="426">
        <f t="shared" si="741"/>
        <v>-5.042694013505733E-2</v>
      </c>
      <c r="BR220" s="426">
        <f t="shared" si="741"/>
        <v>1.1957024238554714E-2</v>
      </c>
      <c r="BS220" s="426">
        <f t="shared" si="741"/>
        <v>2.6105384746329729E-2</v>
      </c>
      <c r="BT220" s="426">
        <f t="shared" si="741"/>
        <v>8.5456869273881519E-2</v>
      </c>
      <c r="BU220" s="426">
        <f t="shared" si="741"/>
        <v>1.7695040202647672E-2</v>
      </c>
      <c r="BV220" s="426">
        <f t="shared" si="741"/>
        <v>0.11207838814585447</v>
      </c>
      <c r="BW220" s="463">
        <v>7.998699398471798E-2</v>
      </c>
      <c r="BX220" s="463">
        <v>8.8394276629570667E-2</v>
      </c>
      <c r="BY220" s="463">
        <v>6.5627435697583891E-2</v>
      </c>
      <c r="BZ220" s="426">
        <f t="shared" ref="BZ220:CM220" si="742">BZ219/BU219-1</f>
        <v>0.14727107770633929</v>
      </c>
      <c r="CA220" s="426">
        <f t="shared" si="742"/>
        <v>0.14258801916401076</v>
      </c>
      <c r="CB220" s="426">
        <f t="shared" si="742"/>
        <v>0.1031384118372316</v>
      </c>
      <c r="CC220" s="426">
        <f t="shared" si="742"/>
        <v>8.8404876586394954E-2</v>
      </c>
      <c r="CD220" s="426">
        <f t="shared" si="742"/>
        <v>0.10370648107920677</v>
      </c>
      <c r="CE220" s="426">
        <f t="shared" si="742"/>
        <v>0.10846185055196922</v>
      </c>
      <c r="CF220" s="426">
        <f t="shared" si="742"/>
        <v>0.11776123164734176</v>
      </c>
      <c r="CG220" s="426">
        <f t="shared" si="742"/>
        <v>7.3986627003334471E-2</v>
      </c>
      <c r="CH220" s="426">
        <f t="shared" si="742"/>
        <v>-1.9950509808673855E-3</v>
      </c>
      <c r="CI220" s="426">
        <f t="shared" si="742"/>
        <v>6.7765405775605192E-2</v>
      </c>
      <c r="CJ220" s="426">
        <f>CJ219/CE219-1</f>
        <v>-1</v>
      </c>
      <c r="CK220" s="426">
        <f t="shared" si="742"/>
        <v>1.9141961977935829E-2</v>
      </c>
      <c r="CL220" s="426">
        <f t="shared" si="742"/>
        <v>-1</v>
      </c>
      <c r="CM220" s="426">
        <f t="shared" si="742"/>
        <v>-1</v>
      </c>
      <c r="CN220" s="426"/>
      <c r="CO220" s="426" t="e">
        <f>CO219/CJ219-1</f>
        <v>#DIV/0!</v>
      </c>
      <c r="CP220" s="426" t="e">
        <f t="shared" ref="CP220:CR220" si="743">CP219/CO219-1</f>
        <v>#DIV/0!</v>
      </c>
      <c r="CQ220" s="426" t="e">
        <f t="shared" si="743"/>
        <v>#DIV/0!</v>
      </c>
      <c r="CR220" s="426" t="e">
        <f t="shared" si="743"/>
        <v>#DIV/0!</v>
      </c>
      <c r="CS220" s="426" t="e">
        <f t="shared" ref="CS220" si="744">CS219/CR219-1</f>
        <v>#DIV/0!</v>
      </c>
      <c r="CT220" s="426" t="e">
        <f t="shared" ref="CT220" si="745">CT219/CS219-1</f>
        <v>#DIV/0!</v>
      </c>
      <c r="CU220" s="347"/>
      <c r="CV220" s="1363"/>
      <c r="CW220" s="347"/>
      <c r="CX220" s="347"/>
      <c r="CY220" s="347"/>
      <c r="CZ220" s="354"/>
      <c r="DA220" s="354"/>
      <c r="DB220" s="354"/>
      <c r="DC220" s="354"/>
      <c r="DD220" s="354"/>
      <c r="DE220" s="354"/>
    </row>
    <row r="221" spans="1:121" hidden="1" outlineLevel="1">
      <c r="B221" s="562"/>
      <c r="C221" s="426"/>
      <c r="D221" s="426"/>
      <c r="E221" s="426"/>
      <c r="F221" s="426"/>
      <c r="G221" s="426"/>
      <c r="H221" s="426"/>
      <c r="I221" s="426"/>
      <c r="J221" s="426"/>
      <c r="K221" s="426"/>
      <c r="L221" s="426"/>
      <c r="M221" s="426"/>
      <c r="N221" s="426"/>
      <c r="O221" s="426"/>
      <c r="P221" s="426"/>
      <c r="Q221" s="426"/>
      <c r="R221" s="426"/>
      <c r="S221" s="426"/>
      <c r="T221" s="426"/>
      <c r="U221" s="426"/>
      <c r="V221" s="426"/>
      <c r="W221" s="426"/>
      <c r="X221" s="426"/>
      <c r="Y221" s="426"/>
      <c r="Z221" s="426"/>
      <c r="AA221" s="426"/>
      <c r="AB221" s="426"/>
      <c r="AC221" s="426"/>
      <c r="AD221" s="426"/>
      <c r="AE221" s="426"/>
      <c r="AF221" s="426"/>
      <c r="AG221" s="426"/>
      <c r="AH221" s="426"/>
      <c r="AI221" s="426"/>
      <c r="AJ221" s="426"/>
      <c r="AK221" s="426"/>
      <c r="AL221" s="426"/>
      <c r="AM221" s="426"/>
      <c r="AN221" s="426"/>
      <c r="AO221" s="426"/>
      <c r="AP221" s="426"/>
      <c r="AQ221" s="426"/>
      <c r="AR221" s="426"/>
      <c r="AS221" s="426"/>
      <c r="AT221" s="426"/>
      <c r="AU221" s="426"/>
      <c r="AV221" s="426"/>
      <c r="AW221" s="372"/>
      <c r="AX221" s="372"/>
      <c r="AY221" s="372"/>
      <c r="AZ221" s="372"/>
      <c r="BA221" s="372"/>
      <c r="BB221" s="372"/>
      <c r="BC221" s="372"/>
      <c r="BD221" s="372"/>
      <c r="BE221" s="372"/>
      <c r="BF221" s="372"/>
      <c r="BG221" s="372"/>
      <c r="BH221" s="372"/>
      <c r="BI221" s="372"/>
      <c r="BJ221" s="372"/>
      <c r="BK221" s="372"/>
      <c r="BL221" s="372"/>
      <c r="BM221" s="372"/>
      <c r="BN221" s="372"/>
      <c r="BO221" s="372"/>
      <c r="BP221" s="372"/>
      <c r="BQ221" s="372"/>
      <c r="BR221" s="372"/>
      <c r="BS221" s="372"/>
      <c r="BT221" s="372"/>
      <c r="BU221" s="372"/>
      <c r="BV221" s="372"/>
      <c r="BW221" s="372"/>
      <c r="BX221" s="372"/>
      <c r="BY221" s="372"/>
      <c r="BZ221" s="372"/>
      <c r="CA221" s="372"/>
      <c r="CB221" s="372"/>
      <c r="CC221" s="372"/>
      <c r="CD221" s="372"/>
      <c r="CE221" s="372"/>
      <c r="CF221" s="372"/>
      <c r="CG221" s="372"/>
      <c r="CH221" s="372"/>
      <c r="CI221" s="372"/>
      <c r="CJ221" s="372"/>
      <c r="CK221" s="372"/>
      <c r="CL221" s="372"/>
      <c r="CM221" s="372"/>
      <c r="CN221" s="372"/>
      <c r="CO221" s="372"/>
      <c r="CP221" s="372"/>
      <c r="CQ221" s="372"/>
      <c r="CR221" s="372"/>
      <c r="CS221" s="372"/>
      <c r="CT221" s="372"/>
      <c r="CU221" s="347"/>
      <c r="CV221" s="1363"/>
      <c r="CW221" s="347"/>
      <c r="CX221" s="347"/>
      <c r="CY221" s="347"/>
      <c r="CZ221" s="354"/>
      <c r="DA221" s="354"/>
      <c r="DB221" s="354"/>
      <c r="DC221" s="354"/>
      <c r="DD221" s="354"/>
      <c r="DE221" s="354"/>
    </row>
    <row r="222" spans="1:121" s="545" customFormat="1" hidden="1" outlineLevel="1">
      <c r="A222" s="884"/>
      <c r="B222" s="562" t="s">
        <v>501</v>
      </c>
      <c r="C222" s="548">
        <v>1490</v>
      </c>
      <c r="D222" s="548">
        <v>-5947.3353801500161</v>
      </c>
      <c r="E222" s="548">
        <v>-6847.5224755666186</v>
      </c>
      <c r="F222" s="548">
        <v>-7335.4199282496902</v>
      </c>
      <c r="G222" s="548">
        <v>-5757.2173669236472</v>
      </c>
      <c r="H222" s="548">
        <v>2851.33</v>
      </c>
      <c r="I222" s="548"/>
      <c r="J222" s="548"/>
      <c r="K222" s="548"/>
      <c r="L222" s="548"/>
      <c r="M222" s="549">
        <v>1109</v>
      </c>
      <c r="N222" s="549">
        <v>344</v>
      </c>
      <c r="O222" s="549">
        <v>348</v>
      </c>
      <c r="P222" s="549">
        <v>397</v>
      </c>
      <c r="Q222" s="549">
        <v>398</v>
      </c>
      <c r="R222" s="549">
        <v>1487</v>
      </c>
      <c r="S222" s="549">
        <v>428</v>
      </c>
      <c r="T222" s="549">
        <v>424</v>
      </c>
      <c r="U222" s="549">
        <v>414</v>
      </c>
      <c r="V222" s="549">
        <v>488</v>
      </c>
      <c r="W222" s="549">
        <v>1754</v>
      </c>
      <c r="X222" s="549">
        <v>436</v>
      </c>
      <c r="Y222" s="549">
        <v>444</v>
      </c>
      <c r="Z222" s="549">
        <v>445</v>
      </c>
      <c r="AA222" s="549">
        <v>358</v>
      </c>
      <c r="AB222" s="549">
        <v>1683</v>
      </c>
      <c r="AC222" s="549">
        <v>360</v>
      </c>
      <c r="AD222" s="549">
        <v>359</v>
      </c>
      <c r="AE222" s="549">
        <v>371</v>
      </c>
      <c r="AF222" s="549">
        <v>386</v>
      </c>
      <c r="AG222" s="549">
        <v>1476</v>
      </c>
      <c r="AH222" s="549">
        <v>446</v>
      </c>
      <c r="AI222" s="549">
        <v>345</v>
      </c>
      <c r="AJ222" s="549">
        <v>326</v>
      </c>
      <c r="AK222" s="549">
        <v>340</v>
      </c>
      <c r="AL222" s="549">
        <v>1457</v>
      </c>
      <c r="AM222" s="549">
        <v>250</v>
      </c>
      <c r="AN222" s="549">
        <v>264</v>
      </c>
      <c r="AO222" s="549">
        <v>264</v>
      </c>
      <c r="AP222" s="549">
        <v>343</v>
      </c>
      <c r="AQ222" s="549">
        <v>1121</v>
      </c>
      <c r="AR222" s="549">
        <v>322</v>
      </c>
      <c r="AS222" s="549">
        <v>283</v>
      </c>
      <c r="AT222" s="549">
        <v>220</v>
      </c>
      <c r="AU222" s="549">
        <f>AV222-AT222-AS222-AR222</f>
        <v>253</v>
      </c>
      <c r="AV222" s="549">
        <v>1078</v>
      </c>
      <c r="AW222" s="547">
        <f>'[16]Reported Group Highlights'!T$16</f>
        <v>237</v>
      </c>
      <c r="AX222" s="547">
        <f>'[16]Reported Group Highlights'!U$16</f>
        <v>228</v>
      </c>
      <c r="AY222" s="547">
        <f>'[16]Reported Group Highlights'!V$16</f>
        <v>287</v>
      </c>
      <c r="AZ222" s="547">
        <f>'[16]Reported Group Highlights'!W$16</f>
        <v>228</v>
      </c>
      <c r="BA222" s="548">
        <f>SUM(AW222:AZ222)</f>
        <v>980</v>
      </c>
      <c r="BB222" s="547">
        <f>'[16]Reported Group Highlights'!X$16</f>
        <v>340.24299999999999</v>
      </c>
      <c r="BC222" s="547">
        <f>'[16]Reported Group Highlights'!Y$16</f>
        <v>392.596</v>
      </c>
      <c r="BD222" s="547">
        <f>'[16]Reported Group Highlights'!Z$16</f>
        <v>469.86</v>
      </c>
      <c r="BE222" s="547">
        <f>'[16]Reported Group Highlights'!AA$16</f>
        <v>394.8809999999998</v>
      </c>
      <c r="BF222" s="548">
        <f>SUM(BB222:BE222)</f>
        <v>1597.58</v>
      </c>
      <c r="BG222" s="547">
        <f>'[16]Reported Group Highlights'!AB$16</f>
        <v>273.3</v>
      </c>
      <c r="BH222" s="547">
        <f>'[16]Reported Group Highlights'!AC$16</f>
        <v>307.39999999999998</v>
      </c>
      <c r="BI222" s="547">
        <f>'[16]Reported Group Highlights'!AD$16</f>
        <v>243.75600000000003</v>
      </c>
      <c r="BJ222" s="547">
        <f>'[16]Reported Group Highlights'!AE$16</f>
        <v>262.75400000000008</v>
      </c>
      <c r="BK222" s="548">
        <f>SUM(BG222:BJ222)</f>
        <v>1087.2100000000003</v>
      </c>
      <c r="BL222" s="547">
        <f>'[16]Reported Group Highlights'!AF$16</f>
        <v>241.98499999999999</v>
      </c>
      <c r="BM222" s="547">
        <f>'[16]Reported Group Highlights'!AG$16</f>
        <v>229.29700000000003</v>
      </c>
      <c r="BN222" s="547">
        <f>'[16]Reported Group Highlights'!AH$16</f>
        <v>249.13699999999994</v>
      </c>
      <c r="BO222" s="547">
        <f>'[16]Reported Group Highlights'!AI$16</f>
        <v>311.76600000000019</v>
      </c>
      <c r="BP222" s="548">
        <f>SUM(BL222:BO222)</f>
        <v>1032.1850000000002</v>
      </c>
      <c r="BQ222" s="547">
        <f>'[16]Reported Group Highlights'!AJ$16</f>
        <v>307.52500000000003</v>
      </c>
      <c r="BR222" s="547">
        <f>'[16]Reported Group Highlights'!AK$16</f>
        <v>294.95300000000003</v>
      </c>
      <c r="BS222" s="547">
        <f>'[16]Reported Group Highlights'!AL$16</f>
        <v>334.71700000000004</v>
      </c>
      <c r="BT222" s="547">
        <f>'[16]Reported Group Highlights'!AM$16</f>
        <v>400.96899999999988</v>
      </c>
      <c r="BU222" s="548">
        <f>SUM(BQ222:BT222)</f>
        <v>1338.164</v>
      </c>
      <c r="BV222" s="569">
        <f>'[16]Reported Group Highlights'!AN$22</f>
        <v>521</v>
      </c>
      <c r="BW222" s="569">
        <f>'[16]Reported Group Highlights'!AO$22</f>
        <v>699</v>
      </c>
      <c r="BX222" s="569">
        <f>'[16]Reported Group Highlights'!AP$22</f>
        <v>687</v>
      </c>
      <c r="BY222" s="569">
        <f>'[16]Reported Group Highlights'!AQ$22</f>
        <v>716</v>
      </c>
      <c r="BZ222" s="548">
        <f>SUM(BV222:BY222)</f>
        <v>2623</v>
      </c>
      <c r="CA222" s="569">
        <f>'[16]Reported Group Highlights'!AR$22</f>
        <v>641</v>
      </c>
      <c r="CB222" s="569">
        <f>'[16]Reported Group Highlights'!AS$22</f>
        <v>723</v>
      </c>
      <c r="CC222" s="569">
        <f>'[16]Reported Group Highlights'!AT$22</f>
        <v>797</v>
      </c>
      <c r="CD222" s="569">
        <f>'[16]Reported Group Highlights'!AU$22</f>
        <v>778</v>
      </c>
      <c r="CE222" s="548">
        <f>SUM(CA222:CD222)</f>
        <v>2939</v>
      </c>
      <c r="CF222" s="569">
        <f>'[16]Reported Group Highlights'!AV$22</f>
        <v>618</v>
      </c>
      <c r="CG222" s="569">
        <f>'[16]Reported Group Highlights'!AW$22</f>
        <v>599.52599999999984</v>
      </c>
      <c r="CH222" s="569">
        <f>'[16]Reported Group Highlights'!AX$22</f>
        <v>773</v>
      </c>
      <c r="CI222" s="569">
        <f>'[16]Reported Group Highlights'!AY$22</f>
        <v>832</v>
      </c>
      <c r="CJ222" s="549">
        <f>CE222*1.01</f>
        <v>2968.39</v>
      </c>
      <c r="CK222" s="569">
        <f>'[16]Reported Group Highlights'!AZ$22</f>
        <v>716</v>
      </c>
      <c r="CL222" s="569">
        <f>'[16]Reported Group Highlights'!BA$22</f>
        <v>923</v>
      </c>
      <c r="CM222" s="569">
        <f>'[16]Reported Group Highlights'!BB$22</f>
        <v>1177</v>
      </c>
      <c r="CN222" s="569"/>
      <c r="CO222" s="549">
        <f>CJ222*1.01</f>
        <v>2998.0738999999999</v>
      </c>
      <c r="CP222" s="549">
        <f t="shared" ref="CP222:CR222" si="746">CO222*1.01</f>
        <v>3028.054639</v>
      </c>
      <c r="CQ222" s="549">
        <f t="shared" si="746"/>
        <v>3058.3351853899999</v>
      </c>
      <c r="CR222" s="549">
        <f t="shared" si="746"/>
        <v>3088.9185372439001</v>
      </c>
      <c r="CS222" s="549">
        <f t="shared" ref="CS222" si="747">CR222*1.01</f>
        <v>3119.8077226163391</v>
      </c>
      <c r="CT222" s="549">
        <f t="shared" ref="CT222" si="748">CS222*1.01</f>
        <v>3151.0057998425027</v>
      </c>
      <c r="CV222" s="1372"/>
      <c r="CY222" s="570"/>
      <c r="CZ222" s="570"/>
      <c r="DA222" s="570"/>
      <c r="DB222" s="570"/>
      <c r="DC222" s="570"/>
      <c r="DD222" s="570"/>
      <c r="DE222" s="570"/>
      <c r="DF222" s="570"/>
      <c r="DG222" s="570"/>
      <c r="DH222" s="570"/>
      <c r="DI222" s="570"/>
      <c r="DJ222" s="570"/>
      <c r="DK222" s="570"/>
      <c r="DL222" s="570"/>
      <c r="DM222" s="570"/>
      <c r="DN222" s="570"/>
      <c r="DO222" s="570"/>
      <c r="DP222" s="570"/>
      <c r="DQ222" s="570"/>
    </row>
    <row r="223" spans="1:121" s="550" customFormat="1" hidden="1" outlineLevel="1">
      <c r="A223" s="885"/>
      <c r="B223" s="559" t="s">
        <v>795</v>
      </c>
      <c r="M223" s="550">
        <f t="shared" ref="M223:AV223" si="749">M219+M222</f>
        <v>13880</v>
      </c>
      <c r="N223" s="550">
        <f t="shared" si="749"/>
        <v>4166</v>
      </c>
      <c r="O223" s="550">
        <f t="shared" si="749"/>
        <v>4304</v>
      </c>
      <c r="P223" s="550">
        <f t="shared" si="749"/>
        <v>4485</v>
      </c>
      <c r="Q223" s="550">
        <f t="shared" si="749"/>
        <v>4683</v>
      </c>
      <c r="R223" s="550">
        <f t="shared" si="749"/>
        <v>17638</v>
      </c>
      <c r="S223" s="550">
        <f t="shared" si="749"/>
        <v>4529</v>
      </c>
      <c r="T223" s="550">
        <f t="shared" si="749"/>
        <v>4609</v>
      </c>
      <c r="U223" s="550">
        <f t="shared" si="749"/>
        <v>4827</v>
      </c>
      <c r="V223" s="550">
        <f t="shared" si="749"/>
        <v>5019</v>
      </c>
      <c r="W223" s="550">
        <f t="shared" si="749"/>
        <v>18470</v>
      </c>
      <c r="X223" s="550">
        <f t="shared" si="749"/>
        <v>4952</v>
      </c>
      <c r="Y223" s="550">
        <f t="shared" si="749"/>
        <v>5288</v>
      </c>
      <c r="Z223" s="550">
        <f t="shared" si="749"/>
        <v>5664</v>
      </c>
      <c r="AA223" s="550">
        <f t="shared" si="749"/>
        <v>5374</v>
      </c>
      <c r="AB223" s="550">
        <f t="shared" si="749"/>
        <v>21278</v>
      </c>
      <c r="AC223" s="550">
        <f t="shared" si="749"/>
        <v>5783</v>
      </c>
      <c r="AD223" s="550">
        <f t="shared" si="749"/>
        <v>6083</v>
      </c>
      <c r="AE223" s="550">
        <f t="shared" si="749"/>
        <v>6410</v>
      </c>
      <c r="AF223" s="550">
        <f t="shared" si="749"/>
        <v>6393</v>
      </c>
      <c r="AG223" s="550">
        <f t="shared" si="749"/>
        <v>21351</v>
      </c>
      <c r="AH223" s="550">
        <f t="shared" si="749"/>
        <v>5521</v>
      </c>
      <c r="AI223" s="550">
        <f t="shared" si="749"/>
        <v>6075</v>
      </c>
      <c r="AJ223" s="550">
        <f t="shared" si="749"/>
        <v>6053</v>
      </c>
      <c r="AK223" s="550">
        <f t="shared" si="749"/>
        <v>5920</v>
      </c>
      <c r="AL223" s="550">
        <f t="shared" si="749"/>
        <v>23569</v>
      </c>
      <c r="AM223" s="550">
        <f t="shared" si="749"/>
        <v>5499</v>
      </c>
      <c r="AN223" s="550">
        <f t="shared" si="749"/>
        <v>5632</v>
      </c>
      <c r="AO223" s="550">
        <f t="shared" si="749"/>
        <v>5855</v>
      </c>
      <c r="AP223" s="550">
        <f t="shared" si="749"/>
        <v>5973</v>
      </c>
      <c r="AQ223" s="550">
        <f t="shared" si="749"/>
        <v>22959</v>
      </c>
      <c r="AR223" s="550">
        <f t="shared" si="749"/>
        <v>5635</v>
      </c>
      <c r="AS223" s="550">
        <f t="shared" si="749"/>
        <v>5252</v>
      </c>
      <c r="AT223" s="550">
        <f t="shared" si="749"/>
        <v>5251</v>
      </c>
      <c r="AU223" s="550">
        <f t="shared" si="749"/>
        <v>5274</v>
      </c>
      <c r="AV223" s="550">
        <f t="shared" si="749"/>
        <v>21412</v>
      </c>
      <c r="BV223" s="548">
        <f t="shared" ref="BV223:CA223" si="750">BV219+BV222</f>
        <v>7129.22</v>
      </c>
      <c r="BW223" s="548">
        <f t="shared" si="750"/>
        <v>8152.7699999999995</v>
      </c>
      <c r="BX223" s="548">
        <f t="shared" si="750"/>
        <v>8135.5709999999999</v>
      </c>
      <c r="BY223" s="548">
        <f t="shared" si="750"/>
        <v>8378.4429999999993</v>
      </c>
      <c r="BZ223" s="548">
        <f t="shared" si="750"/>
        <v>31796.004000000001</v>
      </c>
      <c r="CA223" s="548">
        <f t="shared" si="750"/>
        <v>8191.473</v>
      </c>
      <c r="CB223" s="548">
        <f t="shared" ref="CB223:CC223" si="751">CB219+CB222</f>
        <v>8945.5400000000009</v>
      </c>
      <c r="CC223" s="548">
        <f t="shared" si="751"/>
        <v>8904.0610000000015</v>
      </c>
      <c r="CD223" s="548">
        <f t="shared" ref="CD223:CE223" si="752">CD219+CD222</f>
        <v>9235.0879999999997</v>
      </c>
      <c r="CE223" s="548">
        <f t="shared" si="752"/>
        <v>35276.161999999997</v>
      </c>
      <c r="CF223" s="548">
        <f t="shared" ref="CF223:CG223" si="753">CF219+CF222</f>
        <v>9057.6260000000002</v>
      </c>
      <c r="CG223" s="548">
        <f t="shared" si="753"/>
        <v>9430.4239999999991</v>
      </c>
      <c r="CH223" s="548">
        <f t="shared" ref="CH223:CI223" si="754">CH219+CH222</f>
        <v>8863.8869999999988</v>
      </c>
      <c r="CI223" s="548">
        <f t="shared" si="754"/>
        <v>9862.1860000000015</v>
      </c>
      <c r="CJ223" s="548">
        <f t="shared" ref="CJ223:CK223" si="755">CJ219+CJ222</f>
        <v>2968.39</v>
      </c>
      <c r="CK223" s="548">
        <f t="shared" si="755"/>
        <v>9317.1769999999997</v>
      </c>
      <c r="CL223" s="548">
        <f t="shared" ref="CL223" si="756">CL219+CL222</f>
        <v>923</v>
      </c>
      <c r="CM223" s="548">
        <f t="shared" ref="CM223" si="757">CM219+CM222</f>
        <v>1177</v>
      </c>
      <c r="CN223" s="548"/>
      <c r="CO223" s="548">
        <f t="shared" ref="CO223" si="758">CO219+CO222</f>
        <v>2998.0738999999999</v>
      </c>
      <c r="CP223" s="548">
        <f t="shared" ref="CP223" si="759">CP219+CP222</f>
        <v>3028.054639</v>
      </c>
      <c r="CQ223" s="548">
        <f t="shared" ref="CQ223" si="760">CQ219+CQ222</f>
        <v>3058.3351853899999</v>
      </c>
      <c r="CR223" s="548">
        <f t="shared" ref="CR223" si="761">CR219+CR222</f>
        <v>3088.9185372439001</v>
      </c>
      <c r="CS223" s="548">
        <f t="shared" ref="CS223" si="762">CS219+CS222</f>
        <v>3119.8077226163391</v>
      </c>
      <c r="CT223" s="548">
        <f t="shared" ref="CT223" si="763">CT219+CT222</f>
        <v>3151.0057998425027</v>
      </c>
      <c r="CV223" s="1373"/>
      <c r="CY223" s="565"/>
      <c r="CZ223" s="565"/>
      <c r="DA223" s="565"/>
      <c r="DB223" s="565"/>
      <c r="DC223" s="565"/>
      <c r="DD223" s="565"/>
      <c r="DE223" s="565"/>
      <c r="DF223" s="565"/>
      <c r="DG223" s="565"/>
      <c r="DH223" s="565"/>
      <c r="DI223" s="565"/>
      <c r="DJ223" s="565"/>
      <c r="DK223" s="565"/>
      <c r="DL223" s="565"/>
      <c r="DM223" s="565"/>
      <c r="DN223" s="565"/>
      <c r="DO223" s="565"/>
      <c r="DP223" s="565"/>
      <c r="DQ223" s="565"/>
    </row>
    <row r="224" spans="1:121" s="540" customFormat="1" hidden="1" outlineLevel="1">
      <c r="A224" s="880"/>
      <c r="B224" s="562" t="s">
        <v>807</v>
      </c>
      <c r="C224" s="548"/>
      <c r="D224" s="548"/>
      <c r="E224" s="548"/>
      <c r="F224" s="548"/>
      <c r="G224" s="548"/>
      <c r="H224" s="548"/>
      <c r="I224" s="548"/>
      <c r="J224" s="548"/>
      <c r="K224" s="548"/>
      <c r="L224" s="548"/>
      <c r="M224" s="549">
        <v>-173</v>
      </c>
      <c r="N224" s="549">
        <v>-60</v>
      </c>
      <c r="O224" s="549">
        <v>-43</v>
      </c>
      <c r="P224" s="549">
        <v>-43</v>
      </c>
      <c r="Q224" s="549">
        <v>-32</v>
      </c>
      <c r="R224" s="549">
        <v>-178</v>
      </c>
      <c r="S224" s="549">
        <v>-47</v>
      </c>
      <c r="T224" s="549">
        <v>-56</v>
      </c>
      <c r="U224" s="549">
        <v>-47</v>
      </c>
      <c r="V224" s="549">
        <v>-58</v>
      </c>
      <c r="W224" s="549">
        <v>-208</v>
      </c>
      <c r="X224" s="549">
        <v>-59</v>
      </c>
      <c r="Y224" s="549">
        <v>-59</v>
      </c>
      <c r="Z224" s="549">
        <v>-90</v>
      </c>
      <c r="AA224" s="549">
        <v>-101</v>
      </c>
      <c r="AB224" s="549">
        <v>-309</v>
      </c>
      <c r="AC224" s="549">
        <v>-25</v>
      </c>
      <c r="AD224" s="549">
        <v>-28</v>
      </c>
      <c r="AE224" s="549">
        <v>-22</v>
      </c>
      <c r="AF224" s="549">
        <v>-10</v>
      </c>
      <c r="AG224" s="549">
        <v>-85</v>
      </c>
      <c r="AH224" s="549">
        <v>-14</v>
      </c>
      <c r="AI224" s="549">
        <v>-34</v>
      </c>
      <c r="AJ224" s="549">
        <v>-47</v>
      </c>
      <c r="AK224" s="549">
        <v>-14</v>
      </c>
      <c r="AL224" s="549">
        <v>-109</v>
      </c>
      <c r="AM224" s="549">
        <v>-18</v>
      </c>
      <c r="AN224" s="549">
        <v>-21</v>
      </c>
      <c r="AO224" s="549">
        <v>-25</v>
      </c>
      <c r="AP224" s="549">
        <v>0</v>
      </c>
      <c r="AQ224" s="549">
        <v>-84</v>
      </c>
      <c r="AR224" s="549">
        <v>-19</v>
      </c>
      <c r="AS224" s="549">
        <v>-14</v>
      </c>
      <c r="AT224" s="549">
        <v>-21</v>
      </c>
      <c r="AU224" s="549">
        <f>AV224-AT224-AS224-AR224</f>
        <v>-16</v>
      </c>
      <c r="AV224" s="549">
        <v>-70</v>
      </c>
      <c r="AW224" s="547">
        <f>'[16]Reported Group Highlights'!T$17</f>
        <v>-10</v>
      </c>
      <c r="AX224" s="547">
        <f>'[16]Reported Group Highlights'!U$17</f>
        <v>-7</v>
      </c>
      <c r="AY224" s="547">
        <f>'[16]Reported Group Highlights'!V$17</f>
        <v>-6</v>
      </c>
      <c r="AZ224" s="547">
        <f>'[16]Reported Group Highlights'!W$17</f>
        <v>-3</v>
      </c>
      <c r="BA224" s="548">
        <f>SUM(AW224:AZ224)</f>
        <v>-26</v>
      </c>
      <c r="BB224" s="547">
        <f>'[16]Reported Group Highlights'!X$17</f>
        <v>-3.1910000000004857</v>
      </c>
      <c r="BC224" s="547">
        <f>'[16]Reported Group Highlights'!Y$17</f>
        <v>-17.377000000000749</v>
      </c>
      <c r="BD224" s="547">
        <f>'[16]Reported Group Highlights'!Z$17</f>
        <v>-27.637999999999863</v>
      </c>
      <c r="BE224" s="547">
        <f>'[16]Reported Group Highlights'!AA$17</f>
        <v>-14.04899999999941</v>
      </c>
      <c r="BF224" s="548">
        <f>SUM(BB224:BE224)</f>
        <v>-62.255000000000507</v>
      </c>
      <c r="BG224" s="547">
        <f>'[16]Reported Group Highlights'!AB$17</f>
        <v>-6.9679999999998472</v>
      </c>
      <c r="BH224" s="547">
        <f>'[16]Reported Group Highlights'!AC$17</f>
        <v>-6.0000000000003411</v>
      </c>
      <c r="BI224" s="547">
        <f>'[16]Reported Group Highlights'!AD$17</f>
        <v>-2.0129999999995789</v>
      </c>
      <c r="BJ224" s="547">
        <f>'[16]Reported Group Highlights'!AE$17</f>
        <v>-2.648000000000593</v>
      </c>
      <c r="BK224" s="548">
        <f>SUM(BG224:BJ224)</f>
        <v>-17.62900000000036</v>
      </c>
      <c r="BL224" s="547">
        <f>'[16]Reported Group Highlights'!AF$17</f>
        <v>-2.620000000000573</v>
      </c>
      <c r="BM224" s="547">
        <f>'[16]Reported Group Highlights'!AG$17</f>
        <v>-1.6389999999995553</v>
      </c>
      <c r="BN224" s="547">
        <f>'[16]Reported Group Highlights'!AH$17</f>
        <v>-1.9250000000001819</v>
      </c>
      <c r="BO224" s="547">
        <f>'[16]Reported Group Highlights'!AI$17</f>
        <v>-2.9469999999996617</v>
      </c>
      <c r="BP224" s="548">
        <f>SUM(BL224:BO224)</f>
        <v>-9.1309999999999718</v>
      </c>
      <c r="BQ224" s="547">
        <f>'[16]Reported Group Highlights'!AJ$17</f>
        <v>-2.3869999999999436</v>
      </c>
      <c r="BR224" s="547">
        <f>'[16]Reported Group Highlights'!AK$17</f>
        <v>-1.4830000000001178</v>
      </c>
      <c r="BS224" s="547">
        <f>'[16]Reported Group Highlights'!AL$17</f>
        <v>-0.66500000000030468</v>
      </c>
      <c r="BT224" s="547">
        <f>'[16]Reported Group Highlights'!AM$17</f>
        <v>-7.7489999999999668</v>
      </c>
      <c r="BU224" s="548">
        <f>SUM(BQ224:BT224)</f>
        <v>-12.284000000000333</v>
      </c>
      <c r="BV224" s="569">
        <f>'[16]Reported Group Highlights'!AN$24</f>
        <v>-2.9409999999998035</v>
      </c>
      <c r="BW224" s="569">
        <f>'[16]Reported Group Highlights'!AO$24</f>
        <v>-9.259000000000924</v>
      </c>
      <c r="BX224" s="569">
        <f>'[16]Reported Group Highlights'!AP$24</f>
        <v>-12.399999999996908</v>
      </c>
      <c r="BY224" s="569">
        <f>'[16]Reported Group Highlights'!AQ$24</f>
        <v>-5.4060000000017681</v>
      </c>
      <c r="BZ224" s="548">
        <f t="shared" ref="BZ224" si="764">SUM(BV224:BY224)</f>
        <v>-30.005999999999403</v>
      </c>
      <c r="CA224" s="569">
        <f>'[16]Reported Group Highlights'!AR$24</f>
        <v>-3.6760000000003856</v>
      </c>
      <c r="CB224" s="569">
        <f>'[16]Reported Group Highlights'!AS$24</f>
        <v>-6.7969999999986612</v>
      </c>
      <c r="CC224" s="569">
        <f>'[16]Reported Group Highlights'!AT$24</f>
        <v>-4.7230000000008658</v>
      </c>
      <c r="CD224" s="569">
        <f>'[16]Reported Group Highlights'!AU$24</f>
        <v>-3.1529999999984284</v>
      </c>
      <c r="CE224" s="548">
        <f t="shared" ref="CE224" si="765">SUM(CA224:CD224)</f>
        <v>-18.348999999998341</v>
      </c>
      <c r="CF224" s="569">
        <f>'[16]Reported Group Highlights'!AV$24</f>
        <v>-2.7150000000001455</v>
      </c>
      <c r="CG224" s="569">
        <f>'[16]Reported Group Highlights'!AW$24</f>
        <v>-1.6879999999982829</v>
      </c>
      <c r="CH224" s="569">
        <f>'[16]Reported Group Highlights'!AX$24</f>
        <v>-2.1860000000015134</v>
      </c>
      <c r="CI224" s="569">
        <f>'[16]Reported Group Highlights'!AY$24</f>
        <v>-2.8139999999984866</v>
      </c>
      <c r="CJ224" s="549">
        <f>CE224</f>
        <v>-18.348999999998341</v>
      </c>
      <c r="CK224" s="569">
        <f>'[16]Reported Group Highlights'!AZ$24</f>
        <v>-1.8230000000003201</v>
      </c>
      <c r="CL224" s="569">
        <f>'[16]Reported Group Highlights'!BA$24</f>
        <v>-8.282999999999447</v>
      </c>
      <c r="CM224" s="569">
        <f>'[16]Reported Group Highlights'!BB$24</f>
        <v>-16.431000000000495</v>
      </c>
      <c r="CN224" s="569"/>
      <c r="CO224" s="549">
        <f>CJ224</f>
        <v>-18.348999999998341</v>
      </c>
      <c r="CP224" s="549">
        <f t="shared" ref="CP224:CR224" si="766">CO224</f>
        <v>-18.348999999998341</v>
      </c>
      <c r="CQ224" s="549">
        <f t="shared" si="766"/>
        <v>-18.348999999998341</v>
      </c>
      <c r="CR224" s="549">
        <f t="shared" si="766"/>
        <v>-18.348999999998341</v>
      </c>
      <c r="CS224" s="549">
        <f t="shared" ref="CS224" si="767">CR224</f>
        <v>-18.348999999998341</v>
      </c>
      <c r="CT224" s="549">
        <f t="shared" ref="CT224" si="768">CS224</f>
        <v>-18.348999999998341</v>
      </c>
      <c r="CV224" s="1368"/>
    </row>
    <row r="225" spans="1:117" s="540" customFormat="1" hidden="1" outlineLevel="1">
      <c r="A225" s="880"/>
      <c r="B225" s="580" t="s">
        <v>794</v>
      </c>
      <c r="C225" s="564">
        <f t="shared" ref="C225:AH225" si="769">C219+C222+C224</f>
        <v>7990</v>
      </c>
      <c r="D225" s="564">
        <f t="shared" si="769"/>
        <v>-3836.3353801500161</v>
      </c>
      <c r="E225" s="564">
        <f t="shared" si="769"/>
        <v>-4230.5224755666186</v>
      </c>
      <c r="F225" s="564">
        <f t="shared" si="769"/>
        <v>-4642.4199282496902</v>
      </c>
      <c r="G225" s="564">
        <f t="shared" si="769"/>
        <v>-3410.2173669236472</v>
      </c>
      <c r="H225" s="564">
        <f t="shared" si="769"/>
        <v>12061.33</v>
      </c>
      <c r="I225" s="564">
        <f t="shared" si="769"/>
        <v>1503</v>
      </c>
      <c r="J225" s="564">
        <f t="shared" si="769"/>
        <v>1705</v>
      </c>
      <c r="K225" s="564">
        <f t="shared" si="769"/>
        <v>1818</v>
      </c>
      <c r="L225" s="564">
        <f t="shared" si="769"/>
        <v>2038</v>
      </c>
      <c r="M225" s="564">
        <f t="shared" si="769"/>
        <v>13707</v>
      </c>
      <c r="N225" s="564">
        <f t="shared" si="769"/>
        <v>4106</v>
      </c>
      <c r="O225" s="564">
        <f t="shared" si="769"/>
        <v>4261</v>
      </c>
      <c r="P225" s="564">
        <f t="shared" si="769"/>
        <v>4442</v>
      </c>
      <c r="Q225" s="564">
        <f t="shared" si="769"/>
        <v>4651</v>
      </c>
      <c r="R225" s="564">
        <f t="shared" si="769"/>
        <v>17460</v>
      </c>
      <c r="S225" s="564">
        <f t="shared" si="769"/>
        <v>4482</v>
      </c>
      <c r="T225" s="564">
        <f t="shared" si="769"/>
        <v>4553</v>
      </c>
      <c r="U225" s="564">
        <f t="shared" si="769"/>
        <v>4780</v>
      </c>
      <c r="V225" s="564">
        <f t="shared" si="769"/>
        <v>4961</v>
      </c>
      <c r="W225" s="564">
        <f t="shared" si="769"/>
        <v>18262</v>
      </c>
      <c r="X225" s="564">
        <f t="shared" si="769"/>
        <v>4893</v>
      </c>
      <c r="Y225" s="564">
        <f t="shared" si="769"/>
        <v>5229</v>
      </c>
      <c r="Z225" s="564">
        <f t="shared" si="769"/>
        <v>5574</v>
      </c>
      <c r="AA225" s="564">
        <f t="shared" si="769"/>
        <v>5273</v>
      </c>
      <c r="AB225" s="564">
        <f t="shared" si="769"/>
        <v>20969</v>
      </c>
      <c r="AC225" s="564">
        <f t="shared" si="769"/>
        <v>5758</v>
      </c>
      <c r="AD225" s="564">
        <f t="shared" si="769"/>
        <v>6055</v>
      </c>
      <c r="AE225" s="564">
        <f t="shared" si="769"/>
        <v>6388</v>
      </c>
      <c r="AF225" s="564">
        <f t="shared" si="769"/>
        <v>6383</v>
      </c>
      <c r="AG225" s="564">
        <f t="shared" si="769"/>
        <v>21266</v>
      </c>
      <c r="AH225" s="564">
        <f t="shared" si="769"/>
        <v>5507</v>
      </c>
      <c r="AI225" s="564">
        <f t="shared" ref="AI225:BN225" si="770">AI219+AI222+AI224</f>
        <v>6041</v>
      </c>
      <c r="AJ225" s="564">
        <f t="shared" si="770"/>
        <v>6006</v>
      </c>
      <c r="AK225" s="564">
        <f t="shared" si="770"/>
        <v>5906</v>
      </c>
      <c r="AL225" s="564">
        <f t="shared" si="770"/>
        <v>23460</v>
      </c>
      <c r="AM225" s="564">
        <f t="shared" si="770"/>
        <v>5481</v>
      </c>
      <c r="AN225" s="564">
        <f t="shared" si="770"/>
        <v>5611</v>
      </c>
      <c r="AO225" s="564">
        <f t="shared" si="770"/>
        <v>5830</v>
      </c>
      <c r="AP225" s="564">
        <f t="shared" si="770"/>
        <v>5973</v>
      </c>
      <c r="AQ225" s="564">
        <f t="shared" si="770"/>
        <v>22875</v>
      </c>
      <c r="AR225" s="564">
        <f t="shared" si="770"/>
        <v>5616</v>
      </c>
      <c r="AS225" s="564">
        <f t="shared" si="770"/>
        <v>5238</v>
      </c>
      <c r="AT225" s="564">
        <f t="shared" si="770"/>
        <v>5230</v>
      </c>
      <c r="AU225" s="564">
        <f t="shared" si="770"/>
        <v>5258</v>
      </c>
      <c r="AV225" s="564">
        <f t="shared" si="770"/>
        <v>21342</v>
      </c>
      <c r="AW225" s="564">
        <f t="shared" si="770"/>
        <v>5266</v>
      </c>
      <c r="AX225" s="564">
        <f t="shared" si="770"/>
        <v>5667</v>
      </c>
      <c r="AY225" s="564">
        <f t="shared" si="770"/>
        <v>5970</v>
      </c>
      <c r="AZ225" s="564">
        <f t="shared" si="770"/>
        <v>5972</v>
      </c>
      <c r="BA225" s="564">
        <f t="shared" si="770"/>
        <v>22875</v>
      </c>
      <c r="BB225" s="564">
        <f t="shared" si="770"/>
        <v>5501.3649999999998</v>
      </c>
      <c r="BC225" s="564">
        <f t="shared" si="770"/>
        <v>5544.6769999999997</v>
      </c>
      <c r="BD225" s="564">
        <f t="shared" si="770"/>
        <v>5846.17</v>
      </c>
      <c r="BE225" s="564">
        <f t="shared" si="770"/>
        <v>6046.6</v>
      </c>
      <c r="BF225" s="564">
        <f t="shared" si="770"/>
        <v>22938.812000000002</v>
      </c>
      <c r="BG225" s="564">
        <f t="shared" si="770"/>
        <v>5967.2240000000002</v>
      </c>
      <c r="BH225" s="564">
        <f t="shared" si="770"/>
        <v>6289.6049999999996</v>
      </c>
      <c r="BI225" s="564">
        <f t="shared" si="770"/>
        <v>6463.6930000000002</v>
      </c>
      <c r="BJ225" s="564">
        <f t="shared" si="770"/>
        <v>6412.33</v>
      </c>
      <c r="BK225" s="564">
        <f t="shared" si="770"/>
        <v>25132.851999999999</v>
      </c>
      <c r="BL225" s="564">
        <f t="shared" si="770"/>
        <v>6497.1509999999989</v>
      </c>
      <c r="BM225" s="564">
        <f t="shared" si="770"/>
        <v>6585.009</v>
      </c>
      <c r="BN225" s="564">
        <f t="shared" si="770"/>
        <v>6573.991</v>
      </c>
      <c r="BO225" s="564">
        <f t="shared" ref="BO225:BU225" si="771">BO219+BO222+BO224</f>
        <v>6352.9440000000013</v>
      </c>
      <c r="BP225" s="564">
        <f t="shared" si="771"/>
        <v>26009.094999999998</v>
      </c>
      <c r="BQ225" s="564">
        <f t="shared" si="771"/>
        <v>6247.3630000000003</v>
      </c>
      <c r="BR225" s="564">
        <f t="shared" si="771"/>
        <v>6726.8360000000002</v>
      </c>
      <c r="BS225" s="564">
        <f t="shared" si="771"/>
        <v>6825.9939999999997</v>
      </c>
      <c r="BT225" s="564">
        <f t="shared" si="771"/>
        <v>6953.857</v>
      </c>
      <c r="BU225" s="564">
        <f t="shared" si="771"/>
        <v>26754.05</v>
      </c>
      <c r="BV225" s="563">
        <f>'[16]Reported Group Highlights'!AN$25</f>
        <v>6742.0590000000002</v>
      </c>
      <c r="BW225" s="563">
        <f>'[16]Reported Group Highlights'!AO$25</f>
        <v>7332.7409999999991</v>
      </c>
      <c r="BX225" s="563">
        <f>'[16]Reported Group Highlights'!AP$25</f>
        <v>7520.6000000000031</v>
      </c>
      <c r="BY225" s="563">
        <f>'[16]Reported Group Highlights'!AQ$25</f>
        <v>7546.5939999999982</v>
      </c>
      <c r="BZ225" s="564">
        <f>BZ219+BZ222+BZ224</f>
        <v>31765.998</v>
      </c>
      <c r="CA225" s="563">
        <f>'[16]Reported Group Highlights'!AR$25</f>
        <v>7547.3239999999996</v>
      </c>
      <c r="CB225" s="563">
        <f>'[16]Reported Group Highlights'!AS$25</f>
        <v>8217.2030000000013</v>
      </c>
      <c r="CC225" s="563">
        <f>'[16]Reported Group Highlights'!AT$25</f>
        <v>8103.2769999999991</v>
      </c>
      <c r="CD225" s="563">
        <f>'[16]Reported Group Highlights'!AU$25</f>
        <v>8454.8470000000016</v>
      </c>
      <c r="CE225" s="564">
        <f>CE219+CE222+CE224</f>
        <v>35257.812999999995</v>
      </c>
      <c r="CF225" s="563">
        <f>'[16]Reported Group Highlights'!AV$25</f>
        <v>8438.2849999999999</v>
      </c>
      <c r="CG225" s="563">
        <f>'[16]Reported Group Highlights'!AW$25</f>
        <v>8613.3120000000017</v>
      </c>
      <c r="CH225" s="563">
        <f>'[16]Reported Group Highlights'!AX$25</f>
        <v>8309.8139999999985</v>
      </c>
      <c r="CI225" s="563">
        <f>'[16]Reported Group Highlights'!AY$25</f>
        <v>9030.1860000000015</v>
      </c>
      <c r="CJ225" s="564">
        <f t="shared" ref="CJ225:CT225" si="772">CJ219+CJ222+CJ224</f>
        <v>2950.0410000000015</v>
      </c>
      <c r="CK225" s="563">
        <f>'[16]Reported Group Highlights'!AZ$25</f>
        <v>8601.1769999999997</v>
      </c>
      <c r="CL225" s="563">
        <f>'[16]Reported Group Highlights'!BA$25</f>
        <v>10493.717000000001</v>
      </c>
      <c r="CM225" s="563">
        <f>'[16]Reported Group Highlights'!BB$25</f>
        <v>11452.569</v>
      </c>
      <c r="CN225" s="563"/>
      <c r="CO225" s="564">
        <f t="shared" si="772"/>
        <v>2979.7249000000015</v>
      </c>
      <c r="CP225" s="564">
        <f t="shared" si="772"/>
        <v>3009.7056390000016</v>
      </c>
      <c r="CQ225" s="564">
        <f t="shared" si="772"/>
        <v>3039.9861853900015</v>
      </c>
      <c r="CR225" s="564">
        <f t="shared" si="772"/>
        <v>3070.5695372439018</v>
      </c>
      <c r="CS225" s="564">
        <f t="shared" si="772"/>
        <v>3101.4587226163408</v>
      </c>
      <c r="CT225" s="564">
        <f t="shared" si="772"/>
        <v>3132.6567998425044</v>
      </c>
      <c r="CV225" s="1368"/>
    </row>
    <row r="226" spans="1:117" hidden="1" outlineLevel="1">
      <c r="B226" s="562" t="s">
        <v>561</v>
      </c>
      <c r="C226" s="372"/>
      <c r="D226" s="372"/>
      <c r="E226" s="372"/>
      <c r="F226" s="372"/>
      <c r="G226" s="372"/>
      <c r="H226" s="372"/>
      <c r="I226" s="372"/>
      <c r="J226" s="372"/>
      <c r="K226" s="372"/>
      <c r="L226" s="372"/>
      <c r="M226" s="372"/>
      <c r="N226" s="372"/>
      <c r="O226" s="372"/>
      <c r="P226" s="372"/>
      <c r="Q226" s="372"/>
      <c r="R226" s="372"/>
      <c r="S226" s="372"/>
      <c r="T226" s="372"/>
      <c r="U226" s="372"/>
      <c r="V226" s="372"/>
      <c r="W226" s="372"/>
      <c r="X226" s="372"/>
      <c r="Y226" s="372"/>
      <c r="Z226" s="372"/>
      <c r="AA226" s="372"/>
      <c r="AB226" s="372"/>
      <c r="AC226" s="372"/>
      <c r="AD226" s="372"/>
      <c r="AE226" s="372"/>
      <c r="AF226" s="372"/>
      <c r="AG226" s="372"/>
      <c r="AH226" s="372"/>
      <c r="AI226" s="372"/>
      <c r="AJ226" s="372"/>
      <c r="AK226" s="372"/>
      <c r="AL226" s="372"/>
      <c r="AM226" s="372"/>
      <c r="AN226" s="372"/>
      <c r="AO226" s="372"/>
      <c r="AP226" s="372"/>
      <c r="AQ226" s="372"/>
      <c r="AR226" s="372"/>
      <c r="AS226" s="372"/>
      <c r="AT226" s="372"/>
      <c r="AU226" s="372"/>
      <c r="AV226" s="372"/>
      <c r="AW226" s="426"/>
      <c r="AX226" s="426"/>
      <c r="AY226" s="372"/>
      <c r="AZ226" s="372"/>
      <c r="BA226" s="372"/>
      <c r="BB226" s="426">
        <f t="shared" ref="BB226:BZ226" si="773">BB225/AW225-1</f>
        <v>4.4695214584124621E-2</v>
      </c>
      <c r="BC226" s="426">
        <f t="shared" si="773"/>
        <v>-2.1585142050467687E-2</v>
      </c>
      <c r="BD226" s="426">
        <f t="shared" si="773"/>
        <v>-2.0742043551088774E-2</v>
      </c>
      <c r="BE226" s="426">
        <f t="shared" si="773"/>
        <v>1.249162759544542E-2</v>
      </c>
      <c r="BF226" s="426">
        <f t="shared" si="773"/>
        <v>2.7895956284154089E-3</v>
      </c>
      <c r="BG226" s="426">
        <f t="shared" si="773"/>
        <v>8.468062017335698E-2</v>
      </c>
      <c r="BH226" s="426">
        <f t="shared" si="773"/>
        <v>0.13435011633680372</v>
      </c>
      <c r="BI226" s="426">
        <f t="shared" si="773"/>
        <v>0.10562864234190927</v>
      </c>
      <c r="BJ226" s="426">
        <f t="shared" si="773"/>
        <v>6.0485231369695303E-2</v>
      </c>
      <c r="BK226" s="426">
        <f t="shared" si="773"/>
        <v>9.5647499094547506E-2</v>
      </c>
      <c r="BL226" s="426">
        <f t="shared" si="773"/>
        <v>8.8806285803918028E-2</v>
      </c>
      <c r="BM226" s="426">
        <f t="shared" si="773"/>
        <v>4.6967019391519926E-2</v>
      </c>
      <c r="BN226" s="426">
        <f t="shared" si="773"/>
        <v>1.7064238663562659E-2</v>
      </c>
      <c r="BO226" s="426">
        <f t="shared" si="773"/>
        <v>-9.2612201804957994E-3</v>
      </c>
      <c r="BP226" s="426">
        <f t="shared" si="773"/>
        <v>3.4864447536634424E-2</v>
      </c>
      <c r="BQ226" s="426">
        <f t="shared" si="773"/>
        <v>-3.8445774155471901E-2</v>
      </c>
      <c r="BR226" s="426">
        <f t="shared" si="773"/>
        <v>2.1537859705279105E-2</v>
      </c>
      <c r="BS226" s="426">
        <f t="shared" si="773"/>
        <v>3.8333335108003519E-2</v>
      </c>
      <c r="BT226" s="426">
        <f t="shared" si="773"/>
        <v>9.4588115368244852E-2</v>
      </c>
      <c r="BU226" s="426">
        <f t="shared" si="773"/>
        <v>2.8642096159055219E-2</v>
      </c>
      <c r="BV226" s="426">
        <f t="shared" si="773"/>
        <v>7.9184769638005692E-2</v>
      </c>
      <c r="BW226" s="426">
        <f t="shared" si="773"/>
        <v>9.0072806888706447E-2</v>
      </c>
      <c r="BX226" s="426">
        <f t="shared" si="773"/>
        <v>0.10175895261554624</v>
      </c>
      <c r="BY226" s="426">
        <f t="shared" si="773"/>
        <v>8.5238594926527522E-2</v>
      </c>
      <c r="BZ226" s="426">
        <f t="shared" si="773"/>
        <v>0.1873341793111698</v>
      </c>
      <c r="CA226" s="426">
        <f t="shared" ref="CA226:CM226" si="774">CA225/BV225-1</f>
        <v>0.1194390319040517</v>
      </c>
      <c r="CB226" s="426">
        <f t="shared" si="774"/>
        <v>0.12061819720620193</v>
      </c>
      <c r="CC226" s="426">
        <f t="shared" si="774"/>
        <v>7.7477461904634781E-2</v>
      </c>
      <c r="CD226" s="426">
        <f t="shared" si="774"/>
        <v>0.12035270480961402</v>
      </c>
      <c r="CE226" s="426">
        <f t="shared" si="774"/>
        <v>0.10992303783435342</v>
      </c>
      <c r="CF226" s="426">
        <f t="shared" si="774"/>
        <v>0.11804992074011933</v>
      </c>
      <c r="CG226" s="426">
        <f t="shared" si="774"/>
        <v>4.8204845371350835E-2</v>
      </c>
      <c r="CH226" s="426">
        <f t="shared" si="774"/>
        <v>2.548808340132025E-2</v>
      </c>
      <c r="CI226" s="426">
        <f t="shared" si="774"/>
        <v>6.8048422401966624E-2</v>
      </c>
      <c r="CJ226" s="426">
        <f>CJ225/CE225-1</f>
        <v>-0.91632943881119333</v>
      </c>
      <c r="CK226" s="426">
        <f t="shared" si="774"/>
        <v>1.9303922538762341E-2</v>
      </c>
      <c r="CL226" s="426">
        <f t="shared" si="774"/>
        <v>0.21831381470913835</v>
      </c>
      <c r="CM226" s="426">
        <f t="shared" si="774"/>
        <v>0.37819799576741442</v>
      </c>
      <c r="CN226" s="426"/>
      <c r="CO226" s="426">
        <f>CO225/CJ225-1</f>
        <v>1.0062199135537409E-2</v>
      </c>
      <c r="CP226" s="426">
        <f t="shared" ref="CP226:CR226" si="775">CP225/CO225-1</f>
        <v>1.006157951024278E-2</v>
      </c>
      <c r="CQ226" s="426">
        <f t="shared" si="775"/>
        <v>1.0060966095030155E-2</v>
      </c>
      <c r="CR226" s="426">
        <f t="shared" si="775"/>
        <v>1.0060358826919025E-2</v>
      </c>
      <c r="CS226" s="426">
        <f t="shared" ref="CS226" si="776">CS225/CR225-1</f>
        <v>1.0059757643581912E-2</v>
      </c>
      <c r="CT226" s="426">
        <f t="shared" ref="CT226" si="777">CT225/CS225-1</f>
        <v>1.0059162483337936E-2</v>
      </c>
      <c r="CU226" s="347"/>
      <c r="CV226" s="1363"/>
      <c r="CW226" s="347"/>
      <c r="CX226" s="347"/>
      <c r="CY226" s="347"/>
      <c r="CZ226" s="354"/>
      <c r="DA226" s="354"/>
      <c r="DB226" s="354"/>
      <c r="DC226" s="354"/>
      <c r="DD226" s="354"/>
      <c r="DE226" s="354"/>
    </row>
    <row r="227" spans="1:117" collapsed="1">
      <c r="B227" s="562"/>
      <c r="C227" s="372"/>
      <c r="D227" s="372"/>
      <c r="E227" s="372"/>
      <c r="F227" s="372"/>
      <c r="G227" s="372"/>
      <c r="H227" s="372"/>
      <c r="I227" s="372"/>
      <c r="J227" s="372"/>
      <c r="K227" s="372"/>
      <c r="L227" s="372"/>
      <c r="M227" s="372"/>
      <c r="N227" s="372"/>
      <c r="O227" s="372"/>
      <c r="P227" s="372"/>
      <c r="Q227" s="372"/>
      <c r="R227" s="372"/>
      <c r="S227" s="372"/>
      <c r="T227" s="372"/>
      <c r="U227" s="372"/>
      <c r="V227" s="372"/>
      <c r="W227" s="372"/>
      <c r="X227" s="372"/>
      <c r="Y227" s="372"/>
      <c r="Z227" s="372"/>
      <c r="AA227" s="372"/>
      <c r="AB227" s="372"/>
      <c r="AC227" s="372"/>
      <c r="AD227" s="372"/>
      <c r="AE227" s="372"/>
      <c r="AF227" s="372"/>
      <c r="AG227" s="372"/>
      <c r="AH227" s="372"/>
      <c r="AI227" s="372"/>
      <c r="AJ227" s="372"/>
      <c r="AK227" s="372"/>
      <c r="AL227" s="372"/>
      <c r="AM227" s="372"/>
      <c r="AN227" s="372"/>
      <c r="AO227" s="372"/>
      <c r="AP227" s="372"/>
      <c r="AQ227" s="372"/>
      <c r="AR227" s="372"/>
      <c r="AS227" s="372"/>
      <c r="AT227" s="372"/>
      <c r="AU227" s="372"/>
      <c r="AV227" s="372"/>
      <c r="AW227" s="426"/>
      <c r="AX227" s="426"/>
      <c r="AY227" s="372"/>
      <c r="AZ227" s="372"/>
      <c r="BA227" s="372"/>
      <c r="BB227" s="426"/>
      <c r="BC227" s="426"/>
      <c r="BD227" s="426"/>
      <c r="BE227" s="426"/>
      <c r="BF227" s="426"/>
      <c r="BG227" s="426"/>
      <c r="BH227" s="426"/>
      <c r="BI227" s="426"/>
      <c r="BJ227" s="426"/>
      <c r="BK227" s="426"/>
      <c r="BL227" s="426"/>
      <c r="BM227" s="426"/>
      <c r="BN227" s="426"/>
      <c r="BO227" s="426"/>
      <c r="BP227" s="426"/>
      <c r="BQ227" s="426"/>
      <c r="BR227" s="426"/>
      <c r="BS227" s="426"/>
      <c r="BT227" s="426"/>
      <c r="BU227" s="426"/>
      <c r="BV227" s="426"/>
      <c r="BW227" s="426"/>
      <c r="BX227" s="426"/>
      <c r="BY227" s="426"/>
      <c r="BZ227" s="426"/>
      <c r="CA227" s="426"/>
      <c r="CB227" s="426"/>
      <c r="CC227" s="426"/>
      <c r="CD227" s="426"/>
      <c r="CE227" s="426"/>
      <c r="CF227" s="426"/>
      <c r="CG227" s="426"/>
      <c r="CH227" s="426"/>
      <c r="CI227" s="426"/>
      <c r="CJ227" s="426"/>
      <c r="CK227" s="426"/>
      <c r="CL227" s="426"/>
      <c r="CM227" s="426"/>
      <c r="CN227" s="426"/>
      <c r="CO227" s="426"/>
      <c r="CP227" s="426"/>
      <c r="CQ227" s="426"/>
      <c r="CR227" s="426"/>
      <c r="CS227" s="426"/>
      <c r="CT227" s="426"/>
      <c r="CU227" s="347"/>
      <c r="CV227" s="1363"/>
      <c r="CW227" s="347"/>
      <c r="CX227" s="364">
        <v>2025</v>
      </c>
      <c r="CY227" s="347">
        <f>CX227+1</f>
        <v>2026</v>
      </c>
      <c r="CZ227" s="347">
        <f t="shared" ref="CZ227:DC227" si="778">CY227+1</f>
        <v>2027</v>
      </c>
      <c r="DA227" s="347">
        <f t="shared" si="778"/>
        <v>2028</v>
      </c>
      <c r="DB227" s="347">
        <f t="shared" si="778"/>
        <v>2029</v>
      </c>
      <c r="DC227" s="347">
        <f t="shared" si="778"/>
        <v>2030</v>
      </c>
      <c r="DD227" s="347"/>
      <c r="DE227" s="354"/>
    </row>
    <row r="228" spans="1:117">
      <c r="B228" s="581" t="s">
        <v>849</v>
      </c>
      <c r="C228" s="824"/>
      <c r="D228" s="824"/>
      <c r="E228" s="824"/>
      <c r="F228" s="824"/>
      <c r="G228" s="824"/>
      <c r="H228" s="824"/>
      <c r="I228" s="824"/>
      <c r="J228" s="824"/>
      <c r="K228" s="824"/>
      <c r="L228" s="824"/>
      <c r="M228" s="824"/>
      <c r="N228" s="824"/>
      <c r="O228" s="824"/>
      <c r="P228" s="824"/>
      <c r="Q228" s="824"/>
      <c r="R228" s="824"/>
      <c r="S228" s="824"/>
      <c r="T228" s="824"/>
      <c r="U228" s="824"/>
      <c r="V228" s="824"/>
      <c r="W228" s="824"/>
      <c r="X228" s="824"/>
      <c r="Y228" s="824"/>
      <c r="Z228" s="824"/>
      <c r="AA228" s="824"/>
      <c r="AB228" s="824"/>
      <c r="AC228" s="824">
        <f t="shared" ref="AC228:AH228" si="779">AC316</f>
        <v>0</v>
      </c>
      <c r="AD228" s="824">
        <f t="shared" si="779"/>
        <v>0</v>
      </c>
      <c r="AE228" s="824">
        <f t="shared" si="779"/>
        <v>0</v>
      </c>
      <c r="AF228" s="824">
        <f t="shared" si="779"/>
        <v>0</v>
      </c>
      <c r="AG228" s="824">
        <f t="shared" si="779"/>
        <v>0</v>
      </c>
      <c r="AH228" s="824">
        <f t="shared" si="779"/>
        <v>128.65049999999999</v>
      </c>
      <c r="AI228" s="824">
        <f t="shared" ref="AI228:BP228" si="780">AI316</f>
        <v>161.1705</v>
      </c>
      <c r="AJ228" s="824">
        <f t="shared" si="780"/>
        <v>122.85899999999999</v>
      </c>
      <c r="AK228" s="824">
        <f t="shared" si="780"/>
        <v>147.79499999999999</v>
      </c>
      <c r="AL228" s="824">
        <f t="shared" si="780"/>
        <v>560.47500000000002</v>
      </c>
      <c r="AM228" s="824">
        <f t="shared" si="780"/>
        <v>132.28800000000001</v>
      </c>
      <c r="AN228" s="824">
        <f t="shared" si="780"/>
        <v>133.06800000000001</v>
      </c>
      <c r="AO228" s="824">
        <f t="shared" si="780"/>
        <v>137.86949999999999</v>
      </c>
      <c r="AP228" s="824">
        <f t="shared" si="780"/>
        <v>147.126</v>
      </c>
      <c r="AQ228" s="824">
        <f t="shared" si="780"/>
        <v>550.35149999999999</v>
      </c>
      <c r="AR228" s="824">
        <f t="shared" si="780"/>
        <v>152.25</v>
      </c>
      <c r="AS228" s="824">
        <f t="shared" si="780"/>
        <v>139.19999999999999</v>
      </c>
      <c r="AT228" s="824">
        <f t="shared" si="780"/>
        <v>198.19800000000001</v>
      </c>
      <c r="AU228" s="824">
        <f t="shared" si="780"/>
        <v>181.65600000000001</v>
      </c>
      <c r="AV228" s="824">
        <f t="shared" si="780"/>
        <v>671.30400000000009</v>
      </c>
      <c r="AW228" s="824">
        <f t="shared" si="780"/>
        <v>199.578</v>
      </c>
      <c r="AX228" s="824">
        <f t="shared" si="780"/>
        <v>181.76400000000001</v>
      </c>
      <c r="AY228" s="824">
        <f t="shared" si="780"/>
        <v>205.6035</v>
      </c>
      <c r="AZ228" s="824">
        <f t="shared" si="780"/>
        <v>222.11099999999999</v>
      </c>
      <c r="BA228" s="824">
        <f t="shared" si="780"/>
        <v>809.05650000000003</v>
      </c>
      <c r="BB228" s="824">
        <f t="shared" si="780"/>
        <v>239.613</v>
      </c>
      <c r="BC228" s="824">
        <f t="shared" si="780"/>
        <v>261.8775</v>
      </c>
      <c r="BD228" s="824">
        <f t="shared" si="780"/>
        <v>285.05250000000001</v>
      </c>
      <c r="BE228" s="824">
        <f t="shared" si="780"/>
        <v>305.601</v>
      </c>
      <c r="BF228" s="824">
        <f t="shared" si="780"/>
        <v>1092.144</v>
      </c>
      <c r="BG228" s="824">
        <f t="shared" si="780"/>
        <v>354.31200000000001</v>
      </c>
      <c r="BH228" s="824">
        <f t="shared" si="780"/>
        <v>343.18650000000002</v>
      </c>
      <c r="BI228" s="824">
        <f t="shared" si="780"/>
        <v>350.649</v>
      </c>
      <c r="BJ228" s="824">
        <f t="shared" si="780"/>
        <v>346.7835</v>
      </c>
      <c r="BK228" s="824">
        <f t="shared" si="780"/>
        <v>1394.931</v>
      </c>
      <c r="BL228" s="824">
        <f t="shared" si="780"/>
        <v>378.93599999999998</v>
      </c>
      <c r="BM228" s="824">
        <f t="shared" si="780"/>
        <v>381.28500000000003</v>
      </c>
      <c r="BN228" s="824">
        <f t="shared" si="780"/>
        <v>376.2</v>
      </c>
      <c r="BO228" s="824">
        <f t="shared" si="780"/>
        <v>377.85</v>
      </c>
      <c r="BP228" s="824">
        <f t="shared" si="780"/>
        <v>1514.2710000000002</v>
      </c>
      <c r="BQ228" s="824">
        <f t="shared" ref="BQ228:BU228" si="781">BQ316</f>
        <v>377.46</v>
      </c>
      <c r="BR228" s="824">
        <f t="shared" si="781"/>
        <v>390.42</v>
      </c>
      <c r="BS228" s="824">
        <f t="shared" si="781"/>
        <v>393.75</v>
      </c>
      <c r="BT228" s="824">
        <f t="shared" si="781"/>
        <v>411.81</v>
      </c>
      <c r="BU228" s="824">
        <f t="shared" si="781"/>
        <v>1573.44</v>
      </c>
      <c r="BV228" s="824">
        <f t="shared" ref="BV228:CT228" si="782">BV316</f>
        <v>393.96</v>
      </c>
      <c r="BW228" s="824">
        <f t="shared" si="782"/>
        <v>404.49</v>
      </c>
      <c r="BX228" s="824">
        <f t="shared" si="782"/>
        <v>420.48</v>
      </c>
      <c r="BY228" s="824">
        <f t="shared" si="782"/>
        <v>414</v>
      </c>
      <c r="BZ228" s="824">
        <f t="shared" si="782"/>
        <v>1632.93</v>
      </c>
      <c r="CA228" s="824">
        <f t="shared" si="782"/>
        <v>409.5</v>
      </c>
      <c r="CB228" s="824">
        <f t="shared" ref="CB228:CC228" si="783">CB316</f>
        <v>405</v>
      </c>
      <c r="CC228" s="824">
        <f t="shared" si="783"/>
        <v>418.5</v>
      </c>
      <c r="CD228" s="824">
        <f t="shared" ref="CD228:CE228" si="784">CD316</f>
        <v>417.6</v>
      </c>
      <c r="CE228" s="824">
        <f t="shared" si="784"/>
        <v>1650.6</v>
      </c>
      <c r="CF228" s="824">
        <f t="shared" ref="CF228:CG228" si="785">CF316</f>
        <v>417.6</v>
      </c>
      <c r="CG228" s="824">
        <f t="shared" si="785"/>
        <v>436.8</v>
      </c>
      <c r="CH228" s="824">
        <f t="shared" ref="CH228:CK228" si="786">CH316</f>
        <v>425.7</v>
      </c>
      <c r="CI228" s="824">
        <f t="shared" si="786"/>
        <v>459</v>
      </c>
      <c r="CJ228" s="824">
        <f t="shared" si="786"/>
        <v>1739.1000000000001</v>
      </c>
      <c r="CK228" s="824">
        <f t="shared" si="786"/>
        <v>446.25</v>
      </c>
      <c r="CL228" s="824">
        <f t="shared" ref="CL228" si="787">CL316</f>
        <v>466.2</v>
      </c>
      <c r="CM228" s="824">
        <f t="shared" ref="CM228" si="788">CM316</f>
        <v>462.27</v>
      </c>
      <c r="CN228" s="824"/>
      <c r="CO228" s="824">
        <f t="shared" si="782"/>
        <v>1924.3877611402481</v>
      </c>
      <c r="CP228" s="824">
        <f t="shared" si="782"/>
        <v>1992.6147051570431</v>
      </c>
      <c r="CQ228" s="824">
        <f t="shared" si="782"/>
        <v>2117.9772768805237</v>
      </c>
      <c r="CR228" s="824">
        <f t="shared" si="782"/>
        <v>2247.4344714862727</v>
      </c>
      <c r="CS228" s="824">
        <f t="shared" si="782"/>
        <v>2381.0928246741992</v>
      </c>
      <c r="CT228" s="824">
        <f t="shared" si="782"/>
        <v>2519.0613280893831</v>
      </c>
      <c r="CU228" s="347"/>
      <c r="CV228" s="1363"/>
      <c r="CW228" s="347"/>
      <c r="CX228" s="347"/>
      <c r="CY228" s="347"/>
      <c r="CZ228" s="354"/>
      <c r="DA228" s="354"/>
      <c r="DB228" s="354"/>
      <c r="DC228" s="354"/>
      <c r="DD228" s="354"/>
      <c r="DE228" s="354"/>
    </row>
    <row r="229" spans="1:117">
      <c r="B229" s="581" t="s">
        <v>850</v>
      </c>
      <c r="C229" s="824"/>
      <c r="D229" s="824"/>
      <c r="E229" s="824"/>
      <c r="F229" s="824"/>
      <c r="G229" s="824"/>
      <c r="H229" s="824"/>
      <c r="I229" s="824"/>
      <c r="J229" s="824"/>
      <c r="K229" s="824"/>
      <c r="L229" s="824"/>
      <c r="M229" s="824"/>
      <c r="N229" s="824"/>
      <c r="O229" s="824"/>
      <c r="P229" s="824"/>
      <c r="Q229" s="824"/>
      <c r="R229" s="824"/>
      <c r="S229" s="824"/>
      <c r="T229" s="824"/>
      <c r="U229" s="824"/>
      <c r="V229" s="824"/>
      <c r="W229" s="824"/>
      <c r="X229" s="824"/>
      <c r="Y229" s="824"/>
      <c r="Z229" s="824"/>
      <c r="AA229" s="824"/>
      <c r="AB229" s="824"/>
      <c r="AC229" s="824">
        <f t="shared" ref="AC229:AH229" si="789">AC321</f>
        <v>0</v>
      </c>
      <c r="AD229" s="824">
        <f t="shared" si="789"/>
        <v>0</v>
      </c>
      <c r="AE229" s="824">
        <f t="shared" si="789"/>
        <v>0</v>
      </c>
      <c r="AF229" s="824">
        <f t="shared" si="789"/>
        <v>0</v>
      </c>
      <c r="AG229" s="824">
        <f t="shared" si="789"/>
        <v>0</v>
      </c>
      <c r="AH229" s="824">
        <f t="shared" si="789"/>
        <v>4231.9530000000004</v>
      </c>
      <c r="AI229" s="824">
        <f t="shared" ref="AI229:CT229" si="790">AI321</f>
        <v>5093.2049999999999</v>
      </c>
      <c r="AJ229" s="824">
        <f t="shared" si="790"/>
        <v>4873.0005000000001</v>
      </c>
      <c r="AK229" s="824">
        <f t="shared" si="790"/>
        <v>4388.2875000000004</v>
      </c>
      <c r="AL229" s="824">
        <f t="shared" si="790"/>
        <v>18586.446</v>
      </c>
      <c r="AM229" s="824">
        <f t="shared" si="790"/>
        <v>4489.5060000000003</v>
      </c>
      <c r="AN229" s="824">
        <f t="shared" si="790"/>
        <v>4521.9854999999998</v>
      </c>
      <c r="AO229" s="824">
        <f t="shared" si="790"/>
        <v>4938.5370000000003</v>
      </c>
      <c r="AP229" s="824">
        <f t="shared" si="790"/>
        <v>4957.92</v>
      </c>
      <c r="AQ229" s="824">
        <f t="shared" si="790"/>
        <v>18907.948499999999</v>
      </c>
      <c r="AR229" s="824">
        <f t="shared" si="790"/>
        <v>4766.625</v>
      </c>
      <c r="AS229" s="824">
        <f t="shared" si="790"/>
        <v>4364.1719999999996</v>
      </c>
      <c r="AT229" s="824">
        <f t="shared" si="790"/>
        <v>4355.9504999999999</v>
      </c>
      <c r="AU229" s="824">
        <f t="shared" si="790"/>
        <v>4206.2039999999997</v>
      </c>
      <c r="AV229" s="824">
        <f t="shared" si="790"/>
        <v>17692.951499999996</v>
      </c>
      <c r="AW229" s="824">
        <f t="shared" si="790"/>
        <v>4484.4960000000001</v>
      </c>
      <c r="AX229" s="824">
        <f t="shared" si="790"/>
        <v>4966.2780000000002</v>
      </c>
      <c r="AY229" s="824">
        <f t="shared" si="790"/>
        <v>5038.4565000000002</v>
      </c>
      <c r="AZ229" s="824">
        <f t="shared" si="790"/>
        <v>5180.9669999999996</v>
      </c>
      <c r="BA229" s="824">
        <f t="shared" si="790"/>
        <v>19670.197500000002</v>
      </c>
      <c r="BB229" s="824">
        <f t="shared" si="790"/>
        <v>4632.6194999999998</v>
      </c>
      <c r="BC229" s="824">
        <f t="shared" si="790"/>
        <v>4756.5</v>
      </c>
      <c r="BD229" s="824">
        <f t="shared" si="790"/>
        <v>4720.5</v>
      </c>
      <c r="BE229" s="824">
        <f t="shared" si="790"/>
        <v>4966.2</v>
      </c>
      <c r="BF229" s="824">
        <f t="shared" si="790"/>
        <v>19075.819500000001</v>
      </c>
      <c r="BG229" s="824">
        <f t="shared" si="790"/>
        <v>5017.3500000000004</v>
      </c>
      <c r="BH229" s="824">
        <f t="shared" si="790"/>
        <v>5420.25</v>
      </c>
      <c r="BI229" s="824">
        <f t="shared" si="790"/>
        <v>5604.9</v>
      </c>
      <c r="BJ229" s="824">
        <f t="shared" si="790"/>
        <v>5610</v>
      </c>
      <c r="BK229" s="824">
        <f t="shared" si="790"/>
        <v>21652.5</v>
      </c>
      <c r="BL229" s="824">
        <f t="shared" si="790"/>
        <v>5606.94</v>
      </c>
      <c r="BM229" s="824">
        <f t="shared" si="790"/>
        <v>5879.52</v>
      </c>
      <c r="BN229" s="824">
        <f t="shared" si="790"/>
        <v>5789.7</v>
      </c>
      <c r="BO229" s="824">
        <f t="shared" si="790"/>
        <v>5567.76</v>
      </c>
      <c r="BP229" s="824">
        <f t="shared" si="790"/>
        <v>22843.919999999998</v>
      </c>
      <c r="BQ229" s="824">
        <f t="shared" si="790"/>
        <v>5522.7150000000001</v>
      </c>
      <c r="BR229" s="824">
        <f t="shared" si="790"/>
        <v>5959.98</v>
      </c>
      <c r="BS229" s="824">
        <f t="shared" si="790"/>
        <v>6061.5</v>
      </c>
      <c r="BT229" s="824">
        <f t="shared" si="790"/>
        <v>6118.2</v>
      </c>
      <c r="BU229" s="824">
        <f t="shared" si="790"/>
        <v>23662.395</v>
      </c>
      <c r="BV229" s="824">
        <f t="shared" si="790"/>
        <v>6060.42</v>
      </c>
      <c r="BW229" s="824">
        <f t="shared" si="790"/>
        <v>6352.65</v>
      </c>
      <c r="BX229" s="824">
        <f t="shared" si="790"/>
        <v>6367.47</v>
      </c>
      <c r="BY229" s="824">
        <f t="shared" si="790"/>
        <v>6378.3</v>
      </c>
      <c r="BZ229" s="824">
        <f t="shared" si="790"/>
        <v>25158.84</v>
      </c>
      <c r="CA229" s="824">
        <f t="shared" si="790"/>
        <v>6406.8</v>
      </c>
      <c r="CB229" s="824">
        <f t="shared" si="790"/>
        <v>6774</v>
      </c>
      <c r="CC229" s="824">
        <f t="shared" ref="CC229:CE229" si="791">CC321</f>
        <v>6744</v>
      </c>
      <c r="CD229" s="824">
        <f t="shared" si="791"/>
        <v>6875.7</v>
      </c>
      <c r="CE229" s="824">
        <f t="shared" si="791"/>
        <v>26800.5</v>
      </c>
      <c r="CF229" s="824">
        <f t="shared" ref="CF229:CG229" si="792">CF321</f>
        <v>7049.7</v>
      </c>
      <c r="CG229" s="824">
        <f t="shared" si="792"/>
        <v>7282.05</v>
      </c>
      <c r="CH229" s="824">
        <f t="shared" ref="CH229:CK229" si="793">CH321</f>
        <v>6828</v>
      </c>
      <c r="CI229" s="824">
        <f t="shared" si="793"/>
        <v>6840</v>
      </c>
      <c r="CJ229" s="824">
        <f t="shared" si="793"/>
        <v>27999.75</v>
      </c>
      <c r="CK229" s="824">
        <f t="shared" si="793"/>
        <v>6509.4</v>
      </c>
      <c r="CL229" s="824">
        <f t="shared" ref="CL229" si="794">CL321</f>
        <v>8715.6</v>
      </c>
      <c r="CM229" s="824">
        <f t="shared" ref="CM229" si="795">CM321</f>
        <v>8834.49</v>
      </c>
      <c r="CN229" s="824"/>
      <c r="CO229" s="824">
        <f t="shared" si="790"/>
        <v>33389.846685174678</v>
      </c>
      <c r="CP229" s="824">
        <f t="shared" si="790"/>
        <v>37399.626840033765</v>
      </c>
      <c r="CQ229" s="824">
        <f t="shared" si="790"/>
        <v>39038.758366483627</v>
      </c>
      <c r="CR229" s="824">
        <f t="shared" si="790"/>
        <v>40748.905633671515</v>
      </c>
      <c r="CS229" s="824">
        <f t="shared" si="790"/>
        <v>42533.115963013312</v>
      </c>
      <c r="CT229" s="824">
        <f t="shared" si="790"/>
        <v>44394.566370654196</v>
      </c>
      <c r="CU229" s="347"/>
      <c r="CV229" s="1363"/>
      <c r="CW229" s="347"/>
      <c r="CX229" s="347"/>
      <c r="CY229" s="347"/>
      <c r="CZ229" s="354"/>
      <c r="DA229" s="354"/>
      <c r="DB229" s="354"/>
      <c r="DC229" s="354"/>
      <c r="DD229" s="354"/>
      <c r="DE229" s="354"/>
    </row>
    <row r="230" spans="1:117">
      <c r="B230" s="581" t="s">
        <v>501</v>
      </c>
      <c r="C230" s="824"/>
      <c r="D230" s="824"/>
      <c r="E230" s="824"/>
      <c r="F230" s="824"/>
      <c r="G230" s="824"/>
      <c r="H230" s="824"/>
      <c r="I230" s="824"/>
      <c r="J230" s="824"/>
      <c r="K230" s="824"/>
      <c r="L230" s="824"/>
      <c r="M230" s="824"/>
      <c r="N230" s="824"/>
      <c r="O230" s="824"/>
      <c r="P230" s="824"/>
      <c r="Q230" s="824"/>
      <c r="R230" s="824"/>
      <c r="S230" s="824"/>
      <c r="T230" s="824"/>
      <c r="U230" s="824"/>
      <c r="V230" s="824"/>
      <c r="W230" s="824"/>
      <c r="X230" s="824"/>
      <c r="Y230" s="824"/>
      <c r="Z230" s="824"/>
      <c r="AA230" s="824"/>
      <c r="AB230" s="824"/>
      <c r="AC230" s="824"/>
      <c r="AD230" s="824"/>
      <c r="AE230" s="824"/>
      <c r="AF230" s="824"/>
      <c r="AG230" s="824"/>
      <c r="AH230" s="824">
        <f t="shared" ref="AH230:BM230" si="796">AH306</f>
        <v>329.39649999999961</v>
      </c>
      <c r="AI230" s="824">
        <f t="shared" si="796"/>
        <v>-1.3754999999999313</v>
      </c>
      <c r="AJ230" s="824">
        <f t="shared" si="796"/>
        <v>233.14049999999992</v>
      </c>
      <c r="AK230" s="824">
        <f t="shared" si="796"/>
        <v>656.91749999999968</v>
      </c>
      <c r="AL230" s="824">
        <f t="shared" si="796"/>
        <v>1218.0790000000002</v>
      </c>
      <c r="AM230" s="824">
        <f t="shared" si="796"/>
        <v>170.20599999999968</v>
      </c>
      <c r="AN230" s="824">
        <f t="shared" si="796"/>
        <v>293.94650000000024</v>
      </c>
      <c r="AO230" s="824">
        <f t="shared" si="796"/>
        <v>121.59349999999975</v>
      </c>
      <c r="AP230" s="824">
        <f t="shared" si="796"/>
        <v>269.95399999999995</v>
      </c>
      <c r="AQ230" s="824">
        <f t="shared" si="796"/>
        <v>855.70000000000141</v>
      </c>
      <c r="AR230" s="824">
        <f t="shared" si="796"/>
        <v>184.125</v>
      </c>
      <c r="AS230" s="824">
        <f t="shared" si="796"/>
        <v>248.62800000000044</v>
      </c>
      <c r="AT230" s="824">
        <f t="shared" si="796"/>
        <v>204.85150000000007</v>
      </c>
      <c r="AU230" s="824">
        <f t="shared" si="796"/>
        <v>450.14000000000027</v>
      </c>
      <c r="AV230" s="824">
        <f t="shared" si="796"/>
        <v>1087.7445000000043</v>
      </c>
      <c r="AW230" s="824">
        <f t="shared" si="796"/>
        <v>151.9259999999999</v>
      </c>
      <c r="AX230" s="824">
        <f t="shared" si="796"/>
        <v>105.95799999999974</v>
      </c>
      <c r="AY230" s="824">
        <f t="shared" si="796"/>
        <v>322.93999999999977</v>
      </c>
      <c r="AZ230" s="824">
        <f t="shared" si="796"/>
        <v>179.92200000000037</v>
      </c>
      <c r="BA230" s="824">
        <f t="shared" si="796"/>
        <v>760.74599999999793</v>
      </c>
      <c r="BB230" s="824">
        <f t="shared" si="796"/>
        <v>321.41350000000085</v>
      </c>
      <c r="BC230" s="824">
        <f t="shared" si="796"/>
        <v>216.34549999999996</v>
      </c>
      <c r="BD230" s="824">
        <f t="shared" si="796"/>
        <v>511.52149999999961</v>
      </c>
      <c r="BE230" s="824">
        <f t="shared" si="796"/>
        <v>466.19599999999957</v>
      </c>
      <c r="BF230" s="824">
        <f t="shared" si="796"/>
        <v>1515.4764999999973</v>
      </c>
      <c r="BG230" s="824">
        <f t="shared" si="796"/>
        <v>318.12899999999979</v>
      </c>
      <c r="BH230" s="824">
        <f t="shared" si="796"/>
        <v>246.41149999999993</v>
      </c>
      <c r="BI230" s="824">
        <f t="shared" si="796"/>
        <v>226.23700000000133</v>
      </c>
      <c r="BJ230" s="824">
        <f t="shared" si="796"/>
        <v>199.43449999999893</v>
      </c>
      <c r="BK230" s="824">
        <f t="shared" si="796"/>
        <v>990.21199999999635</v>
      </c>
      <c r="BL230" s="824">
        <f t="shared" si="796"/>
        <v>263.30300000000142</v>
      </c>
      <c r="BM230" s="824">
        <f t="shared" si="796"/>
        <v>151.97199999999867</v>
      </c>
      <c r="BN230" s="824">
        <f t="shared" ref="BN230:CT230" si="797">BN306</f>
        <v>228.01900000000006</v>
      </c>
      <c r="BO230" s="824">
        <f t="shared" si="797"/>
        <v>243.45500000000027</v>
      </c>
      <c r="BP230" s="824">
        <f t="shared" si="797"/>
        <v>886.74900000000389</v>
      </c>
      <c r="BQ230" s="824">
        <f t="shared" si="797"/>
        <v>194.89999999999969</v>
      </c>
      <c r="BR230" s="824">
        <f t="shared" si="797"/>
        <v>82.52700000000101</v>
      </c>
      <c r="BS230" s="824">
        <f t="shared" si="797"/>
        <v>141.27700000000004</v>
      </c>
      <c r="BT230" s="824">
        <f t="shared" si="797"/>
        <v>159.40100000000024</v>
      </c>
      <c r="BU230" s="824">
        <f t="shared" si="797"/>
        <v>578.10500000000184</v>
      </c>
      <c r="BV230" s="824">
        <f t="shared" si="797"/>
        <v>27.562000000000864</v>
      </c>
      <c r="BW230" s="824">
        <f t="shared" si="797"/>
        <v>158.59500000000003</v>
      </c>
      <c r="BX230" s="824">
        <f t="shared" si="797"/>
        <v>318.49899999999934</v>
      </c>
      <c r="BY230" s="824">
        <f t="shared" si="797"/>
        <v>299.89499999999953</v>
      </c>
      <c r="BZ230" s="824">
        <f t="shared" si="797"/>
        <v>804.5509999999997</v>
      </c>
      <c r="CA230" s="824">
        <f t="shared" si="797"/>
        <v>351.27300000000014</v>
      </c>
      <c r="CB230" s="824">
        <f t="shared" si="797"/>
        <v>597.36300000000028</v>
      </c>
      <c r="CC230" s="824">
        <f t="shared" ref="CC230:CE230" si="798">CC306</f>
        <v>394.35600000000159</v>
      </c>
      <c r="CD230" s="824">
        <f t="shared" si="798"/>
        <v>612.1269999999962</v>
      </c>
      <c r="CE230" s="824">
        <f t="shared" si="798"/>
        <v>1955.1189999999974</v>
      </c>
      <c r="CF230" s="824">
        <f t="shared" ref="CF230:CG230" si="799">CF306</f>
        <v>595.62800000000004</v>
      </c>
      <c r="CG230" s="824">
        <f t="shared" si="799"/>
        <v>540.16100000000029</v>
      </c>
      <c r="CH230" s="824">
        <f t="shared" ref="CH230:CK230" si="800">CH306</f>
        <v>495.07200000000086</v>
      </c>
      <c r="CI230" s="824">
        <f t="shared" si="800"/>
        <v>1108.3336000000018</v>
      </c>
      <c r="CJ230" s="824">
        <f t="shared" si="800"/>
        <v>2739.1946000000044</v>
      </c>
      <c r="CK230" s="824">
        <f t="shared" si="800"/>
        <v>1127.049</v>
      </c>
      <c r="CL230" s="824">
        <f t="shared" ref="CL230" si="801">CL306</f>
        <v>574.82000000000039</v>
      </c>
      <c r="CM230" s="824">
        <f t="shared" ref="CM230" si="802">CM306</f>
        <v>1170.3840000000005</v>
      </c>
      <c r="CN230" s="824"/>
      <c r="CO230" s="824">
        <f t="shared" si="797"/>
        <v>4108.7919000000065</v>
      </c>
      <c r="CP230" s="824">
        <f t="shared" si="797"/>
        <v>4519.671090000008</v>
      </c>
      <c r="CQ230" s="824">
        <f t="shared" si="797"/>
        <v>4655.2612227000081</v>
      </c>
      <c r="CR230" s="824">
        <f t="shared" si="797"/>
        <v>4794.9190593810081</v>
      </c>
      <c r="CS230" s="824">
        <f t="shared" si="797"/>
        <v>4938.7666311624389</v>
      </c>
      <c r="CT230" s="824">
        <f t="shared" si="797"/>
        <v>5086.9296300973119</v>
      </c>
      <c r="CU230" s="347"/>
      <c r="CV230" s="1363"/>
      <c r="CW230" s="347"/>
      <c r="CX230" s="347"/>
      <c r="CY230" s="347"/>
      <c r="CZ230" s="354"/>
      <c r="DA230" s="354"/>
      <c r="DB230" s="354"/>
      <c r="DC230" s="354"/>
      <c r="DD230" s="354"/>
      <c r="DE230" s="354"/>
    </row>
    <row r="231" spans="1:117" s="399" customFormat="1">
      <c r="A231" s="769"/>
      <c r="B231" s="462" t="s">
        <v>826</v>
      </c>
      <c r="C231" s="826"/>
      <c r="D231" s="826"/>
      <c r="E231" s="826"/>
      <c r="F231" s="826"/>
      <c r="G231" s="826"/>
      <c r="H231" s="826"/>
      <c r="I231" s="826"/>
      <c r="J231" s="826"/>
      <c r="K231" s="826"/>
      <c r="L231" s="826"/>
      <c r="M231" s="826"/>
      <c r="N231" s="826"/>
      <c r="O231" s="826"/>
      <c r="P231" s="826"/>
      <c r="Q231" s="826"/>
      <c r="R231" s="826"/>
      <c r="S231" s="826"/>
      <c r="T231" s="826"/>
      <c r="U231" s="826"/>
      <c r="V231" s="826"/>
      <c r="W231" s="826"/>
      <c r="X231" s="826"/>
      <c r="Y231" s="826"/>
      <c r="Z231" s="826"/>
      <c r="AA231" s="826"/>
      <c r="AB231" s="826"/>
      <c r="AC231" s="826">
        <f t="shared" ref="AC231:AG231" si="803">AC228+AC229</f>
        <v>0</v>
      </c>
      <c r="AD231" s="826">
        <f t="shared" si="803"/>
        <v>0</v>
      </c>
      <c r="AE231" s="826">
        <f t="shared" si="803"/>
        <v>0</v>
      </c>
      <c r="AF231" s="826">
        <f t="shared" si="803"/>
        <v>0</v>
      </c>
      <c r="AG231" s="826">
        <f t="shared" si="803"/>
        <v>0</v>
      </c>
      <c r="AH231" s="826">
        <f>SUM(AH228:AH230)</f>
        <v>4690</v>
      </c>
      <c r="AI231" s="826">
        <f t="shared" ref="AI231:CT231" si="804">SUM(AI228:AI230)</f>
        <v>5253</v>
      </c>
      <c r="AJ231" s="826">
        <f t="shared" si="804"/>
        <v>5229</v>
      </c>
      <c r="AK231" s="826">
        <f t="shared" si="804"/>
        <v>5193</v>
      </c>
      <c r="AL231" s="826">
        <f t="shared" si="804"/>
        <v>20365</v>
      </c>
      <c r="AM231" s="826">
        <f t="shared" si="804"/>
        <v>4792</v>
      </c>
      <c r="AN231" s="826">
        <f t="shared" si="804"/>
        <v>4949</v>
      </c>
      <c r="AO231" s="826">
        <f t="shared" si="804"/>
        <v>5198</v>
      </c>
      <c r="AP231" s="826">
        <f t="shared" si="804"/>
        <v>5375</v>
      </c>
      <c r="AQ231" s="826">
        <f t="shared" si="804"/>
        <v>20314</v>
      </c>
      <c r="AR231" s="826">
        <f t="shared" si="804"/>
        <v>5103</v>
      </c>
      <c r="AS231" s="826">
        <f t="shared" si="804"/>
        <v>4752</v>
      </c>
      <c r="AT231" s="826">
        <f t="shared" si="804"/>
        <v>4759</v>
      </c>
      <c r="AU231" s="826">
        <f t="shared" si="804"/>
        <v>4838</v>
      </c>
      <c r="AV231" s="826">
        <f t="shared" si="804"/>
        <v>19452</v>
      </c>
      <c r="AW231" s="826">
        <f t="shared" si="804"/>
        <v>4836</v>
      </c>
      <c r="AX231" s="826">
        <f t="shared" si="804"/>
        <v>5254</v>
      </c>
      <c r="AY231" s="826">
        <f t="shared" si="804"/>
        <v>5567</v>
      </c>
      <c r="AZ231" s="826">
        <f t="shared" si="804"/>
        <v>5583</v>
      </c>
      <c r="BA231" s="826">
        <f t="shared" si="804"/>
        <v>21240</v>
      </c>
      <c r="BB231" s="826">
        <f t="shared" si="804"/>
        <v>5193.6460000000006</v>
      </c>
      <c r="BC231" s="826">
        <f t="shared" si="804"/>
        <v>5234.723</v>
      </c>
      <c r="BD231" s="826">
        <f t="shared" si="804"/>
        <v>5517.0739999999996</v>
      </c>
      <c r="BE231" s="826">
        <f t="shared" si="804"/>
        <v>5737.9969999999994</v>
      </c>
      <c r="BF231" s="826">
        <f t="shared" si="804"/>
        <v>21683.439999999999</v>
      </c>
      <c r="BG231" s="826">
        <f t="shared" si="804"/>
        <v>5689.7910000000002</v>
      </c>
      <c r="BH231" s="826">
        <f t="shared" si="804"/>
        <v>6009.848</v>
      </c>
      <c r="BI231" s="826">
        <f t="shared" si="804"/>
        <v>6181.786000000001</v>
      </c>
      <c r="BJ231" s="826">
        <f t="shared" si="804"/>
        <v>6156.2179999999989</v>
      </c>
      <c r="BK231" s="826">
        <f t="shared" si="804"/>
        <v>24037.642999999996</v>
      </c>
      <c r="BL231" s="826">
        <f t="shared" si="804"/>
        <v>6249.179000000001</v>
      </c>
      <c r="BM231" s="826">
        <f t="shared" si="804"/>
        <v>6412.7769999999991</v>
      </c>
      <c r="BN231" s="826">
        <f t="shared" si="804"/>
        <v>6393.9189999999999</v>
      </c>
      <c r="BO231" s="826">
        <f t="shared" si="804"/>
        <v>6189.0650000000005</v>
      </c>
      <c r="BP231" s="826">
        <f t="shared" si="804"/>
        <v>25244.940000000002</v>
      </c>
      <c r="BQ231" s="826">
        <f t="shared" si="804"/>
        <v>6095.0749999999998</v>
      </c>
      <c r="BR231" s="826">
        <f t="shared" si="804"/>
        <v>6432.9270000000006</v>
      </c>
      <c r="BS231" s="826">
        <f t="shared" si="804"/>
        <v>6596.527</v>
      </c>
      <c r="BT231" s="826">
        <f t="shared" si="804"/>
        <v>6689.4110000000001</v>
      </c>
      <c r="BU231" s="826">
        <f t="shared" si="804"/>
        <v>25813.940000000002</v>
      </c>
      <c r="BV231" s="826">
        <f t="shared" si="804"/>
        <v>6481.9420000000009</v>
      </c>
      <c r="BW231" s="826">
        <f t="shared" si="804"/>
        <v>6915.7349999999997</v>
      </c>
      <c r="BX231" s="826">
        <f t="shared" si="804"/>
        <v>7106.4490000000005</v>
      </c>
      <c r="BY231" s="826">
        <f t="shared" si="804"/>
        <v>7092.1949999999997</v>
      </c>
      <c r="BZ231" s="826">
        <f t="shared" si="804"/>
        <v>27596.321</v>
      </c>
      <c r="CA231" s="826">
        <f t="shared" si="804"/>
        <v>7167.5730000000003</v>
      </c>
      <c r="CB231" s="826">
        <f t="shared" si="804"/>
        <v>7776.3630000000003</v>
      </c>
      <c r="CC231" s="826">
        <f t="shared" ref="CC231:CE231" si="805">SUM(CC228:CC230)</f>
        <v>7556.8560000000016</v>
      </c>
      <c r="CD231" s="826">
        <f t="shared" si="805"/>
        <v>7905.426999999996</v>
      </c>
      <c r="CE231" s="826">
        <f t="shared" si="805"/>
        <v>30406.218999999997</v>
      </c>
      <c r="CF231" s="826">
        <f t="shared" ref="CF231:CG231" si="806">SUM(CF228:CF230)</f>
        <v>8062.9279999999999</v>
      </c>
      <c r="CG231" s="826">
        <f t="shared" si="806"/>
        <v>8259.0110000000004</v>
      </c>
      <c r="CH231" s="826">
        <f t="shared" ref="CH231:CK231" si="807">SUM(CH228:CH230)</f>
        <v>7748.7720000000008</v>
      </c>
      <c r="CI231" s="826">
        <f t="shared" si="807"/>
        <v>8407.3336000000018</v>
      </c>
      <c r="CJ231" s="826">
        <f t="shared" si="807"/>
        <v>32478.044600000001</v>
      </c>
      <c r="CK231" s="826">
        <f t="shared" si="807"/>
        <v>8082.6989999999996</v>
      </c>
      <c r="CL231" s="826">
        <f t="shared" ref="CL231" si="808">SUM(CL228:CL230)</f>
        <v>9756.6200000000008</v>
      </c>
      <c r="CM231" s="826">
        <f t="shared" ref="CM231" si="809">SUM(CM228:CM230)</f>
        <v>10467.144</v>
      </c>
      <c r="CN231" s="826"/>
      <c r="CO231" s="826">
        <f t="shared" si="804"/>
        <v>39423.026346314931</v>
      </c>
      <c r="CP231" s="826">
        <f t="shared" si="804"/>
        <v>43911.91263519082</v>
      </c>
      <c r="CQ231" s="826">
        <f t="shared" si="804"/>
        <v>45811.996866064161</v>
      </c>
      <c r="CR231" s="826">
        <f t="shared" si="804"/>
        <v>47791.259164538795</v>
      </c>
      <c r="CS231" s="826">
        <f t="shared" si="804"/>
        <v>49852.97541884995</v>
      </c>
      <c r="CT231" s="826">
        <f t="shared" si="804"/>
        <v>52000.557328840892</v>
      </c>
      <c r="CU231" s="364"/>
      <c r="CV231" s="1362"/>
      <c r="CW231" s="364"/>
      <c r="CX231" s="364"/>
      <c r="CY231" s="364"/>
      <c r="CZ231" s="365"/>
      <c r="DA231" s="365"/>
      <c r="DB231" s="365"/>
      <c r="DC231" s="365"/>
      <c r="DD231" s="365"/>
      <c r="DE231" s="365"/>
    </row>
    <row r="232" spans="1:117" s="399" customFormat="1">
      <c r="A232" s="769"/>
      <c r="B232" s="407" t="s">
        <v>825</v>
      </c>
      <c r="C232" s="825"/>
      <c r="D232" s="825"/>
      <c r="E232" s="825"/>
      <c r="F232" s="825"/>
      <c r="G232" s="825"/>
      <c r="H232" s="825"/>
      <c r="I232" s="825"/>
      <c r="J232" s="825"/>
      <c r="K232" s="825"/>
      <c r="L232" s="825"/>
      <c r="M232" s="825"/>
      <c r="N232" s="825"/>
      <c r="O232" s="825"/>
      <c r="P232" s="825"/>
      <c r="Q232" s="825"/>
      <c r="R232" s="825"/>
      <c r="S232" s="825"/>
      <c r="T232" s="825"/>
      <c r="U232" s="825"/>
      <c r="V232" s="825"/>
      <c r="W232" s="825"/>
      <c r="X232" s="825"/>
      <c r="Y232" s="825"/>
      <c r="Z232" s="825"/>
      <c r="AA232" s="825"/>
      <c r="AB232" s="825"/>
      <c r="AC232" s="825"/>
      <c r="AD232" s="825"/>
      <c r="AE232" s="825"/>
      <c r="AF232" s="825"/>
      <c r="AG232" s="825"/>
      <c r="AH232" s="824">
        <f t="shared" ref="AH232:BM232" si="810">AH310</f>
        <v>831</v>
      </c>
      <c r="AI232" s="824">
        <f t="shared" si="810"/>
        <v>822</v>
      </c>
      <c r="AJ232" s="824">
        <f t="shared" si="810"/>
        <v>824</v>
      </c>
      <c r="AK232" s="824">
        <f t="shared" si="810"/>
        <v>727</v>
      </c>
      <c r="AL232" s="824">
        <f t="shared" si="810"/>
        <v>3204</v>
      </c>
      <c r="AM232" s="824">
        <f t="shared" si="810"/>
        <v>707</v>
      </c>
      <c r="AN232" s="824">
        <f t="shared" si="810"/>
        <v>683</v>
      </c>
      <c r="AO232" s="824">
        <f t="shared" si="810"/>
        <v>657</v>
      </c>
      <c r="AP232" s="824">
        <f t="shared" si="810"/>
        <v>598</v>
      </c>
      <c r="AQ232" s="824">
        <f t="shared" si="810"/>
        <v>2645</v>
      </c>
      <c r="AR232" s="824">
        <f t="shared" si="810"/>
        <v>532</v>
      </c>
      <c r="AS232" s="824">
        <f t="shared" si="810"/>
        <v>500</v>
      </c>
      <c r="AT232" s="824">
        <f t="shared" si="810"/>
        <v>492</v>
      </c>
      <c r="AU232" s="824">
        <f t="shared" si="810"/>
        <v>435</v>
      </c>
      <c r="AV232" s="824">
        <f t="shared" si="810"/>
        <v>1959</v>
      </c>
      <c r="AW232" s="824">
        <f t="shared" si="810"/>
        <v>440</v>
      </c>
      <c r="AX232" s="824">
        <f t="shared" si="810"/>
        <v>420</v>
      </c>
      <c r="AY232" s="824">
        <f t="shared" si="810"/>
        <v>409</v>
      </c>
      <c r="AZ232" s="824">
        <f t="shared" si="810"/>
        <v>392</v>
      </c>
      <c r="BA232" s="824">
        <f t="shared" si="810"/>
        <v>1661</v>
      </c>
      <c r="BB232" s="824">
        <f t="shared" si="810"/>
        <v>310.91000000000003</v>
      </c>
      <c r="BC232" s="824">
        <f t="shared" si="810"/>
        <v>327.33100000000002</v>
      </c>
      <c r="BD232" s="824">
        <f t="shared" si="810"/>
        <v>356.73399999999998</v>
      </c>
      <c r="BE232" s="824">
        <f t="shared" si="810"/>
        <v>322.65199999999999</v>
      </c>
      <c r="BF232" s="824">
        <f t="shared" si="810"/>
        <v>1317.627</v>
      </c>
      <c r="BG232" s="824">
        <f t="shared" si="810"/>
        <v>284.40100000000001</v>
      </c>
      <c r="BH232" s="824">
        <f t="shared" si="810"/>
        <v>285.75700000000001</v>
      </c>
      <c r="BI232" s="824">
        <f t="shared" si="810"/>
        <v>283.9199999999999</v>
      </c>
      <c r="BJ232" s="824">
        <f t="shared" si="810"/>
        <v>258.53600000000012</v>
      </c>
      <c r="BK232" s="824">
        <f t="shared" si="810"/>
        <v>1112.614</v>
      </c>
      <c r="BL232" s="824">
        <f t="shared" si="810"/>
        <v>250.59200000000001</v>
      </c>
      <c r="BM232" s="824">
        <f t="shared" si="810"/>
        <v>178.13</v>
      </c>
      <c r="BN232" s="824">
        <f t="shared" ref="BN232:CT232" si="811">BN310</f>
        <v>177.738</v>
      </c>
      <c r="BO232" s="824">
        <f t="shared" si="811"/>
        <v>166.82599999999999</v>
      </c>
      <c r="BP232" s="824">
        <f t="shared" si="811"/>
        <v>773.28600000000006</v>
      </c>
      <c r="BQ232" s="824">
        <f t="shared" si="811"/>
        <v>154.67500000000001</v>
      </c>
      <c r="BR232" s="824">
        <f t="shared" si="811"/>
        <v>295.392</v>
      </c>
      <c r="BS232" s="824">
        <f t="shared" si="811"/>
        <v>230.13200000000001</v>
      </c>
      <c r="BT232" s="824">
        <f t="shared" si="811"/>
        <v>272.19499999999999</v>
      </c>
      <c r="BU232" s="824">
        <f t="shared" si="811"/>
        <v>952.39400000000001</v>
      </c>
      <c r="BV232" s="824">
        <f t="shared" si="811"/>
        <v>263.26299999999998</v>
      </c>
      <c r="BW232" s="824">
        <f t="shared" si="811"/>
        <v>401.05</v>
      </c>
      <c r="BX232" s="824">
        <f t="shared" si="811"/>
        <v>342.12200000000001</v>
      </c>
      <c r="BY232" s="824">
        <f t="shared" si="811"/>
        <v>358.512</v>
      </c>
      <c r="BZ232" s="824">
        <f t="shared" si="811"/>
        <v>1364.9469999999999</v>
      </c>
      <c r="CA232" s="824">
        <f t="shared" si="811"/>
        <v>255.10400000000001</v>
      </c>
      <c r="CB232" s="824">
        <f t="shared" si="811"/>
        <v>337.09800000000001</v>
      </c>
      <c r="CC232" s="824">
        <f t="shared" ref="CC232:CE232" si="812">CC310</f>
        <v>428.73099999999999</v>
      </c>
      <c r="CD232" s="824">
        <f t="shared" si="812"/>
        <v>409</v>
      </c>
      <c r="CE232" s="824">
        <f t="shared" si="812"/>
        <v>1429.933</v>
      </c>
      <c r="CF232" s="824">
        <f t="shared" ref="CF232:CG232" si="813">CF310</f>
        <v>210.99799999999999</v>
      </c>
      <c r="CG232" s="824">
        <f t="shared" si="813"/>
        <v>162.27699999999999</v>
      </c>
      <c r="CH232" s="824">
        <f t="shared" ref="CH232:CK232" si="814">CH310</f>
        <v>342.64300000000009</v>
      </c>
      <c r="CI232" s="824">
        <f t="shared" si="814"/>
        <v>423.78699999999986</v>
      </c>
      <c r="CJ232" s="824">
        <f t="shared" si="814"/>
        <v>1139.7049999999999</v>
      </c>
      <c r="CK232" s="824">
        <f t="shared" si="814"/>
        <v>392.64800000000002</v>
      </c>
      <c r="CL232" s="824">
        <f t="shared" ref="CL232" si="815">CL310</f>
        <v>607.17499999999995</v>
      </c>
      <c r="CM232" s="824">
        <f t="shared" ref="CM232" si="816">CM310</f>
        <v>844.72500000000002</v>
      </c>
      <c r="CN232" s="824"/>
      <c r="CO232" s="824">
        <f t="shared" si="811"/>
        <v>2200</v>
      </c>
      <c r="CP232" s="824">
        <f t="shared" si="811"/>
        <v>2450.5020733003689</v>
      </c>
      <c r="CQ232" s="824">
        <f t="shared" si="811"/>
        <v>2556.5361781202314</v>
      </c>
      <c r="CR232" s="824">
        <f t="shared" si="811"/>
        <v>2666.9888110153524</v>
      </c>
      <c r="CS232" s="824">
        <f t="shared" si="811"/>
        <v>2782.0427827637322</v>
      </c>
      <c r="CT232" s="824">
        <f t="shared" si="811"/>
        <v>2901.8884831033183</v>
      </c>
      <c r="CU232" s="364"/>
      <c r="CV232" s="1362"/>
      <c r="CW232" s="364"/>
      <c r="CX232" s="364"/>
      <c r="CY232" s="364"/>
      <c r="CZ232" s="365"/>
      <c r="DA232" s="365"/>
      <c r="DB232" s="365"/>
      <c r="DC232" s="365"/>
      <c r="DD232" s="365"/>
      <c r="DE232" s="365"/>
    </row>
    <row r="233" spans="1:117" s="399" customFormat="1">
      <c r="A233" s="769"/>
      <c r="B233" s="407" t="s">
        <v>807</v>
      </c>
      <c r="C233" s="825"/>
      <c r="D233" s="825"/>
      <c r="E233" s="825"/>
      <c r="F233" s="825"/>
      <c r="G233" s="825"/>
      <c r="H233" s="825"/>
      <c r="I233" s="825"/>
      <c r="J233" s="825"/>
      <c r="K233" s="825"/>
      <c r="L233" s="825"/>
      <c r="M233" s="825"/>
      <c r="N233" s="825"/>
      <c r="O233" s="825"/>
      <c r="P233" s="825"/>
      <c r="Q233" s="825"/>
      <c r="R233" s="825"/>
      <c r="S233" s="825"/>
      <c r="T233" s="825"/>
      <c r="U233" s="825"/>
      <c r="V233" s="825"/>
      <c r="W233" s="825"/>
      <c r="X233" s="825"/>
      <c r="Y233" s="825"/>
      <c r="Z233" s="825"/>
      <c r="AA233" s="825"/>
      <c r="AB233" s="825"/>
      <c r="AC233" s="825"/>
      <c r="AD233" s="825"/>
      <c r="AE233" s="825"/>
      <c r="AF233" s="825"/>
      <c r="AG233" s="825"/>
      <c r="AH233" s="824">
        <f t="shared" ref="AH233:BM233" si="817">AH311</f>
        <v>-14</v>
      </c>
      <c r="AI233" s="824">
        <f t="shared" si="817"/>
        <v>-34</v>
      </c>
      <c r="AJ233" s="824">
        <f t="shared" si="817"/>
        <v>-47</v>
      </c>
      <c r="AK233" s="824">
        <f t="shared" si="817"/>
        <v>-14</v>
      </c>
      <c r="AL233" s="824">
        <f t="shared" si="817"/>
        <v>-109</v>
      </c>
      <c r="AM233" s="824">
        <f t="shared" si="817"/>
        <v>-18</v>
      </c>
      <c r="AN233" s="824">
        <f t="shared" si="817"/>
        <v>-21</v>
      </c>
      <c r="AO233" s="824">
        <f t="shared" si="817"/>
        <v>-25</v>
      </c>
      <c r="AP233" s="824">
        <f t="shared" si="817"/>
        <v>0</v>
      </c>
      <c r="AQ233" s="824">
        <f t="shared" si="817"/>
        <v>-64</v>
      </c>
      <c r="AR233" s="824">
        <f t="shared" si="817"/>
        <v>-19</v>
      </c>
      <c r="AS233" s="824">
        <f t="shared" si="817"/>
        <v>-14</v>
      </c>
      <c r="AT233" s="824">
        <f t="shared" si="817"/>
        <v>-21</v>
      </c>
      <c r="AU233" s="824">
        <f t="shared" si="817"/>
        <v>-16</v>
      </c>
      <c r="AV233" s="824">
        <f t="shared" si="817"/>
        <v>-70</v>
      </c>
      <c r="AW233" s="824">
        <f t="shared" si="817"/>
        <v>-10</v>
      </c>
      <c r="AX233" s="824">
        <f t="shared" si="817"/>
        <v>-7</v>
      </c>
      <c r="AY233" s="824">
        <f t="shared" si="817"/>
        <v>-6</v>
      </c>
      <c r="AZ233" s="824">
        <f t="shared" si="817"/>
        <v>-3</v>
      </c>
      <c r="BA233" s="824">
        <f t="shared" si="817"/>
        <v>-26</v>
      </c>
      <c r="BB233" s="824">
        <f t="shared" si="817"/>
        <v>-3.1910000000004857</v>
      </c>
      <c r="BC233" s="824">
        <f t="shared" si="817"/>
        <v>-17.377000000000749</v>
      </c>
      <c r="BD233" s="824">
        <f t="shared" si="817"/>
        <v>-27.637999999999863</v>
      </c>
      <c r="BE233" s="824">
        <f t="shared" si="817"/>
        <v>-14.04899999999941</v>
      </c>
      <c r="BF233" s="824">
        <f t="shared" si="817"/>
        <v>-62.255000000000507</v>
      </c>
      <c r="BG233" s="824">
        <f t="shared" si="817"/>
        <v>-6.9679999999998472</v>
      </c>
      <c r="BH233" s="824">
        <f t="shared" si="817"/>
        <v>-6.0000000000003411</v>
      </c>
      <c r="BI233" s="824">
        <f t="shared" si="817"/>
        <v>-2.0129999999995789</v>
      </c>
      <c r="BJ233" s="824">
        <f t="shared" si="817"/>
        <v>-2.648000000000593</v>
      </c>
      <c r="BK233" s="824">
        <f t="shared" si="817"/>
        <v>-17.62900000000036</v>
      </c>
      <c r="BL233" s="824">
        <f t="shared" si="817"/>
        <v>-2.620000000000573</v>
      </c>
      <c r="BM233" s="824">
        <f t="shared" si="817"/>
        <v>-1.6389999999995553</v>
      </c>
      <c r="BN233" s="824">
        <f t="shared" ref="BN233:CT233" si="818">BN311</f>
        <v>-1.9250000000001819</v>
      </c>
      <c r="BO233" s="824">
        <f t="shared" si="818"/>
        <v>-2.9469999999996617</v>
      </c>
      <c r="BP233" s="824">
        <f t="shared" si="818"/>
        <v>-9.1309999999999718</v>
      </c>
      <c r="BQ233" s="824">
        <f t="shared" si="818"/>
        <v>-2.3869999999999436</v>
      </c>
      <c r="BR233" s="824">
        <f t="shared" si="818"/>
        <v>-1.4830000000001178</v>
      </c>
      <c r="BS233" s="824">
        <f t="shared" si="818"/>
        <v>-0.66500000000030468</v>
      </c>
      <c r="BT233" s="824">
        <f t="shared" si="818"/>
        <v>-7.7489999999999668</v>
      </c>
      <c r="BU233" s="824">
        <f t="shared" si="818"/>
        <v>-12.284000000000333</v>
      </c>
      <c r="BV233" s="824">
        <f t="shared" si="818"/>
        <v>-3.1460000000005834</v>
      </c>
      <c r="BW233" s="824">
        <f t="shared" si="818"/>
        <v>-8.4039999999994173</v>
      </c>
      <c r="BX233" s="824">
        <f t="shared" si="818"/>
        <v>-10.849</v>
      </c>
      <c r="BY233" s="824">
        <f t="shared" si="818"/>
        <v>-8.6110000000000007</v>
      </c>
      <c r="BZ233" s="824">
        <f t="shared" si="818"/>
        <v>-31.01</v>
      </c>
      <c r="CA233" s="824">
        <f t="shared" si="818"/>
        <v>-3.149</v>
      </c>
      <c r="CB233" s="824">
        <f t="shared" si="818"/>
        <v>-5.3370000000000006</v>
      </c>
      <c r="CC233" s="824">
        <f t="shared" ref="CC233:CE233" si="819">CC311</f>
        <v>-3.7839999999999989</v>
      </c>
      <c r="CD233" s="824">
        <f t="shared" si="819"/>
        <v>-2.2409999999999997</v>
      </c>
      <c r="CE233" s="824">
        <f t="shared" si="819"/>
        <v>-14.510999999999999</v>
      </c>
      <c r="CF233" s="824">
        <f t="shared" ref="CF233:CG233" si="820">CF311</f>
        <v>-1.341</v>
      </c>
      <c r="CG233" s="824">
        <f t="shared" si="820"/>
        <v>0</v>
      </c>
      <c r="CH233" s="824">
        <f t="shared" ref="CH233:CK233" si="821">CH311</f>
        <v>0</v>
      </c>
      <c r="CI233" s="824">
        <f t="shared" si="821"/>
        <v>0</v>
      </c>
      <c r="CJ233" s="824">
        <f t="shared" si="821"/>
        <v>-1.341</v>
      </c>
      <c r="CK233" s="824">
        <f t="shared" si="821"/>
        <v>0</v>
      </c>
      <c r="CL233" s="824">
        <f t="shared" ref="CL233" si="822">CL311</f>
        <v>0</v>
      </c>
      <c r="CM233" s="824">
        <f t="shared" ref="CM233" si="823">CM311</f>
        <v>0</v>
      </c>
      <c r="CN233" s="824"/>
      <c r="CO233" s="824">
        <f t="shared" si="818"/>
        <v>-1.6277543485610064</v>
      </c>
      <c r="CP233" s="824">
        <f t="shared" si="818"/>
        <v>-1.8130979118056534</v>
      </c>
      <c r="CQ233" s="824">
        <f t="shared" si="818"/>
        <v>-1.8915513096312464</v>
      </c>
      <c r="CR233" s="824">
        <f t="shared" si="818"/>
        <v>-1.9732739248608122</v>
      </c>
      <c r="CS233" s="824">
        <f t="shared" si="818"/>
        <v>-2.0584010170574669</v>
      </c>
      <c r="CT233" s="824">
        <f t="shared" si="818"/>
        <v>-2.1470734533684217</v>
      </c>
      <c r="CU233" s="364"/>
      <c r="CV233" s="1362"/>
      <c r="CW233" s="364"/>
      <c r="CX233" s="364"/>
      <c r="CY233" s="364"/>
      <c r="CZ233" s="365"/>
      <c r="DA233" s="365"/>
      <c r="DB233" s="365"/>
      <c r="DC233" s="365"/>
      <c r="DD233" s="365"/>
      <c r="DE233" s="365"/>
    </row>
    <row r="234" spans="1:117" s="399" customFormat="1">
      <c r="A234" s="769"/>
      <c r="B234" s="578" t="s">
        <v>829</v>
      </c>
      <c r="C234" s="826"/>
      <c r="D234" s="826"/>
      <c r="E234" s="826"/>
      <c r="F234" s="826"/>
      <c r="G234" s="826"/>
      <c r="H234" s="826"/>
      <c r="I234" s="826"/>
      <c r="J234" s="826"/>
      <c r="K234" s="826"/>
      <c r="L234" s="826"/>
      <c r="M234" s="826"/>
      <c r="N234" s="826"/>
      <c r="O234" s="826"/>
      <c r="P234" s="826"/>
      <c r="Q234" s="826"/>
      <c r="R234" s="826"/>
      <c r="S234" s="826"/>
      <c r="T234" s="826"/>
      <c r="U234" s="826"/>
      <c r="V234" s="826"/>
      <c r="W234" s="826"/>
      <c r="X234" s="826"/>
      <c r="Y234" s="826"/>
      <c r="Z234" s="826"/>
      <c r="AA234" s="826"/>
      <c r="AB234" s="826"/>
      <c r="AC234" s="826"/>
      <c r="AD234" s="826"/>
      <c r="AE234" s="826"/>
      <c r="AF234" s="826"/>
      <c r="AG234" s="826"/>
      <c r="AH234" s="827">
        <f>AH231+AH232+AH233</f>
        <v>5507</v>
      </c>
      <c r="AI234" s="827">
        <f t="shared" ref="AI234:CT234" si="824">AI231+AI232+AI233</f>
        <v>6041</v>
      </c>
      <c r="AJ234" s="827">
        <f t="shared" si="824"/>
        <v>6006</v>
      </c>
      <c r="AK234" s="827">
        <f t="shared" si="824"/>
        <v>5906</v>
      </c>
      <c r="AL234" s="827">
        <f t="shared" si="824"/>
        <v>23460</v>
      </c>
      <c r="AM234" s="827">
        <f t="shared" si="824"/>
        <v>5481</v>
      </c>
      <c r="AN234" s="827">
        <f t="shared" si="824"/>
        <v>5611</v>
      </c>
      <c r="AO234" s="827">
        <f t="shared" si="824"/>
        <v>5830</v>
      </c>
      <c r="AP234" s="827">
        <f t="shared" si="824"/>
        <v>5973</v>
      </c>
      <c r="AQ234" s="827">
        <f t="shared" si="824"/>
        <v>22895</v>
      </c>
      <c r="AR234" s="827">
        <f t="shared" si="824"/>
        <v>5616</v>
      </c>
      <c r="AS234" s="827">
        <f t="shared" si="824"/>
        <v>5238</v>
      </c>
      <c r="AT234" s="827">
        <f t="shared" si="824"/>
        <v>5230</v>
      </c>
      <c r="AU234" s="827">
        <f t="shared" si="824"/>
        <v>5257</v>
      </c>
      <c r="AV234" s="827">
        <f t="shared" si="824"/>
        <v>21341</v>
      </c>
      <c r="AW234" s="827">
        <f t="shared" si="824"/>
        <v>5266</v>
      </c>
      <c r="AX234" s="827">
        <f t="shared" si="824"/>
        <v>5667</v>
      </c>
      <c r="AY234" s="827">
        <f t="shared" si="824"/>
        <v>5970</v>
      </c>
      <c r="AZ234" s="827">
        <f t="shared" si="824"/>
        <v>5972</v>
      </c>
      <c r="BA234" s="827">
        <f t="shared" si="824"/>
        <v>22875</v>
      </c>
      <c r="BB234" s="827">
        <f t="shared" si="824"/>
        <v>5501.3649999999998</v>
      </c>
      <c r="BC234" s="827">
        <f t="shared" si="824"/>
        <v>5544.6769999999997</v>
      </c>
      <c r="BD234" s="827">
        <f t="shared" si="824"/>
        <v>5846.17</v>
      </c>
      <c r="BE234" s="827">
        <f t="shared" si="824"/>
        <v>6046.6</v>
      </c>
      <c r="BF234" s="827">
        <f t="shared" si="824"/>
        <v>22938.811999999998</v>
      </c>
      <c r="BG234" s="827">
        <f t="shared" si="824"/>
        <v>5967.2240000000002</v>
      </c>
      <c r="BH234" s="827">
        <f t="shared" si="824"/>
        <v>6289.6049999999996</v>
      </c>
      <c r="BI234" s="827">
        <f t="shared" si="824"/>
        <v>6463.6930000000011</v>
      </c>
      <c r="BJ234" s="827">
        <f t="shared" si="824"/>
        <v>6412.1059999999979</v>
      </c>
      <c r="BK234" s="827">
        <f t="shared" si="824"/>
        <v>25132.627999999997</v>
      </c>
      <c r="BL234" s="827">
        <f t="shared" si="824"/>
        <v>6497.1509999999998</v>
      </c>
      <c r="BM234" s="827">
        <f t="shared" si="824"/>
        <v>6589.268</v>
      </c>
      <c r="BN234" s="827">
        <f t="shared" si="824"/>
        <v>6569.732</v>
      </c>
      <c r="BO234" s="827">
        <f t="shared" si="824"/>
        <v>6352.9440000000013</v>
      </c>
      <c r="BP234" s="827">
        <f t="shared" si="824"/>
        <v>26009.095000000001</v>
      </c>
      <c r="BQ234" s="827">
        <f t="shared" si="824"/>
        <v>6247.3630000000003</v>
      </c>
      <c r="BR234" s="827">
        <f t="shared" si="824"/>
        <v>6726.8360000000002</v>
      </c>
      <c r="BS234" s="827">
        <f t="shared" si="824"/>
        <v>6825.9939999999997</v>
      </c>
      <c r="BT234" s="827">
        <f t="shared" si="824"/>
        <v>6953.857</v>
      </c>
      <c r="BU234" s="827">
        <f t="shared" si="824"/>
        <v>26754.050000000003</v>
      </c>
      <c r="BV234" s="827">
        <f t="shared" si="824"/>
        <v>6742.0590000000002</v>
      </c>
      <c r="BW234" s="827">
        <f t="shared" si="824"/>
        <v>7308.3810000000003</v>
      </c>
      <c r="BX234" s="827">
        <f t="shared" si="824"/>
        <v>7437.7220000000007</v>
      </c>
      <c r="BY234" s="827">
        <f t="shared" si="824"/>
        <v>7442.0959999999995</v>
      </c>
      <c r="BZ234" s="827">
        <f t="shared" si="824"/>
        <v>28930.258000000002</v>
      </c>
      <c r="CA234" s="827">
        <f t="shared" si="824"/>
        <v>7419.5280000000002</v>
      </c>
      <c r="CB234" s="827">
        <f t="shared" si="824"/>
        <v>8108.1239999999998</v>
      </c>
      <c r="CC234" s="827">
        <f t="shared" ref="CC234:CE234" si="825">CC231+CC232+CC233</f>
        <v>7981.8030000000017</v>
      </c>
      <c r="CD234" s="827">
        <f t="shared" si="825"/>
        <v>8312.1859999999961</v>
      </c>
      <c r="CE234" s="827">
        <f t="shared" si="825"/>
        <v>31821.641</v>
      </c>
      <c r="CF234" s="827">
        <f t="shared" ref="CF234:CG234" si="826">CF231+CF232+CF233</f>
        <v>8272.5849999999991</v>
      </c>
      <c r="CG234" s="827">
        <f t="shared" si="826"/>
        <v>8421.2880000000005</v>
      </c>
      <c r="CH234" s="827">
        <f t="shared" ref="CH234:CK234" si="827">CH231+CH232+CH233</f>
        <v>8091.4150000000009</v>
      </c>
      <c r="CI234" s="827">
        <f t="shared" si="827"/>
        <v>8831.120600000002</v>
      </c>
      <c r="CJ234" s="827">
        <f t="shared" si="827"/>
        <v>33616.408600000002</v>
      </c>
      <c r="CK234" s="827">
        <f t="shared" si="827"/>
        <v>8475.3469999999998</v>
      </c>
      <c r="CL234" s="827">
        <f t="shared" ref="CL234" si="828">CL231+CL232+CL233</f>
        <v>10363.795</v>
      </c>
      <c r="CM234" s="827">
        <f t="shared" ref="CM234" si="829">CM231+CM232+CM233</f>
        <v>11311.869000000001</v>
      </c>
      <c r="CN234" s="827"/>
      <c r="CO234" s="827">
        <f t="shared" si="824"/>
        <v>41621.398591966368</v>
      </c>
      <c r="CP234" s="827">
        <f t="shared" si="824"/>
        <v>46360.601610579382</v>
      </c>
      <c r="CQ234" s="827">
        <f t="shared" si="824"/>
        <v>48366.641492874762</v>
      </c>
      <c r="CR234" s="827">
        <f t="shared" si="824"/>
        <v>50456.274701629292</v>
      </c>
      <c r="CS234" s="827">
        <f t="shared" si="824"/>
        <v>52632.959800596625</v>
      </c>
      <c r="CT234" s="827">
        <f t="shared" si="824"/>
        <v>54900.298738490848</v>
      </c>
      <c r="CU234" s="364"/>
      <c r="CV234" s="1362"/>
      <c r="CW234" s="364"/>
      <c r="CX234" s="364"/>
      <c r="CY234" s="364"/>
      <c r="CZ234" s="365"/>
      <c r="DA234" s="365"/>
      <c r="DB234" s="365"/>
      <c r="DC234" s="1304"/>
      <c r="DD234" s="1304"/>
      <c r="DE234" s="1304"/>
      <c r="DF234" s="769"/>
      <c r="DG234" s="769"/>
      <c r="DH234" s="769"/>
      <c r="DI234" s="769"/>
      <c r="DJ234" s="769"/>
      <c r="DK234" s="769"/>
      <c r="DL234" s="769"/>
      <c r="DM234" s="769"/>
    </row>
    <row r="235" spans="1:117" s="399" customFormat="1">
      <c r="A235" s="769"/>
      <c r="B235" s="349" t="s">
        <v>830</v>
      </c>
      <c r="C235" s="825"/>
      <c r="D235" s="825"/>
      <c r="E235" s="825"/>
      <c r="F235" s="825"/>
      <c r="G235" s="825"/>
      <c r="H235" s="825"/>
      <c r="I235" s="825"/>
      <c r="J235" s="825"/>
      <c r="K235" s="825"/>
      <c r="L235" s="825"/>
      <c r="M235" s="825"/>
      <c r="N235" s="825"/>
      <c r="O235" s="825"/>
      <c r="P235" s="825"/>
      <c r="Q235" s="825"/>
      <c r="R235" s="825"/>
      <c r="S235" s="825"/>
      <c r="T235" s="825"/>
      <c r="U235" s="825"/>
      <c r="V235" s="825"/>
      <c r="W235" s="825"/>
      <c r="X235" s="825"/>
      <c r="Y235" s="825"/>
      <c r="Z235" s="825"/>
      <c r="AA235" s="825"/>
      <c r="AB235" s="825"/>
      <c r="AC235" s="825"/>
      <c r="AD235" s="825"/>
      <c r="AE235" s="825"/>
      <c r="AF235" s="825"/>
      <c r="AG235" s="825"/>
      <c r="AH235" s="824">
        <f t="shared" ref="AH235:BM235" si="830">AH313</f>
        <v>0</v>
      </c>
      <c r="AI235" s="824">
        <f t="shared" si="830"/>
        <v>0</v>
      </c>
      <c r="AJ235" s="824">
        <f t="shared" si="830"/>
        <v>0</v>
      </c>
      <c r="AK235" s="824">
        <f t="shared" si="830"/>
        <v>0</v>
      </c>
      <c r="AL235" s="824">
        <f t="shared" si="830"/>
        <v>0</v>
      </c>
      <c r="AM235" s="824">
        <f t="shared" si="830"/>
        <v>0</v>
      </c>
      <c r="AN235" s="824">
        <f t="shared" si="830"/>
        <v>0</v>
      </c>
      <c r="AO235" s="824">
        <f t="shared" si="830"/>
        <v>0</v>
      </c>
      <c r="AP235" s="824">
        <f t="shared" si="830"/>
        <v>0</v>
      </c>
      <c r="AQ235" s="824">
        <f t="shared" si="830"/>
        <v>0</v>
      </c>
      <c r="AR235" s="824">
        <f t="shared" si="830"/>
        <v>0</v>
      </c>
      <c r="AS235" s="824">
        <f t="shared" si="830"/>
        <v>0</v>
      </c>
      <c r="AT235" s="824">
        <f t="shared" si="830"/>
        <v>0</v>
      </c>
      <c r="AU235" s="824">
        <f t="shared" si="830"/>
        <v>0</v>
      </c>
      <c r="AV235" s="824">
        <f t="shared" si="830"/>
        <v>0</v>
      </c>
      <c r="AW235" s="824">
        <f t="shared" si="830"/>
        <v>0</v>
      </c>
      <c r="AX235" s="824">
        <f t="shared" si="830"/>
        <v>0</v>
      </c>
      <c r="AY235" s="824">
        <f t="shared" si="830"/>
        <v>0</v>
      </c>
      <c r="AZ235" s="824">
        <f t="shared" si="830"/>
        <v>26</v>
      </c>
      <c r="BA235" s="824">
        <f t="shared" si="830"/>
        <v>26</v>
      </c>
      <c r="BB235" s="824">
        <f t="shared" si="830"/>
        <v>0</v>
      </c>
      <c r="BC235" s="824">
        <f t="shared" si="830"/>
        <v>0</v>
      </c>
      <c r="BD235" s="824">
        <f t="shared" si="830"/>
        <v>0</v>
      </c>
      <c r="BE235" s="824">
        <f t="shared" si="830"/>
        <v>0</v>
      </c>
      <c r="BF235" s="824">
        <f t="shared" si="830"/>
        <v>0</v>
      </c>
      <c r="BG235" s="824">
        <f t="shared" si="830"/>
        <v>0</v>
      </c>
      <c r="BH235" s="824">
        <f t="shared" si="830"/>
        <v>0</v>
      </c>
      <c r="BI235" s="824">
        <f t="shared" si="830"/>
        <v>0</v>
      </c>
      <c r="BJ235" s="824">
        <f t="shared" si="830"/>
        <v>0.22400000000197906</v>
      </c>
      <c r="BK235" s="824">
        <f t="shared" si="830"/>
        <v>0.22400000000197906</v>
      </c>
      <c r="BL235" s="824">
        <f t="shared" si="830"/>
        <v>0</v>
      </c>
      <c r="BM235" s="824">
        <f t="shared" si="830"/>
        <v>-4.2590000000000146</v>
      </c>
      <c r="BN235" s="824">
        <f t="shared" ref="BN235:CT235" si="831">BN313</f>
        <v>4.2590000000000146</v>
      </c>
      <c r="BO235" s="824">
        <f t="shared" si="831"/>
        <v>0</v>
      </c>
      <c r="BP235" s="824">
        <f t="shared" si="831"/>
        <v>0</v>
      </c>
      <c r="BQ235" s="824">
        <f t="shared" si="831"/>
        <v>0</v>
      </c>
      <c r="BR235" s="824">
        <f t="shared" si="831"/>
        <v>0</v>
      </c>
      <c r="BS235" s="824">
        <f t="shared" si="831"/>
        <v>0</v>
      </c>
      <c r="BT235" s="824">
        <f t="shared" si="831"/>
        <v>0</v>
      </c>
      <c r="BU235" s="824">
        <f t="shared" si="831"/>
        <v>0</v>
      </c>
      <c r="BV235" s="824">
        <f t="shared" si="831"/>
        <v>0</v>
      </c>
      <c r="BW235" s="824">
        <f t="shared" si="831"/>
        <v>24.359999999998763</v>
      </c>
      <c r="BX235" s="824">
        <f t="shared" si="831"/>
        <v>82.87800000000334</v>
      </c>
      <c r="BY235" s="824">
        <f t="shared" si="831"/>
        <v>104.49799999999868</v>
      </c>
      <c r="BZ235" s="824">
        <f t="shared" si="831"/>
        <v>211.73600000000079</v>
      </c>
      <c r="CA235" s="824">
        <f t="shared" si="831"/>
        <v>127.79599999999937</v>
      </c>
      <c r="CB235" s="824">
        <f t="shared" si="831"/>
        <v>109.07900000000154</v>
      </c>
      <c r="CC235" s="824">
        <f t="shared" ref="CC235:CE235" si="832">CC313</f>
        <v>121.47399999999743</v>
      </c>
      <c r="CD235" s="824">
        <f t="shared" si="832"/>
        <v>142.66100000000552</v>
      </c>
      <c r="CE235" s="824">
        <f t="shared" si="832"/>
        <v>501.01000000000386</v>
      </c>
      <c r="CF235" s="824">
        <f t="shared" ref="CF235:CG235" si="833">CF313</f>
        <v>165.70000000000073</v>
      </c>
      <c r="CG235" s="824">
        <f t="shared" si="833"/>
        <v>192.02400000000125</v>
      </c>
      <c r="CH235" s="824">
        <f t="shared" ref="CH235" si="834">CH313</f>
        <v>218.39899999999761</v>
      </c>
      <c r="CI235" s="824">
        <f t="shared" ref="CI235:CK235" si="835">CI313</f>
        <v>199.0653999999995</v>
      </c>
      <c r="CJ235" s="824">
        <f t="shared" si="835"/>
        <v>775.18839999999909</v>
      </c>
      <c r="CK235" s="824">
        <f t="shared" si="835"/>
        <v>125.82999999999993</v>
      </c>
      <c r="CL235" s="824">
        <f t="shared" ref="CL235" si="836">CL313</f>
        <v>129.92200000000048</v>
      </c>
      <c r="CM235" s="824">
        <f t="shared" ref="CM235" si="837">CM313</f>
        <v>140.69999999999891</v>
      </c>
      <c r="CN235" s="824"/>
      <c r="CO235" s="824">
        <f t="shared" si="831"/>
        <v>852.70723999999905</v>
      </c>
      <c r="CP235" s="824">
        <f t="shared" si="831"/>
        <v>920.923819199999</v>
      </c>
      <c r="CQ235" s="824">
        <f t="shared" si="831"/>
        <v>976.17924835199904</v>
      </c>
      <c r="CR235" s="824">
        <f t="shared" si="831"/>
        <v>1034.7500032531191</v>
      </c>
      <c r="CS235" s="824">
        <f t="shared" si="831"/>
        <v>1096.8350034483062</v>
      </c>
      <c r="CT235" s="824">
        <f t="shared" si="831"/>
        <v>1162.6451036552046</v>
      </c>
      <c r="CU235" s="364"/>
      <c r="CV235" s="1362"/>
      <c r="CW235" s="364"/>
      <c r="CX235" s="364"/>
      <c r="CY235" s="364"/>
      <c r="CZ235" s="365"/>
      <c r="DA235" s="365"/>
      <c r="DB235" s="365"/>
      <c r="DC235" s="1304"/>
      <c r="DD235" s="1304"/>
      <c r="DE235" s="1304"/>
      <c r="DF235" s="769"/>
      <c r="DG235" s="769"/>
      <c r="DH235" s="769"/>
      <c r="DI235" s="769"/>
      <c r="DJ235" s="769"/>
      <c r="DK235" s="769"/>
      <c r="DL235" s="769"/>
      <c r="DM235" s="769"/>
    </row>
    <row r="236" spans="1:117" s="399" customFormat="1">
      <c r="A236" s="769"/>
      <c r="B236" s="462" t="s">
        <v>794</v>
      </c>
      <c r="C236" s="826">
        <f>C225</f>
        <v>7990</v>
      </c>
      <c r="D236" s="826"/>
      <c r="E236" s="826"/>
      <c r="F236" s="826"/>
      <c r="G236" s="826"/>
      <c r="H236" s="826">
        <f t="shared" ref="H236:AF236" si="838">H225</f>
        <v>12061.33</v>
      </c>
      <c r="I236" s="826"/>
      <c r="J236" s="826"/>
      <c r="K236" s="826"/>
      <c r="L236" s="826"/>
      <c r="M236" s="826">
        <f t="shared" si="838"/>
        <v>13707</v>
      </c>
      <c r="N236" s="826">
        <f t="shared" si="838"/>
        <v>4106</v>
      </c>
      <c r="O236" s="826">
        <f t="shared" si="838"/>
        <v>4261</v>
      </c>
      <c r="P236" s="826">
        <f t="shared" si="838"/>
        <v>4442</v>
      </c>
      <c r="Q236" s="826">
        <f t="shared" si="838"/>
        <v>4651</v>
      </c>
      <c r="R236" s="826">
        <f t="shared" si="838"/>
        <v>17460</v>
      </c>
      <c r="S236" s="826">
        <f t="shared" si="838"/>
        <v>4482</v>
      </c>
      <c r="T236" s="826">
        <f t="shared" si="838"/>
        <v>4553</v>
      </c>
      <c r="U236" s="826">
        <f t="shared" si="838"/>
        <v>4780</v>
      </c>
      <c r="V236" s="826">
        <f t="shared" si="838"/>
        <v>4961</v>
      </c>
      <c r="W236" s="826">
        <f t="shared" si="838"/>
        <v>18262</v>
      </c>
      <c r="X236" s="826">
        <f t="shared" si="838"/>
        <v>4893</v>
      </c>
      <c r="Y236" s="826">
        <f t="shared" si="838"/>
        <v>5229</v>
      </c>
      <c r="Z236" s="826">
        <f t="shared" si="838"/>
        <v>5574</v>
      </c>
      <c r="AA236" s="826">
        <f t="shared" si="838"/>
        <v>5273</v>
      </c>
      <c r="AB236" s="826">
        <f t="shared" si="838"/>
        <v>20969</v>
      </c>
      <c r="AC236" s="826">
        <f t="shared" si="838"/>
        <v>5758</v>
      </c>
      <c r="AD236" s="826">
        <f t="shared" si="838"/>
        <v>6055</v>
      </c>
      <c r="AE236" s="826">
        <f t="shared" si="838"/>
        <v>6388</v>
      </c>
      <c r="AF236" s="826">
        <f t="shared" si="838"/>
        <v>6383</v>
      </c>
      <c r="AG236" s="826">
        <f>AG225</f>
        <v>21266</v>
      </c>
      <c r="AH236" s="826">
        <f>AH234+AH235</f>
        <v>5507</v>
      </c>
      <c r="AI236" s="826">
        <f t="shared" ref="AI236:CT236" si="839">AI234+AI235</f>
        <v>6041</v>
      </c>
      <c r="AJ236" s="826">
        <f t="shared" si="839"/>
        <v>6006</v>
      </c>
      <c r="AK236" s="826">
        <f t="shared" si="839"/>
        <v>5906</v>
      </c>
      <c r="AL236" s="826">
        <f t="shared" si="839"/>
        <v>23460</v>
      </c>
      <c r="AM236" s="826">
        <f t="shared" si="839"/>
        <v>5481</v>
      </c>
      <c r="AN236" s="826">
        <f t="shared" si="839"/>
        <v>5611</v>
      </c>
      <c r="AO236" s="826">
        <f t="shared" si="839"/>
        <v>5830</v>
      </c>
      <c r="AP236" s="826">
        <f t="shared" si="839"/>
        <v>5973</v>
      </c>
      <c r="AQ236" s="826">
        <f t="shared" si="839"/>
        <v>22895</v>
      </c>
      <c r="AR236" s="826">
        <f t="shared" si="839"/>
        <v>5616</v>
      </c>
      <c r="AS236" s="826">
        <f t="shared" si="839"/>
        <v>5238</v>
      </c>
      <c r="AT236" s="826">
        <f t="shared" si="839"/>
        <v>5230</v>
      </c>
      <c r="AU236" s="826">
        <f t="shared" si="839"/>
        <v>5257</v>
      </c>
      <c r="AV236" s="826">
        <f t="shared" si="839"/>
        <v>21341</v>
      </c>
      <c r="AW236" s="826">
        <f t="shared" si="839"/>
        <v>5266</v>
      </c>
      <c r="AX236" s="826">
        <f t="shared" si="839"/>
        <v>5667</v>
      </c>
      <c r="AY236" s="826">
        <f t="shared" si="839"/>
        <v>5970</v>
      </c>
      <c r="AZ236" s="826">
        <f t="shared" si="839"/>
        <v>5998</v>
      </c>
      <c r="BA236" s="826">
        <f t="shared" si="839"/>
        <v>22901</v>
      </c>
      <c r="BB236" s="826">
        <f t="shared" si="839"/>
        <v>5501.3649999999998</v>
      </c>
      <c r="BC236" s="826">
        <f t="shared" si="839"/>
        <v>5544.6769999999997</v>
      </c>
      <c r="BD236" s="826">
        <f t="shared" si="839"/>
        <v>5846.17</v>
      </c>
      <c r="BE236" s="826">
        <f t="shared" si="839"/>
        <v>6046.6</v>
      </c>
      <c r="BF236" s="826">
        <f t="shared" si="839"/>
        <v>22938.811999999998</v>
      </c>
      <c r="BG236" s="826">
        <f t="shared" si="839"/>
        <v>5967.2240000000002</v>
      </c>
      <c r="BH236" s="826">
        <f t="shared" si="839"/>
        <v>6289.6049999999996</v>
      </c>
      <c r="BI236" s="826">
        <f t="shared" si="839"/>
        <v>6463.6930000000011</v>
      </c>
      <c r="BJ236" s="826">
        <f t="shared" si="839"/>
        <v>6412.33</v>
      </c>
      <c r="BK236" s="826">
        <f t="shared" si="839"/>
        <v>25132.851999999999</v>
      </c>
      <c r="BL236" s="826">
        <f t="shared" si="839"/>
        <v>6497.1509999999998</v>
      </c>
      <c r="BM236" s="826">
        <f t="shared" si="839"/>
        <v>6585.009</v>
      </c>
      <c r="BN236" s="826">
        <f t="shared" si="839"/>
        <v>6573.991</v>
      </c>
      <c r="BO236" s="826">
        <f t="shared" si="839"/>
        <v>6352.9440000000013</v>
      </c>
      <c r="BP236" s="826">
        <f t="shared" si="839"/>
        <v>26009.095000000001</v>
      </c>
      <c r="BQ236" s="826">
        <f t="shared" si="839"/>
        <v>6247.3630000000003</v>
      </c>
      <c r="BR236" s="826">
        <f t="shared" si="839"/>
        <v>6726.8360000000002</v>
      </c>
      <c r="BS236" s="826">
        <f t="shared" si="839"/>
        <v>6825.9939999999997</v>
      </c>
      <c r="BT236" s="826">
        <f t="shared" si="839"/>
        <v>6953.857</v>
      </c>
      <c r="BU236" s="826">
        <f t="shared" si="839"/>
        <v>26754.050000000003</v>
      </c>
      <c r="BV236" s="826">
        <f t="shared" si="839"/>
        <v>6742.0590000000002</v>
      </c>
      <c r="BW236" s="826">
        <f t="shared" si="839"/>
        <v>7332.7409999999991</v>
      </c>
      <c r="BX236" s="826">
        <f t="shared" si="839"/>
        <v>7520.600000000004</v>
      </c>
      <c r="BY236" s="826">
        <f t="shared" si="839"/>
        <v>7546.5939999999982</v>
      </c>
      <c r="BZ236" s="826">
        <f t="shared" si="839"/>
        <v>29141.994000000002</v>
      </c>
      <c r="CA236" s="826">
        <f t="shared" si="839"/>
        <v>7547.3239999999996</v>
      </c>
      <c r="CB236" s="826">
        <f t="shared" si="839"/>
        <v>8217.2030000000013</v>
      </c>
      <c r="CC236" s="826">
        <f t="shared" ref="CC236:CE236" si="840">CC234+CC235</f>
        <v>8103.2769999999991</v>
      </c>
      <c r="CD236" s="826">
        <f t="shared" si="840"/>
        <v>8454.8470000000016</v>
      </c>
      <c r="CE236" s="826">
        <f t="shared" si="840"/>
        <v>32322.651000000005</v>
      </c>
      <c r="CF236" s="826">
        <f t="shared" ref="CF236:CG236" si="841">CF234+CF235</f>
        <v>8438.2849999999999</v>
      </c>
      <c r="CG236" s="826">
        <f t="shared" si="841"/>
        <v>8613.3120000000017</v>
      </c>
      <c r="CH236" s="826">
        <f t="shared" ref="CH236" si="842">CH234+CH235</f>
        <v>8309.8139999999985</v>
      </c>
      <c r="CI236" s="826">
        <f t="shared" ref="CI236:CK236" si="843">CI234+CI235</f>
        <v>9030.1860000000015</v>
      </c>
      <c r="CJ236" s="826">
        <f t="shared" si="843"/>
        <v>34391.597000000002</v>
      </c>
      <c r="CK236" s="826">
        <f t="shared" si="843"/>
        <v>8601.1769999999997</v>
      </c>
      <c r="CL236" s="826">
        <f t="shared" ref="CL236" si="844">CL234+CL235</f>
        <v>10493.717000000001</v>
      </c>
      <c r="CM236" s="826">
        <f t="shared" ref="CM236" si="845">CM234+CM235</f>
        <v>11452.569</v>
      </c>
      <c r="CN236" s="1352">
        <f>CO236-CM236-CL236-CK236</f>
        <v>11926.642831966365</v>
      </c>
      <c r="CO236" s="826">
        <f t="shared" si="839"/>
        <v>42474.105831966364</v>
      </c>
      <c r="CP236" s="826">
        <f t="shared" si="839"/>
        <v>47281.52542977938</v>
      </c>
      <c r="CQ236" s="826">
        <f t="shared" si="839"/>
        <v>49342.820741226758</v>
      </c>
      <c r="CR236" s="826">
        <f t="shared" si="839"/>
        <v>51491.024704882409</v>
      </c>
      <c r="CS236" s="826">
        <f t="shared" si="839"/>
        <v>53729.794804044934</v>
      </c>
      <c r="CT236" s="826">
        <f t="shared" si="839"/>
        <v>56062.943842146051</v>
      </c>
      <c r="CU236" s="364"/>
      <c r="CV236" s="1362"/>
      <c r="CW236" s="364"/>
      <c r="CX236" s="364">
        <f>Old!X4</f>
        <v>41495.908510024659</v>
      </c>
      <c r="CY236" s="364">
        <f>Old!Y4</f>
        <v>48717.819545967293</v>
      </c>
      <c r="CZ236" s="364">
        <f>Old!Z4</f>
        <v>50082.407782619586</v>
      </c>
      <c r="DA236" s="364">
        <f>Old!AA4</f>
        <v>51279.775198841642</v>
      </c>
      <c r="DB236" s="364">
        <f>Old!AB4</f>
        <v>52515.314727160716</v>
      </c>
      <c r="DC236" s="364">
        <f>Old!AC4</f>
        <v>53789.923919043686</v>
      </c>
      <c r="DD236" s="1304"/>
      <c r="DE236" s="1304"/>
      <c r="DF236" s="769"/>
      <c r="DG236" s="769"/>
      <c r="DH236" s="769"/>
      <c r="DI236" s="769"/>
      <c r="DJ236" s="769"/>
      <c r="DK236" s="769"/>
      <c r="DL236" s="769"/>
      <c r="DM236" s="769"/>
    </row>
    <row r="237" spans="1:117">
      <c r="B237" s="407" t="s">
        <v>0</v>
      </c>
      <c r="C237" s="450"/>
      <c r="D237" s="450"/>
      <c r="E237" s="450"/>
      <c r="F237" s="450"/>
      <c r="G237" s="450"/>
      <c r="H237" s="450"/>
      <c r="I237" s="450"/>
      <c r="J237" s="450"/>
      <c r="K237" s="450"/>
      <c r="L237" s="450"/>
      <c r="M237" s="450"/>
      <c r="N237" s="450"/>
      <c r="O237" s="450"/>
      <c r="P237" s="450"/>
      <c r="Q237" s="450"/>
      <c r="R237" s="450"/>
      <c r="S237" s="450"/>
      <c r="T237" s="450"/>
      <c r="U237" s="450"/>
      <c r="V237" s="450"/>
      <c r="W237" s="450"/>
      <c r="X237" s="450"/>
      <c r="Y237" s="450"/>
      <c r="Z237" s="450"/>
      <c r="AA237" s="450"/>
      <c r="AB237" s="450"/>
      <c r="AC237" s="450"/>
      <c r="AD237" s="450"/>
      <c r="AE237" s="450"/>
      <c r="AF237" s="450"/>
      <c r="AG237" s="450"/>
      <c r="AH237" s="450"/>
      <c r="AI237" s="367">
        <f>AI236/AD236-1</f>
        <v>-2.3121387283236983E-3</v>
      </c>
      <c r="AJ237" s="367">
        <f t="shared" ref="AJ237" si="846">AJ236/AE236-1</f>
        <v>-5.9799624295554188E-2</v>
      </c>
      <c r="AK237" s="367">
        <f t="shared" ref="AK237" si="847">AK236/AF236-1</f>
        <v>-7.4729750900830338E-2</v>
      </c>
      <c r="AL237" s="367">
        <f t="shared" ref="AL237" si="848">AL236/AG236-1</f>
        <v>0.10316937835041862</v>
      </c>
      <c r="AM237" s="367">
        <f t="shared" ref="AM237" si="849">AM236/AH236-1</f>
        <v>-4.7212638460141232E-3</v>
      </c>
      <c r="AN237" s="367">
        <f t="shared" ref="AN237" si="850">AN236/AI236-1</f>
        <v>-7.1180268167521987E-2</v>
      </c>
      <c r="AO237" s="367">
        <f t="shared" ref="AO237" si="851">AO236/AJ236-1</f>
        <v>-2.9304029304029311E-2</v>
      </c>
      <c r="AP237" s="367">
        <f t="shared" ref="AP237" si="852">AP236/AK236-1</f>
        <v>1.1344395529969464E-2</v>
      </c>
      <c r="AQ237" s="367">
        <f t="shared" ref="AQ237" si="853">AQ236/AL236-1</f>
        <v>-2.4083546462063121E-2</v>
      </c>
      <c r="AR237" s="367">
        <f t="shared" ref="AR237" si="854">AR236/AM236-1</f>
        <v>2.4630541871921263E-2</v>
      </c>
      <c r="AS237" s="367">
        <f t="shared" ref="AS237" si="855">AS236/AN236-1</f>
        <v>-6.6476563892354346E-2</v>
      </c>
      <c r="AT237" s="367">
        <f>AT236/AO236-1</f>
        <v>-0.10291595197255576</v>
      </c>
      <c r="AU237" s="367">
        <f t="shared" ref="AU237" si="856">AU236/AP236-1</f>
        <v>-0.11987276075673869</v>
      </c>
      <c r="AV237" s="367">
        <f>AV236/AQ236-1</f>
        <v>-6.7875081895610423E-2</v>
      </c>
      <c r="AW237" s="367">
        <f t="shared" ref="AW237" si="857">AW236/AR236-1</f>
        <v>-6.232193732193736E-2</v>
      </c>
      <c r="AX237" s="367">
        <f t="shared" ref="AX237" si="858">AX236/AS236-1</f>
        <v>8.1901489117983894E-2</v>
      </c>
      <c r="AY237" s="367">
        <f t="shared" ref="AY237" si="859">AY236/AT236-1</f>
        <v>0.14149139579349912</v>
      </c>
      <c r="AZ237" s="367">
        <f t="shared" ref="AZ237" si="860">AZ236/AU236-1</f>
        <v>0.14095491725318632</v>
      </c>
      <c r="BA237" s="367">
        <f t="shared" ref="BA237" si="861">BA236/AV236-1</f>
        <v>7.3098730143854596E-2</v>
      </c>
      <c r="BB237" s="367">
        <f t="shared" ref="BB237" si="862">BB236/AW236-1</f>
        <v>4.4695214584124621E-2</v>
      </c>
      <c r="BC237" s="367">
        <f t="shared" ref="BC237" si="863">BC236/AX236-1</f>
        <v>-2.1585142050467687E-2</v>
      </c>
      <c r="BD237" s="367">
        <f t="shared" ref="BD237" si="864">BD236/AY236-1</f>
        <v>-2.0742043551088774E-2</v>
      </c>
      <c r="BE237" s="367">
        <f t="shared" ref="BE237" si="865">BE236/AZ236-1</f>
        <v>8.1027009003000749E-3</v>
      </c>
      <c r="BF237" s="367">
        <f t="shared" ref="BF237" si="866">BF236/BA236-1</f>
        <v>1.6511069385616306E-3</v>
      </c>
      <c r="BG237" s="367">
        <f t="shared" ref="BG237" si="867">BG236/BB236-1</f>
        <v>8.468062017335698E-2</v>
      </c>
      <c r="BH237" s="367">
        <f t="shared" ref="BH237" si="868">BH236/BC236-1</f>
        <v>0.13435011633680372</v>
      </c>
      <c r="BI237" s="367">
        <f t="shared" ref="BI237" si="869">BI236/BD236-1</f>
        <v>0.1056286423419095</v>
      </c>
      <c r="BJ237" s="367">
        <f t="shared" ref="BJ237" si="870">BJ236/BE236-1</f>
        <v>6.0485231369695303E-2</v>
      </c>
      <c r="BK237" s="367">
        <f t="shared" ref="BK237" si="871">BK236/BF236-1</f>
        <v>9.5647499094547728E-2</v>
      </c>
      <c r="BL237" s="367">
        <f t="shared" ref="BL237" si="872">BL236/BG236-1</f>
        <v>8.880628580391825E-2</v>
      </c>
      <c r="BM237" s="367">
        <f t="shared" ref="BM237" si="873">BM236/BH236-1</f>
        <v>4.6967019391519926E-2</v>
      </c>
      <c r="BN237" s="367">
        <f t="shared" ref="BN237" si="874">BN236/BI236-1</f>
        <v>1.7064238663562659E-2</v>
      </c>
      <c r="BO237" s="367">
        <f t="shared" ref="BO237" si="875">BO236/BJ236-1</f>
        <v>-9.2612201804957994E-3</v>
      </c>
      <c r="BP237" s="367">
        <f t="shared" ref="BP237" si="876">BP236/BK236-1</f>
        <v>3.4864447536634646E-2</v>
      </c>
      <c r="BQ237" s="367">
        <f t="shared" ref="BQ237" si="877">BQ236/BL236-1</f>
        <v>-3.8445774155472123E-2</v>
      </c>
      <c r="BR237" s="367">
        <f t="shared" ref="BR237" si="878">BR236/BM236-1</f>
        <v>2.1537859705279105E-2</v>
      </c>
      <c r="BS237" s="367">
        <f t="shared" ref="BS237" si="879">BS236/BN236-1</f>
        <v>3.8333335108003519E-2</v>
      </c>
      <c r="BT237" s="367">
        <f t="shared" ref="BT237" si="880">BT236/BO236-1</f>
        <v>9.4588115368244852E-2</v>
      </c>
      <c r="BU237" s="367">
        <f t="shared" ref="BU237" si="881">BU236/BP236-1</f>
        <v>2.8642096159055219E-2</v>
      </c>
      <c r="BV237" s="367">
        <f t="shared" ref="BV237" si="882">BV236/BQ236-1</f>
        <v>7.9184769638005692E-2</v>
      </c>
      <c r="BW237" s="367">
        <f t="shared" ref="BW237" si="883">BW236/BR236-1</f>
        <v>9.0072806888706447E-2</v>
      </c>
      <c r="BX237" s="367">
        <f t="shared" ref="BX237" si="884">BX236/BS236-1</f>
        <v>0.10175895261554646</v>
      </c>
      <c r="BY237" s="367">
        <f t="shared" ref="BY237" si="885">BY236/BT236-1</f>
        <v>8.5238594926527522E-2</v>
      </c>
      <c r="BZ237" s="367">
        <f t="shared" ref="BZ237" si="886">BZ236/BU236-1</f>
        <v>8.9255421141845703E-2</v>
      </c>
      <c r="CA237" s="367">
        <f t="shared" ref="CA237" si="887">CA236/BV236-1</f>
        <v>0.1194390319040517</v>
      </c>
      <c r="CB237" s="367">
        <f t="shared" ref="CB237:CN237" si="888">CB236/BW236-1</f>
        <v>0.12061819720620193</v>
      </c>
      <c r="CC237" s="367">
        <f t="shared" si="888"/>
        <v>7.7477461904634559E-2</v>
      </c>
      <c r="CD237" s="367">
        <f t="shared" si="888"/>
        <v>0.12035270480961402</v>
      </c>
      <c r="CE237" s="367">
        <f t="shared" si="888"/>
        <v>0.10914342374787411</v>
      </c>
      <c r="CF237" s="367">
        <f t="shared" si="888"/>
        <v>0.11804992074011933</v>
      </c>
      <c r="CG237" s="367">
        <f t="shared" si="888"/>
        <v>4.8204845371350835E-2</v>
      </c>
      <c r="CH237" s="367">
        <f t="shared" si="888"/>
        <v>2.548808340132025E-2</v>
      </c>
      <c r="CI237" s="367">
        <f t="shared" si="888"/>
        <v>6.8048422401966624E-2</v>
      </c>
      <c r="CJ237" s="367">
        <f t="shared" si="888"/>
        <v>6.4009168059884658E-2</v>
      </c>
      <c r="CK237" s="367">
        <f t="shared" si="888"/>
        <v>1.9303922538762341E-2</v>
      </c>
      <c r="CL237" s="367">
        <f t="shared" si="888"/>
        <v>0.21831381470913835</v>
      </c>
      <c r="CM237" s="367">
        <f t="shared" si="888"/>
        <v>0.37819799576741442</v>
      </c>
      <c r="CN237" s="367">
        <f t="shared" si="888"/>
        <v>0.32075273222128131</v>
      </c>
      <c r="CO237" s="367">
        <f t="shared" ref="CO237" si="889">CO236/CJ236-1</f>
        <v>0.23501405974158063</v>
      </c>
      <c r="CP237" s="367">
        <f t="shared" ref="CP237" si="890">CP236/CO236-1</f>
        <v>0.11318471580854128</v>
      </c>
      <c r="CQ237" s="367">
        <f t="shared" ref="CQ237" si="891">CQ236/CP236-1</f>
        <v>4.3596209993451485E-2</v>
      </c>
      <c r="CR237" s="367">
        <f t="shared" ref="CR237" si="892">CR236/CQ236-1</f>
        <v>4.3536302371558477E-2</v>
      </c>
      <c r="CS237" s="367">
        <f t="shared" ref="CS237" si="893">CS236/CR236-1</f>
        <v>4.3478841448463923E-2</v>
      </c>
      <c r="CT237" s="367">
        <f t="shared" ref="CT237" si="894">CT236/CS236-1</f>
        <v>4.3423747412589586E-2</v>
      </c>
      <c r="CU237" s="347"/>
      <c r="CV237" s="1363"/>
      <c r="CW237" s="347"/>
      <c r="CX237" s="347"/>
      <c r="CY237" s="353">
        <f>CY236/CX236-1</f>
        <v>0.17403911121015581</v>
      </c>
      <c r="CZ237" s="353">
        <f t="shared" ref="CZ237:DC237" si="895">CZ236/CY236-1</f>
        <v>2.8010043334651957E-2</v>
      </c>
      <c r="DA237" s="353">
        <f t="shared" si="895"/>
        <v>2.3907944310888052E-2</v>
      </c>
      <c r="DB237" s="353">
        <f t="shared" si="895"/>
        <v>2.4094090185227346E-2</v>
      </c>
      <c r="DC237" s="353">
        <f t="shared" si="895"/>
        <v>2.427119019480517E-2</v>
      </c>
      <c r="DD237" s="882"/>
      <c r="DE237" s="882"/>
      <c r="DF237" s="759"/>
      <c r="DG237" s="759"/>
      <c r="DH237" s="759"/>
      <c r="DI237" s="759"/>
      <c r="DJ237" s="759"/>
      <c r="DK237" s="759"/>
      <c r="DL237" s="759"/>
      <c r="DM237" s="759"/>
    </row>
    <row r="238" spans="1:117">
      <c r="B238" s="407"/>
      <c r="C238" s="450"/>
      <c r="D238" s="450"/>
      <c r="E238" s="450"/>
      <c r="F238" s="450"/>
      <c r="G238" s="450"/>
      <c r="H238" s="450"/>
      <c r="I238" s="450"/>
      <c r="J238" s="450"/>
      <c r="K238" s="450"/>
      <c r="L238" s="450"/>
      <c r="M238" s="450"/>
      <c r="N238" s="450"/>
      <c r="O238" s="450"/>
      <c r="P238" s="450"/>
      <c r="Q238" s="450"/>
      <c r="R238" s="450"/>
      <c r="S238" s="450"/>
      <c r="T238" s="450"/>
      <c r="U238" s="450"/>
      <c r="V238" s="450"/>
      <c r="W238" s="450"/>
      <c r="X238" s="450"/>
      <c r="Y238" s="450"/>
      <c r="Z238" s="450"/>
      <c r="AA238" s="450"/>
      <c r="AB238" s="450"/>
      <c r="AC238" s="450"/>
      <c r="AD238" s="450"/>
      <c r="AE238" s="450"/>
      <c r="AF238" s="450"/>
      <c r="AG238" s="450"/>
      <c r="AH238" s="450"/>
      <c r="AI238" s="450"/>
      <c r="AJ238" s="450"/>
      <c r="AK238" s="450"/>
      <c r="AL238" s="450"/>
      <c r="AM238" s="450"/>
      <c r="AN238" s="450"/>
      <c r="AO238" s="450"/>
      <c r="AP238" s="450"/>
      <c r="AQ238" s="450"/>
      <c r="AR238" s="450"/>
      <c r="AS238" s="450"/>
      <c r="AT238" s="450"/>
      <c r="AU238" s="450"/>
      <c r="AV238" s="450"/>
      <c r="AW238" s="450"/>
      <c r="AX238" s="450"/>
      <c r="AY238" s="451"/>
      <c r="AZ238" s="451"/>
      <c r="BA238" s="450"/>
      <c r="BB238" s="450"/>
      <c r="BC238" s="450"/>
      <c r="BD238" s="450"/>
      <c r="BE238" s="451"/>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1076"/>
      <c r="CP238" s="450"/>
      <c r="CQ238" s="450"/>
      <c r="CR238" s="450"/>
      <c r="CS238" s="450"/>
      <c r="CT238" s="450"/>
      <c r="CU238" s="347"/>
      <c r="CV238" s="1363"/>
      <c r="CW238" s="347"/>
      <c r="CX238" s="347"/>
      <c r="CY238" s="347"/>
      <c r="CZ238" s="354"/>
      <c r="DA238" s="354"/>
      <c r="DB238" s="354"/>
      <c r="DC238" s="882"/>
      <c r="DD238" s="882"/>
      <c r="DE238" s="882"/>
      <c r="DF238" s="759"/>
      <c r="DG238" s="759"/>
      <c r="DH238" s="759"/>
      <c r="DI238" s="759"/>
      <c r="DJ238" s="759"/>
      <c r="DK238" s="759"/>
      <c r="DL238" s="759"/>
      <c r="DM238" s="759"/>
    </row>
    <row r="239" spans="1:117">
      <c r="B239" s="414" t="s">
        <v>796</v>
      </c>
      <c r="C239" s="450"/>
      <c r="D239" s="450"/>
      <c r="E239" s="450"/>
      <c r="F239" s="450"/>
      <c r="G239" s="450"/>
      <c r="H239" s="450"/>
      <c r="I239" s="450"/>
      <c r="J239" s="450"/>
      <c r="K239" s="450"/>
      <c r="L239" s="450"/>
      <c r="M239" s="450"/>
      <c r="N239" s="450"/>
      <c r="O239" s="450"/>
      <c r="P239" s="450"/>
      <c r="Q239" s="450"/>
      <c r="R239" s="450"/>
      <c r="S239" s="450"/>
      <c r="T239" s="450"/>
      <c r="U239" s="450"/>
      <c r="V239" s="450"/>
      <c r="W239" s="450"/>
      <c r="X239" s="450"/>
      <c r="Y239" s="450"/>
      <c r="Z239" s="450"/>
      <c r="AA239" s="450"/>
      <c r="AB239" s="450"/>
      <c r="AC239" s="450"/>
      <c r="AD239" s="450"/>
      <c r="AE239" s="450"/>
      <c r="AF239" s="450"/>
      <c r="AG239" s="450"/>
      <c r="AH239" s="450"/>
      <c r="AI239" s="450"/>
      <c r="AJ239" s="450"/>
      <c r="AK239" s="450"/>
      <c r="AL239" s="450"/>
      <c r="AM239" s="450"/>
      <c r="AN239" s="450"/>
      <c r="AO239" s="450"/>
      <c r="AP239" s="450"/>
      <c r="AQ239" s="450"/>
      <c r="AR239" s="450"/>
      <c r="AS239" s="450"/>
      <c r="AT239" s="450"/>
      <c r="AU239" s="450"/>
      <c r="AV239" s="450"/>
      <c r="AW239" s="450"/>
      <c r="AX239" s="450"/>
      <c r="AY239" s="451"/>
      <c r="AZ239" s="451"/>
      <c r="BA239" s="450"/>
      <c r="BB239" s="450"/>
      <c r="BC239" s="450"/>
      <c r="BD239" s="450"/>
      <c r="BE239" s="451"/>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347"/>
      <c r="CV239" s="1363"/>
      <c r="CW239" s="347"/>
      <c r="CX239" s="347"/>
      <c r="CY239" s="347"/>
      <c r="CZ239" s="354"/>
      <c r="DA239" s="354"/>
      <c r="DB239" s="354"/>
      <c r="DC239" s="882"/>
      <c r="DD239" s="882"/>
      <c r="DE239" s="882"/>
      <c r="DF239" s="759"/>
      <c r="DG239" s="759"/>
      <c r="DH239" s="759"/>
      <c r="DI239" s="759"/>
      <c r="DJ239" s="759"/>
      <c r="DK239" s="759"/>
      <c r="DL239" s="759"/>
      <c r="DM239" s="759"/>
    </row>
    <row r="240" spans="1:117">
      <c r="B240" s="407" t="s">
        <v>499</v>
      </c>
      <c r="C240" s="824"/>
      <c r="D240" s="824"/>
      <c r="E240" s="824"/>
      <c r="F240" s="824"/>
      <c r="G240" s="824"/>
      <c r="H240" s="824"/>
      <c r="I240" s="824">
        <f t="shared" ref="I240:AN240" si="896">I390</f>
        <v>0</v>
      </c>
      <c r="J240" s="824">
        <f t="shared" si="896"/>
        <v>0</v>
      </c>
      <c r="K240" s="824">
        <f t="shared" si="896"/>
        <v>0</v>
      </c>
      <c r="L240" s="824">
        <f t="shared" si="896"/>
        <v>0</v>
      </c>
      <c r="M240" s="824">
        <f t="shared" si="896"/>
        <v>2028</v>
      </c>
      <c r="N240" s="824">
        <f t="shared" si="896"/>
        <v>0</v>
      </c>
      <c r="O240" s="824">
        <f t="shared" si="896"/>
        <v>0</v>
      </c>
      <c r="P240" s="824">
        <f t="shared" si="896"/>
        <v>0</v>
      </c>
      <c r="Q240" s="824">
        <f t="shared" si="896"/>
        <v>0</v>
      </c>
      <c r="R240" s="824">
        <f t="shared" si="896"/>
        <v>2304</v>
      </c>
      <c r="S240" s="824">
        <f t="shared" si="896"/>
        <v>611</v>
      </c>
      <c r="T240" s="824">
        <f t="shared" si="896"/>
        <v>609</v>
      </c>
      <c r="U240" s="824">
        <f t="shared" si="896"/>
        <v>649</v>
      </c>
      <c r="V240" s="824">
        <f t="shared" si="896"/>
        <v>142</v>
      </c>
      <c r="W240" s="824">
        <f t="shared" si="896"/>
        <v>2011</v>
      </c>
      <c r="X240" s="824">
        <f t="shared" si="896"/>
        <v>539</v>
      </c>
      <c r="Y240" s="824">
        <f t="shared" si="896"/>
        <v>719</v>
      </c>
      <c r="Z240" s="824">
        <f t="shared" si="896"/>
        <v>985</v>
      </c>
      <c r="AA240" s="824">
        <f t="shared" si="896"/>
        <v>854</v>
      </c>
      <c r="AB240" s="824">
        <f t="shared" si="896"/>
        <v>3097</v>
      </c>
      <c r="AC240" s="824">
        <f t="shared" si="896"/>
        <v>942</v>
      </c>
      <c r="AD240" s="824">
        <f t="shared" si="896"/>
        <v>973</v>
      </c>
      <c r="AE240" s="824">
        <f t="shared" si="896"/>
        <v>948</v>
      </c>
      <c r="AF240" s="824">
        <f t="shared" si="896"/>
        <v>863</v>
      </c>
      <c r="AG240" s="824">
        <f t="shared" si="896"/>
        <v>3726</v>
      </c>
      <c r="AH240" s="824">
        <f t="shared" si="896"/>
        <v>840</v>
      </c>
      <c r="AI240" s="824">
        <f t="shared" si="896"/>
        <v>881</v>
      </c>
      <c r="AJ240" s="824">
        <f t="shared" si="896"/>
        <v>848</v>
      </c>
      <c r="AK240" s="824">
        <f t="shared" si="896"/>
        <v>787</v>
      </c>
      <c r="AL240" s="824">
        <f t="shared" si="896"/>
        <v>3356</v>
      </c>
      <c r="AM240" s="824">
        <f t="shared" si="896"/>
        <v>716</v>
      </c>
      <c r="AN240" s="824">
        <f t="shared" si="896"/>
        <v>514</v>
      </c>
      <c r="AO240" s="824">
        <f t="shared" ref="AO240:BT240" si="897">AO390</f>
        <v>534</v>
      </c>
      <c r="AP240" s="824">
        <f t="shared" si="897"/>
        <v>557</v>
      </c>
      <c r="AQ240" s="824">
        <f t="shared" si="897"/>
        <v>2321</v>
      </c>
      <c r="AR240" s="824">
        <f t="shared" si="897"/>
        <v>404</v>
      </c>
      <c r="AS240" s="824">
        <f t="shared" si="897"/>
        <v>418</v>
      </c>
      <c r="AT240" s="824">
        <f t="shared" si="897"/>
        <v>526</v>
      </c>
      <c r="AU240" s="824">
        <f t="shared" si="897"/>
        <v>579</v>
      </c>
      <c r="AV240" s="824">
        <f t="shared" si="897"/>
        <v>1927</v>
      </c>
      <c r="AW240" s="824">
        <f t="shared" si="897"/>
        <v>659</v>
      </c>
      <c r="AX240" s="824">
        <f t="shared" si="897"/>
        <v>630</v>
      </c>
      <c r="AY240" s="824">
        <f t="shared" si="897"/>
        <v>624</v>
      </c>
      <c r="AZ240" s="824">
        <f t="shared" si="897"/>
        <v>546</v>
      </c>
      <c r="BA240" s="824">
        <f t="shared" si="897"/>
        <v>2459</v>
      </c>
      <c r="BB240" s="824">
        <f t="shared" si="897"/>
        <v>486</v>
      </c>
      <c r="BC240" s="824">
        <f t="shared" si="897"/>
        <v>612</v>
      </c>
      <c r="BD240" s="824">
        <f t="shared" si="897"/>
        <v>694</v>
      </c>
      <c r="BE240" s="824">
        <f t="shared" si="897"/>
        <v>629</v>
      </c>
      <c r="BF240" s="824">
        <f t="shared" si="897"/>
        <v>2421</v>
      </c>
      <c r="BG240" s="824">
        <f t="shared" si="897"/>
        <v>446</v>
      </c>
      <c r="BH240" s="824">
        <f t="shared" si="897"/>
        <v>516</v>
      </c>
      <c r="BI240" s="824">
        <f t="shared" si="897"/>
        <v>495</v>
      </c>
      <c r="BJ240" s="824">
        <f t="shared" si="897"/>
        <v>458</v>
      </c>
      <c r="BK240" s="824">
        <f t="shared" si="897"/>
        <v>1915</v>
      </c>
      <c r="BL240" s="824">
        <f t="shared" si="897"/>
        <v>430.14100000000002</v>
      </c>
      <c r="BM240" s="824">
        <f t="shared" si="897"/>
        <v>386.49799999999999</v>
      </c>
      <c r="BN240" s="824">
        <f t="shared" si="897"/>
        <v>383.20199999999983</v>
      </c>
      <c r="BO240" s="824">
        <f t="shared" si="897"/>
        <v>360.90299999999996</v>
      </c>
      <c r="BP240" s="824">
        <f t="shared" si="897"/>
        <v>1560.7439999999999</v>
      </c>
      <c r="BQ240" s="824">
        <f t="shared" si="897"/>
        <v>341.21100000000001</v>
      </c>
      <c r="BR240" s="824">
        <f t="shared" si="897"/>
        <v>349.17200000000003</v>
      </c>
      <c r="BS240" s="824">
        <f t="shared" si="897"/>
        <v>341.20900000000006</v>
      </c>
      <c r="BT240" s="824">
        <f t="shared" si="897"/>
        <v>504.56700000000001</v>
      </c>
      <c r="BU240" s="824">
        <f t="shared" ref="BU240:CA240" si="898">BU390</f>
        <v>1536.1590000000001</v>
      </c>
      <c r="BV240" s="824">
        <f t="shared" si="898"/>
        <v>466.17</v>
      </c>
      <c r="BW240" s="824">
        <f t="shared" si="898"/>
        <v>681.32799999999997</v>
      </c>
      <c r="BX240" s="824">
        <f t="shared" si="898"/>
        <v>870.15999999999985</v>
      </c>
      <c r="BY240" s="824">
        <f t="shared" si="898"/>
        <v>858.81899999999996</v>
      </c>
      <c r="BZ240" s="824">
        <f t="shared" si="898"/>
        <v>2876.4769999999999</v>
      </c>
      <c r="CA240" s="824">
        <f t="shared" si="898"/>
        <v>648.85599999999999</v>
      </c>
      <c r="CB240" s="824">
        <f t="shared" ref="CB240:CC240" si="899">CB390</f>
        <v>887.68000000000006</v>
      </c>
      <c r="CC240" s="824">
        <f t="shared" si="899"/>
        <v>783.63599999999997</v>
      </c>
      <c r="CD240" s="824">
        <f t="shared" ref="CD240:CE240" si="900">CD390</f>
        <v>852.04799999999977</v>
      </c>
      <c r="CE240" s="824">
        <f t="shared" si="900"/>
        <v>3172.22</v>
      </c>
      <c r="CF240" s="824">
        <f t="shared" ref="CF240:CG240" si="901">CF390</f>
        <v>764.08399999999995</v>
      </c>
      <c r="CG240" s="824">
        <f t="shared" si="901"/>
        <v>822.63</v>
      </c>
      <c r="CH240" s="824">
        <f t="shared" ref="CH240:CK240" si="902">CH390</f>
        <v>692.7600000000001</v>
      </c>
      <c r="CI240" s="824">
        <f t="shared" si="902"/>
        <v>1004.7059999999996</v>
      </c>
      <c r="CJ240" s="824">
        <f t="shared" si="902"/>
        <v>3284.18</v>
      </c>
      <c r="CK240" s="824">
        <f t="shared" si="902"/>
        <v>949.96400000000006</v>
      </c>
      <c r="CL240" s="824">
        <f t="shared" ref="CL240" si="903">CL390</f>
        <v>1172.81</v>
      </c>
      <c r="CM240" s="824">
        <f t="shared" ref="CM240" si="904">CM390</f>
        <v>1386.4540000000002</v>
      </c>
      <c r="CN240" s="824">
        <f>CM240</f>
        <v>1386.4540000000002</v>
      </c>
      <c r="CO240" s="824">
        <f t="shared" ref="CO240:CT240" si="905">CO390</f>
        <v>4459.7811123564679</v>
      </c>
      <c r="CP240" s="824">
        <f t="shared" si="905"/>
        <v>4964.5601701268351</v>
      </c>
      <c r="CQ240" s="824">
        <f t="shared" si="905"/>
        <v>5180.9961778288098</v>
      </c>
      <c r="CR240" s="824">
        <f t="shared" si="905"/>
        <v>5406.5575940126528</v>
      </c>
      <c r="CS240" s="824">
        <f t="shared" si="905"/>
        <v>5641.6284544247183</v>
      </c>
      <c r="CT240" s="824">
        <f t="shared" si="905"/>
        <v>5886.609103425335</v>
      </c>
      <c r="CU240" s="347"/>
      <c r="CV240" s="1363"/>
      <c r="CW240" s="347"/>
      <c r="CX240" s="347"/>
      <c r="CY240" s="347"/>
      <c r="CZ240" s="354"/>
      <c r="DA240" s="354"/>
      <c r="DB240" s="354"/>
      <c r="DC240" s="882"/>
      <c r="DD240" s="882"/>
      <c r="DE240" s="882"/>
      <c r="DF240" s="759"/>
      <c r="DG240" s="759"/>
      <c r="DH240" s="759"/>
      <c r="DI240" s="759"/>
      <c r="DJ240" s="759"/>
      <c r="DK240" s="759"/>
      <c r="DL240" s="759"/>
      <c r="DM240" s="759"/>
    </row>
    <row r="241" spans="1:117">
      <c r="B241" s="407" t="s">
        <v>69</v>
      </c>
      <c r="C241" s="824"/>
      <c r="D241" s="824"/>
      <c r="E241" s="824"/>
      <c r="F241" s="824"/>
      <c r="G241" s="824"/>
      <c r="H241" s="824"/>
      <c r="I241" s="824">
        <f t="shared" ref="I241:AN241" si="906">I395</f>
        <v>0</v>
      </c>
      <c r="J241" s="824">
        <f t="shared" si="906"/>
        <v>0</v>
      </c>
      <c r="K241" s="824">
        <f t="shared" si="906"/>
        <v>0</v>
      </c>
      <c r="L241" s="824">
        <f t="shared" si="906"/>
        <v>0</v>
      </c>
      <c r="M241" s="824">
        <f t="shared" si="906"/>
        <v>778</v>
      </c>
      <c r="N241" s="824">
        <f t="shared" si="906"/>
        <v>0</v>
      </c>
      <c r="O241" s="824">
        <f t="shared" si="906"/>
        <v>0</v>
      </c>
      <c r="P241" s="824">
        <f t="shared" si="906"/>
        <v>0</v>
      </c>
      <c r="Q241" s="824">
        <f t="shared" si="906"/>
        <v>0</v>
      </c>
      <c r="R241" s="824">
        <f t="shared" si="906"/>
        <v>904</v>
      </c>
      <c r="S241" s="824">
        <f t="shared" si="906"/>
        <v>241</v>
      </c>
      <c r="T241" s="824">
        <f t="shared" si="906"/>
        <v>242</v>
      </c>
      <c r="U241" s="824">
        <f t="shared" si="906"/>
        <v>419</v>
      </c>
      <c r="V241" s="824">
        <f t="shared" si="906"/>
        <v>297</v>
      </c>
      <c r="W241" s="824">
        <f t="shared" si="906"/>
        <v>1199</v>
      </c>
      <c r="X241" s="824">
        <f t="shared" si="906"/>
        <v>256</v>
      </c>
      <c r="Y241" s="824">
        <f t="shared" si="906"/>
        <v>223</v>
      </c>
      <c r="Z241" s="824">
        <f t="shared" si="906"/>
        <v>209</v>
      </c>
      <c r="AA241" s="824">
        <f t="shared" si="906"/>
        <v>253</v>
      </c>
      <c r="AB241" s="824">
        <f t="shared" si="906"/>
        <v>941</v>
      </c>
      <c r="AC241" s="824">
        <f t="shared" si="906"/>
        <v>235</v>
      </c>
      <c r="AD241" s="824">
        <f t="shared" si="906"/>
        <v>238</v>
      </c>
      <c r="AE241" s="824">
        <f t="shared" si="906"/>
        <v>234</v>
      </c>
      <c r="AF241" s="824">
        <f t="shared" si="906"/>
        <v>230</v>
      </c>
      <c r="AG241" s="824">
        <f t="shared" si="906"/>
        <v>937</v>
      </c>
      <c r="AH241" s="824">
        <f t="shared" si="906"/>
        <v>270</v>
      </c>
      <c r="AI241" s="824">
        <f t="shared" si="906"/>
        <v>308</v>
      </c>
      <c r="AJ241" s="824">
        <f t="shared" si="906"/>
        <v>305</v>
      </c>
      <c r="AK241" s="824">
        <f t="shared" si="906"/>
        <v>277</v>
      </c>
      <c r="AL241" s="824">
        <f t="shared" si="906"/>
        <v>1160</v>
      </c>
      <c r="AM241" s="824">
        <f t="shared" si="906"/>
        <v>255</v>
      </c>
      <c r="AN241" s="824">
        <f t="shared" si="906"/>
        <v>273</v>
      </c>
      <c r="AO241" s="824">
        <f t="shared" ref="AO241:BT241" si="907">AO395</f>
        <v>278</v>
      </c>
      <c r="AP241" s="824">
        <f t="shared" si="907"/>
        <v>283</v>
      </c>
      <c r="AQ241" s="824">
        <f t="shared" si="907"/>
        <v>1089</v>
      </c>
      <c r="AR241" s="824">
        <f t="shared" si="907"/>
        <v>327</v>
      </c>
      <c r="AS241" s="824">
        <f t="shared" si="907"/>
        <v>280</v>
      </c>
      <c r="AT241" s="824">
        <f t="shared" si="907"/>
        <v>260</v>
      </c>
      <c r="AU241" s="824">
        <f t="shared" si="907"/>
        <v>290</v>
      </c>
      <c r="AV241" s="824">
        <f t="shared" si="907"/>
        <v>1157</v>
      </c>
      <c r="AW241" s="824">
        <f t="shared" si="907"/>
        <v>257</v>
      </c>
      <c r="AX241" s="824">
        <f t="shared" si="907"/>
        <v>261</v>
      </c>
      <c r="AY241" s="824">
        <f t="shared" si="907"/>
        <v>281</v>
      </c>
      <c r="AZ241" s="824">
        <f t="shared" si="907"/>
        <v>552</v>
      </c>
      <c r="BA241" s="824">
        <f t="shared" si="907"/>
        <v>1351</v>
      </c>
      <c r="BB241" s="824">
        <f t="shared" si="907"/>
        <v>263</v>
      </c>
      <c r="BC241" s="824">
        <f t="shared" si="907"/>
        <v>264</v>
      </c>
      <c r="BD241" s="824">
        <f t="shared" si="907"/>
        <v>234</v>
      </c>
      <c r="BE241" s="824">
        <f t="shared" si="907"/>
        <v>276</v>
      </c>
      <c r="BF241" s="824">
        <f t="shared" si="907"/>
        <v>1037</v>
      </c>
      <c r="BG241" s="824">
        <f t="shared" si="907"/>
        <v>301</v>
      </c>
      <c r="BH241" s="824">
        <f t="shared" si="907"/>
        <v>323</v>
      </c>
      <c r="BI241" s="824">
        <f t="shared" si="907"/>
        <v>330</v>
      </c>
      <c r="BJ241" s="824">
        <f t="shared" si="907"/>
        <v>325</v>
      </c>
      <c r="BK241" s="824">
        <f t="shared" si="907"/>
        <v>1279</v>
      </c>
      <c r="BL241" s="824">
        <f t="shared" si="907"/>
        <v>307</v>
      </c>
      <c r="BM241" s="824">
        <f t="shared" si="907"/>
        <v>304</v>
      </c>
      <c r="BN241" s="824">
        <f t="shared" si="907"/>
        <v>341.23199999999997</v>
      </c>
      <c r="BO241" s="824">
        <f t="shared" si="907"/>
        <v>322.03199999999993</v>
      </c>
      <c r="BP241" s="824">
        <f t="shared" si="907"/>
        <v>1274.2639999999999</v>
      </c>
      <c r="BQ241" s="824">
        <f t="shared" si="907"/>
        <v>235.27799999999999</v>
      </c>
      <c r="BR241" s="824">
        <f t="shared" si="907"/>
        <v>338.61099999999999</v>
      </c>
      <c r="BS241" s="824">
        <f t="shared" si="907"/>
        <v>230.05399999999997</v>
      </c>
      <c r="BT241" s="824">
        <f t="shared" si="907"/>
        <v>271.85799999999995</v>
      </c>
      <c r="BU241" s="824">
        <f t="shared" ref="BU241:CA241" si="908">BU395</f>
        <v>1075.8009999999999</v>
      </c>
      <c r="BV241" s="824">
        <f t="shared" si="908"/>
        <v>295.625</v>
      </c>
      <c r="BW241" s="824">
        <f t="shared" si="908"/>
        <v>272.14499999999998</v>
      </c>
      <c r="BX241" s="824">
        <f t="shared" si="908"/>
        <v>325.11199999999997</v>
      </c>
      <c r="BY241" s="824">
        <f t="shared" si="908"/>
        <v>432.64700000000005</v>
      </c>
      <c r="BZ241" s="824">
        <f t="shared" si="908"/>
        <v>1325.529</v>
      </c>
      <c r="CA241" s="824">
        <f t="shared" si="908"/>
        <v>331.03899999999999</v>
      </c>
      <c r="CB241" s="824">
        <f t="shared" ref="CB241:CC241" si="909">CB395</f>
        <v>368.38</v>
      </c>
      <c r="CC241" s="824">
        <f t="shared" si="909"/>
        <v>359.85900000000004</v>
      </c>
      <c r="CD241" s="824">
        <f t="shared" ref="CD241:CE241" si="910">CD395</f>
        <v>342.96399999999983</v>
      </c>
      <c r="CE241" s="824">
        <f t="shared" si="910"/>
        <v>1402.2419999999997</v>
      </c>
      <c r="CF241" s="824">
        <f t="shared" ref="CF241:CG241" si="911">CF395</f>
        <v>357.553</v>
      </c>
      <c r="CG241" s="824">
        <f t="shared" si="911"/>
        <v>460.96600000000001</v>
      </c>
      <c r="CH241" s="824">
        <f t="shared" ref="CH241:CK241" si="912">CH395</f>
        <v>438.51600000000008</v>
      </c>
      <c r="CI241" s="824">
        <f t="shared" si="912"/>
        <v>479.03899999999999</v>
      </c>
      <c r="CJ241" s="824">
        <f t="shared" si="912"/>
        <v>1736.0740000000001</v>
      </c>
      <c r="CK241" s="824">
        <f t="shared" si="912"/>
        <v>514.94799999999998</v>
      </c>
      <c r="CL241" s="824">
        <f t="shared" ref="CL241" si="913">CL395</f>
        <v>1102.598</v>
      </c>
      <c r="CM241" s="824">
        <f t="shared" ref="CM241" si="914">CM395</f>
        <v>1049.5520000000001</v>
      </c>
      <c r="CN241" s="824">
        <f t="shared" ref="CN241" si="915">CM241</f>
        <v>1049.5520000000001</v>
      </c>
      <c r="CO241" s="824">
        <f t="shared" ref="CO241:CT241" si="916">CO395</f>
        <v>3822.6695248769724</v>
      </c>
      <c r="CP241" s="824">
        <f t="shared" si="916"/>
        <v>4018.9296615312478</v>
      </c>
      <c r="CQ241" s="824">
        <f t="shared" si="916"/>
        <v>3453.9974518858735</v>
      </c>
      <c r="CR241" s="824">
        <f t="shared" si="916"/>
        <v>3346.9166058173569</v>
      </c>
      <c r="CS241" s="824">
        <f t="shared" si="916"/>
        <v>3492.4366622629209</v>
      </c>
      <c r="CT241" s="824">
        <f t="shared" si="916"/>
        <v>3644.0913497394936</v>
      </c>
      <c r="CU241" s="347"/>
      <c r="CV241" s="1363"/>
      <c r="CW241" s="347"/>
      <c r="CX241" s="347"/>
      <c r="CY241" s="347"/>
      <c r="CZ241" s="354"/>
      <c r="DA241" s="354"/>
      <c r="DB241" s="354"/>
      <c r="DC241" s="882"/>
      <c r="DD241" s="882"/>
      <c r="DE241" s="882"/>
      <c r="DF241" s="759"/>
      <c r="DG241" s="759"/>
      <c r="DH241" s="759"/>
      <c r="DI241" s="759"/>
      <c r="DJ241" s="759"/>
      <c r="DK241" s="759"/>
      <c r="DL241" s="759"/>
      <c r="DM241" s="759"/>
    </row>
    <row r="242" spans="1:117">
      <c r="B242" s="407" t="s">
        <v>70</v>
      </c>
      <c r="C242" s="824"/>
      <c r="D242" s="824"/>
      <c r="E242" s="824"/>
      <c r="F242" s="824"/>
      <c r="G242" s="824"/>
      <c r="H242" s="824"/>
      <c r="I242" s="824">
        <f t="shared" ref="I242:AN242" si="917">I399</f>
        <v>0</v>
      </c>
      <c r="J242" s="824">
        <f t="shared" si="917"/>
        <v>0</v>
      </c>
      <c r="K242" s="824">
        <f t="shared" si="917"/>
        <v>0</v>
      </c>
      <c r="L242" s="824">
        <f t="shared" si="917"/>
        <v>0</v>
      </c>
      <c r="M242" s="824">
        <f t="shared" si="917"/>
        <v>1030</v>
      </c>
      <c r="N242" s="824">
        <f t="shared" si="917"/>
        <v>0</v>
      </c>
      <c r="O242" s="824">
        <f t="shared" si="917"/>
        <v>0</v>
      </c>
      <c r="P242" s="824">
        <f t="shared" si="917"/>
        <v>0</v>
      </c>
      <c r="Q242" s="824">
        <f t="shared" si="917"/>
        <v>0</v>
      </c>
      <c r="R242" s="824">
        <f t="shared" si="917"/>
        <v>1291</v>
      </c>
      <c r="S242" s="824">
        <f t="shared" si="917"/>
        <v>222</v>
      </c>
      <c r="T242" s="824">
        <f t="shared" si="917"/>
        <v>290</v>
      </c>
      <c r="U242" s="824">
        <f t="shared" si="917"/>
        <v>336</v>
      </c>
      <c r="V242" s="824">
        <f t="shared" si="917"/>
        <v>390</v>
      </c>
      <c r="W242" s="824">
        <f t="shared" si="917"/>
        <v>1238</v>
      </c>
      <c r="X242" s="824">
        <f t="shared" si="917"/>
        <v>290</v>
      </c>
      <c r="Y242" s="824">
        <f t="shared" si="917"/>
        <v>292</v>
      </c>
      <c r="Z242" s="824">
        <f t="shared" si="917"/>
        <v>352</v>
      </c>
      <c r="AA242" s="824">
        <f t="shared" si="917"/>
        <v>372</v>
      </c>
      <c r="AB242" s="824">
        <f t="shared" si="917"/>
        <v>1306</v>
      </c>
      <c r="AC242" s="824">
        <f t="shared" si="917"/>
        <v>326</v>
      </c>
      <c r="AD242" s="824">
        <f t="shared" si="917"/>
        <v>341</v>
      </c>
      <c r="AE242" s="824">
        <f t="shared" si="917"/>
        <v>374</v>
      </c>
      <c r="AF242" s="824">
        <f t="shared" si="917"/>
        <v>314</v>
      </c>
      <c r="AG242" s="824">
        <f t="shared" si="917"/>
        <v>1355</v>
      </c>
      <c r="AH242" s="824">
        <f t="shared" si="917"/>
        <v>295</v>
      </c>
      <c r="AI242" s="824">
        <f t="shared" si="917"/>
        <v>340</v>
      </c>
      <c r="AJ242" s="824">
        <f t="shared" si="917"/>
        <v>378</v>
      </c>
      <c r="AK242" s="824">
        <f t="shared" si="917"/>
        <v>411</v>
      </c>
      <c r="AL242" s="824">
        <f t="shared" si="917"/>
        <v>1424</v>
      </c>
      <c r="AM242" s="824">
        <f t="shared" si="917"/>
        <v>230</v>
      </c>
      <c r="AN242" s="824">
        <f t="shared" si="917"/>
        <v>255</v>
      </c>
      <c r="AO242" s="824">
        <f t="shared" ref="AO242:BT242" si="918">AO399</f>
        <v>303</v>
      </c>
      <c r="AP242" s="824">
        <f t="shared" si="918"/>
        <v>339</v>
      </c>
      <c r="AQ242" s="824">
        <f t="shared" si="918"/>
        <v>1127</v>
      </c>
      <c r="AR242" s="824">
        <f t="shared" si="918"/>
        <v>329</v>
      </c>
      <c r="AS242" s="824">
        <f t="shared" si="918"/>
        <v>272</v>
      </c>
      <c r="AT242" s="824">
        <f t="shared" si="918"/>
        <v>385</v>
      </c>
      <c r="AU242" s="824">
        <f t="shared" si="918"/>
        <v>447</v>
      </c>
      <c r="AV242" s="824">
        <f t="shared" si="918"/>
        <v>1433</v>
      </c>
      <c r="AW242" s="824">
        <f t="shared" si="918"/>
        <v>274</v>
      </c>
      <c r="AX242" s="824">
        <f t="shared" si="918"/>
        <v>419</v>
      </c>
      <c r="AY242" s="824">
        <f t="shared" si="918"/>
        <v>413</v>
      </c>
      <c r="AZ242" s="824">
        <f t="shared" si="918"/>
        <v>510</v>
      </c>
      <c r="BA242" s="824">
        <f t="shared" si="918"/>
        <v>1616</v>
      </c>
      <c r="BB242" s="824">
        <f t="shared" si="918"/>
        <v>573</v>
      </c>
      <c r="BC242" s="824">
        <f t="shared" si="918"/>
        <v>574</v>
      </c>
      <c r="BD242" s="824">
        <f t="shared" si="918"/>
        <v>438</v>
      </c>
      <c r="BE242" s="824">
        <f t="shared" si="918"/>
        <v>454</v>
      </c>
      <c r="BF242" s="824">
        <f t="shared" si="918"/>
        <v>2039</v>
      </c>
      <c r="BG242" s="824">
        <f t="shared" si="918"/>
        <v>457</v>
      </c>
      <c r="BH242" s="824">
        <f t="shared" si="918"/>
        <v>490</v>
      </c>
      <c r="BI242" s="824">
        <f t="shared" si="918"/>
        <v>492</v>
      </c>
      <c r="BJ242" s="824">
        <f t="shared" si="918"/>
        <v>531</v>
      </c>
      <c r="BK242" s="824">
        <f t="shared" si="918"/>
        <v>1970</v>
      </c>
      <c r="BL242" s="824">
        <f t="shared" si="918"/>
        <v>453</v>
      </c>
      <c r="BM242" s="824">
        <f t="shared" si="918"/>
        <v>435</v>
      </c>
      <c r="BN242" s="824">
        <f t="shared" si="918"/>
        <v>469.74</v>
      </c>
      <c r="BO242" s="824">
        <f t="shared" si="918"/>
        <v>447.4670000000001</v>
      </c>
      <c r="BP242" s="824">
        <f t="shared" si="918"/>
        <v>1805.2070000000001</v>
      </c>
      <c r="BQ242" s="824">
        <f t="shared" si="918"/>
        <v>525.13900000000001</v>
      </c>
      <c r="BR242" s="824">
        <f t="shared" si="918"/>
        <v>640.02799999999991</v>
      </c>
      <c r="BS242" s="824">
        <f t="shared" si="918"/>
        <v>722.25400000000025</v>
      </c>
      <c r="BT242" s="824">
        <f t="shared" si="918"/>
        <v>679.54200000000003</v>
      </c>
      <c r="BU242" s="824">
        <f t="shared" ref="BU242:CA242" si="919">BU399</f>
        <v>2566.9630000000002</v>
      </c>
      <c r="BV242" s="824">
        <f t="shared" si="919"/>
        <v>728.63900000000001</v>
      </c>
      <c r="BW242" s="824">
        <f t="shared" si="919"/>
        <v>654.81499999999994</v>
      </c>
      <c r="BX242" s="824">
        <f t="shared" si="919"/>
        <v>592.03600000000017</v>
      </c>
      <c r="BY242" s="824">
        <f t="shared" si="919"/>
        <v>642.50799999999992</v>
      </c>
      <c r="BZ242" s="824">
        <f t="shared" si="919"/>
        <v>2617.998</v>
      </c>
      <c r="CA242" s="824">
        <f t="shared" si="919"/>
        <v>565.40700000000004</v>
      </c>
      <c r="CB242" s="824">
        <f t="shared" ref="CB242:CC242" si="920">CB399</f>
        <v>613.25400000000002</v>
      </c>
      <c r="CC242" s="824">
        <f t="shared" si="920"/>
        <v>625.90499999999986</v>
      </c>
      <c r="CD242" s="824">
        <f t="shared" ref="CD242:CE242" si="921">CD399</f>
        <v>650.2090000000004</v>
      </c>
      <c r="CE242" s="824">
        <f t="shared" si="921"/>
        <v>2454.7750000000001</v>
      </c>
      <c r="CF242" s="824">
        <f t="shared" ref="CF242:CG242" si="922">CF399</f>
        <v>533.16099999999994</v>
      </c>
      <c r="CG242" s="824">
        <f t="shared" si="922"/>
        <v>545.98100000000011</v>
      </c>
      <c r="CH242" s="824">
        <f t="shared" ref="CH242:CK242" si="923">CH399</f>
        <v>510.14</v>
      </c>
      <c r="CI242" s="824">
        <f t="shared" si="923"/>
        <v>504.90999999999997</v>
      </c>
      <c r="CJ242" s="824">
        <f t="shared" si="923"/>
        <v>2094.192</v>
      </c>
      <c r="CK242" s="824">
        <f t="shared" si="923"/>
        <v>389.44299999999998</v>
      </c>
      <c r="CL242" s="824">
        <f t="shared" ref="CL242" si="924">CL399</f>
        <v>526.67600000000004</v>
      </c>
      <c r="CM242" s="824">
        <f t="shared" ref="CM242" si="925">CM399</f>
        <v>591.18600000000004</v>
      </c>
      <c r="CN242" s="824">
        <f t="shared" ref="CN242" si="926">CM242</f>
        <v>591.18600000000004</v>
      </c>
      <c r="CO242" s="824">
        <f t="shared" ref="CO242:CT242" si="927">CO399</f>
        <v>1911.3347624384862</v>
      </c>
      <c r="CP242" s="824">
        <f t="shared" si="927"/>
        <v>2127.6686443400722</v>
      </c>
      <c r="CQ242" s="824">
        <f t="shared" si="927"/>
        <v>2220.4269333552043</v>
      </c>
      <c r="CR242" s="824">
        <f t="shared" si="927"/>
        <v>2317.0961117197085</v>
      </c>
      <c r="CS242" s="824">
        <f t="shared" si="927"/>
        <v>2417.840766182022</v>
      </c>
      <c r="CT242" s="824">
        <f t="shared" si="927"/>
        <v>2522.8324728965722</v>
      </c>
      <c r="CU242" s="347"/>
      <c r="CV242" s="1363"/>
      <c r="CW242" s="347"/>
      <c r="CX242" s="347"/>
      <c r="CY242" s="347"/>
      <c r="CZ242" s="354"/>
      <c r="DA242" s="354"/>
      <c r="DB242" s="354"/>
      <c r="DC242" s="882"/>
      <c r="DD242" s="882"/>
      <c r="DE242" s="882"/>
      <c r="DF242" s="759"/>
      <c r="DG242" s="759"/>
      <c r="DH242" s="759"/>
      <c r="DI242" s="759"/>
      <c r="DJ242" s="759"/>
      <c r="DK242" s="759"/>
      <c r="DL242" s="759"/>
      <c r="DM242" s="759"/>
    </row>
    <row r="243" spans="1:117">
      <c r="B243" s="407" t="s">
        <v>258</v>
      </c>
      <c r="C243" s="824"/>
      <c r="D243" s="824"/>
      <c r="E243" s="824"/>
      <c r="F243" s="824"/>
      <c r="G243" s="824"/>
      <c r="H243" s="824"/>
      <c r="I243" s="824">
        <f t="shared" ref="I243:AN243" si="928">I403</f>
        <v>0</v>
      </c>
      <c r="J243" s="824">
        <f t="shared" si="928"/>
        <v>0</v>
      </c>
      <c r="K243" s="824">
        <f t="shared" si="928"/>
        <v>0</v>
      </c>
      <c r="L243" s="824">
        <f t="shared" si="928"/>
        <v>0</v>
      </c>
      <c r="M243" s="824">
        <f t="shared" si="928"/>
        <v>3089</v>
      </c>
      <c r="N243" s="824">
        <f t="shared" si="928"/>
        <v>0</v>
      </c>
      <c r="O243" s="824">
        <f t="shared" si="928"/>
        <v>0</v>
      </c>
      <c r="P243" s="824">
        <f t="shared" si="928"/>
        <v>0</v>
      </c>
      <c r="Q243" s="824">
        <f t="shared" si="928"/>
        <v>0</v>
      </c>
      <c r="R243" s="824">
        <f t="shared" si="928"/>
        <v>3121</v>
      </c>
      <c r="S243" s="824">
        <f t="shared" si="928"/>
        <v>918</v>
      </c>
      <c r="T243" s="824">
        <f t="shared" si="928"/>
        <v>869</v>
      </c>
      <c r="U243" s="824">
        <f t="shared" si="928"/>
        <v>961</v>
      </c>
      <c r="V243" s="824">
        <f t="shared" si="928"/>
        <v>1118</v>
      </c>
      <c r="W243" s="824">
        <f t="shared" si="928"/>
        <v>3866</v>
      </c>
      <c r="X243" s="824">
        <f t="shared" si="928"/>
        <v>1216</v>
      </c>
      <c r="Y243" s="824">
        <f t="shared" si="928"/>
        <v>1314</v>
      </c>
      <c r="Z243" s="824">
        <f t="shared" si="928"/>
        <v>1411</v>
      </c>
      <c r="AA243" s="824">
        <f t="shared" si="928"/>
        <v>1265</v>
      </c>
      <c r="AB243" s="824">
        <f t="shared" si="928"/>
        <v>5206</v>
      </c>
      <c r="AC243" s="824">
        <f t="shared" si="928"/>
        <v>1366</v>
      </c>
      <c r="AD243" s="824">
        <f t="shared" si="928"/>
        <v>1441</v>
      </c>
      <c r="AE243" s="824">
        <f t="shared" si="928"/>
        <v>1571</v>
      </c>
      <c r="AF243" s="824">
        <f t="shared" si="928"/>
        <v>1649</v>
      </c>
      <c r="AG243" s="824">
        <f t="shared" si="928"/>
        <v>6027</v>
      </c>
      <c r="AH243" s="824">
        <f t="shared" si="928"/>
        <v>1796</v>
      </c>
      <c r="AI243" s="824">
        <f t="shared" si="928"/>
        <v>2219</v>
      </c>
      <c r="AJ243" s="824">
        <f t="shared" si="928"/>
        <v>2265</v>
      </c>
      <c r="AK243" s="824">
        <f t="shared" si="928"/>
        <v>1949</v>
      </c>
      <c r="AL243" s="824">
        <f t="shared" si="928"/>
        <v>8229</v>
      </c>
      <c r="AM243" s="824">
        <f t="shared" si="928"/>
        <v>2246</v>
      </c>
      <c r="AN243" s="824">
        <f t="shared" si="928"/>
        <v>2367</v>
      </c>
      <c r="AO243" s="824">
        <f t="shared" ref="AO243:BT243" si="929">AO403</f>
        <v>2362</v>
      </c>
      <c r="AP243" s="824">
        <f t="shared" si="929"/>
        <v>2311</v>
      </c>
      <c r="AQ243" s="824">
        <f t="shared" si="929"/>
        <v>9286</v>
      </c>
      <c r="AR243" s="824">
        <f t="shared" si="929"/>
        <v>2217</v>
      </c>
      <c r="AS243" s="824">
        <f t="shared" si="929"/>
        <v>2098</v>
      </c>
      <c r="AT243" s="824">
        <f t="shared" si="929"/>
        <v>1965</v>
      </c>
      <c r="AU243" s="824">
        <f t="shared" si="929"/>
        <v>1989</v>
      </c>
      <c r="AV243" s="824">
        <f t="shared" si="929"/>
        <v>8269</v>
      </c>
      <c r="AW243" s="824">
        <f t="shared" si="929"/>
        <v>2107</v>
      </c>
      <c r="AX243" s="824">
        <f t="shared" si="929"/>
        <v>2121</v>
      </c>
      <c r="AY243" s="824">
        <f t="shared" si="929"/>
        <v>2221</v>
      </c>
      <c r="AZ243" s="824">
        <f t="shared" si="929"/>
        <v>2127</v>
      </c>
      <c r="BA243" s="824">
        <f t="shared" si="929"/>
        <v>8576</v>
      </c>
      <c r="BB243" s="824">
        <f t="shared" si="929"/>
        <v>2084</v>
      </c>
      <c r="BC243" s="824">
        <f t="shared" si="929"/>
        <v>1984</v>
      </c>
      <c r="BD243" s="824">
        <f t="shared" si="929"/>
        <v>2194</v>
      </c>
      <c r="BE243" s="824">
        <f t="shared" si="929"/>
        <v>2190</v>
      </c>
      <c r="BF243" s="824">
        <f t="shared" si="929"/>
        <v>8452</v>
      </c>
      <c r="BG243" s="824">
        <f t="shared" si="929"/>
        <v>2316</v>
      </c>
      <c r="BH243" s="824">
        <f t="shared" si="929"/>
        <v>2353</v>
      </c>
      <c r="BI243" s="824">
        <f t="shared" si="929"/>
        <v>2426</v>
      </c>
      <c r="BJ243" s="824">
        <f t="shared" si="929"/>
        <v>2376</v>
      </c>
      <c r="BK243" s="824">
        <f t="shared" si="929"/>
        <v>9471</v>
      </c>
      <c r="BL243" s="824">
        <f t="shared" si="929"/>
        <v>2031.807</v>
      </c>
      <c r="BM243" s="824">
        <f t="shared" si="929"/>
        <v>2073.114</v>
      </c>
      <c r="BN243" s="824">
        <f t="shared" si="929"/>
        <v>1903.2230000000004</v>
      </c>
      <c r="BO243" s="824">
        <f t="shared" si="929"/>
        <v>1965.4920000000002</v>
      </c>
      <c r="BP243" s="824">
        <f t="shared" si="929"/>
        <v>7973.6360000000004</v>
      </c>
      <c r="BQ243" s="824">
        <f t="shared" si="929"/>
        <v>1974.0309999999999</v>
      </c>
      <c r="BR243" s="824">
        <f t="shared" si="929"/>
        <v>1952.8670000000002</v>
      </c>
      <c r="BS243" s="824">
        <f t="shared" si="929"/>
        <v>2023.4769999999999</v>
      </c>
      <c r="BT243" s="824">
        <f t="shared" si="929"/>
        <v>2039.165</v>
      </c>
      <c r="BU243" s="824">
        <f t="shared" ref="BU243:CA243" si="930">BU403</f>
        <v>7989.54</v>
      </c>
      <c r="BV243" s="824">
        <f t="shared" si="930"/>
        <v>1991.962</v>
      </c>
      <c r="BW243" s="824">
        <f t="shared" si="930"/>
        <v>2071.2170000000001</v>
      </c>
      <c r="BX243" s="824">
        <f t="shared" si="930"/>
        <v>2011.1539999999995</v>
      </c>
      <c r="BY243" s="824">
        <f t="shared" si="930"/>
        <v>1659.6140000000005</v>
      </c>
      <c r="BZ243" s="824">
        <f t="shared" si="930"/>
        <v>7733.9470000000001</v>
      </c>
      <c r="CA243" s="824">
        <f t="shared" si="930"/>
        <v>2335.9679999999998</v>
      </c>
      <c r="CB243" s="824">
        <f t="shared" ref="CB243:CC243" si="931">CB403</f>
        <v>2140.7280000000001</v>
      </c>
      <c r="CC243" s="824">
        <f t="shared" si="931"/>
        <v>2181.0619999999999</v>
      </c>
      <c r="CD243" s="824">
        <f t="shared" ref="CD243:CE243" si="932">CD403</f>
        <v>2337.8880000000008</v>
      </c>
      <c r="CE243" s="824">
        <f t="shared" si="932"/>
        <v>8995.6460000000006</v>
      </c>
      <c r="CF243" s="824">
        <f t="shared" ref="CF243:CG243" si="933">CF403</f>
        <v>2227.2489999999998</v>
      </c>
      <c r="CG243" s="824">
        <f t="shared" si="933"/>
        <v>2173.79</v>
      </c>
      <c r="CH243" s="824">
        <f t="shared" ref="CH243:CK243" si="934">CH403</f>
        <v>2224.5370000000003</v>
      </c>
      <c r="CI243" s="824">
        <f t="shared" si="934"/>
        <v>2316.7470000000003</v>
      </c>
      <c r="CJ243" s="824">
        <f t="shared" si="934"/>
        <v>8942.3230000000003</v>
      </c>
      <c r="CK243" s="824">
        <f t="shared" si="934"/>
        <v>2341.8539999999998</v>
      </c>
      <c r="CL243" s="824">
        <f t="shared" ref="CL243" si="935">CL403</f>
        <v>3023.7159999999999</v>
      </c>
      <c r="CM243" s="824">
        <f t="shared" ref="CM243" si="936">CM403</f>
        <v>3309.6040000000007</v>
      </c>
      <c r="CN243" s="824">
        <f t="shared" ref="CN243" si="937">CM243</f>
        <v>3309.6040000000007</v>
      </c>
      <c r="CO243" s="824">
        <f t="shared" ref="CO243:CT243" si="938">CO403</f>
        <v>11680.37910379075</v>
      </c>
      <c r="CP243" s="824">
        <f t="shared" si="938"/>
        <v>12529.604238891536</v>
      </c>
      <c r="CQ243" s="824">
        <f t="shared" si="938"/>
        <v>12829.133392718957</v>
      </c>
      <c r="CR243" s="824">
        <f t="shared" si="938"/>
        <v>13130.211299745015</v>
      </c>
      <c r="CS243" s="824">
        <f t="shared" si="938"/>
        <v>13539.908290619323</v>
      </c>
      <c r="CT243" s="824">
        <f t="shared" si="938"/>
        <v>13959.673016694367</v>
      </c>
      <c r="CU243" s="347"/>
      <c r="CV243" s="1363"/>
      <c r="CW243" s="347"/>
      <c r="CX243" s="347"/>
      <c r="CY243" s="347"/>
      <c r="CZ243" s="354"/>
      <c r="DA243" s="354"/>
      <c r="DB243" s="354"/>
      <c r="DC243" s="882"/>
      <c r="DD243" s="882"/>
      <c r="DE243" s="882"/>
      <c r="DF243" s="759"/>
      <c r="DG243" s="759"/>
      <c r="DH243" s="759"/>
      <c r="DI243" s="759"/>
      <c r="DJ243" s="759"/>
      <c r="DK243" s="759"/>
      <c r="DL243" s="759"/>
      <c r="DM243" s="759"/>
    </row>
    <row r="244" spans="1:117">
      <c r="B244" s="407" t="s">
        <v>75</v>
      </c>
      <c r="C244" s="824"/>
      <c r="D244" s="824"/>
      <c r="E244" s="824"/>
      <c r="F244" s="824"/>
      <c r="G244" s="824"/>
      <c r="H244" s="824"/>
      <c r="I244" s="824">
        <f t="shared" ref="I244:AN244" si="939">I407</f>
        <v>0</v>
      </c>
      <c r="J244" s="824">
        <f t="shared" si="939"/>
        <v>0</v>
      </c>
      <c r="K244" s="824">
        <f t="shared" si="939"/>
        <v>0</v>
      </c>
      <c r="L244" s="824">
        <f t="shared" si="939"/>
        <v>0</v>
      </c>
      <c r="M244" s="824">
        <f t="shared" si="939"/>
        <v>576</v>
      </c>
      <c r="N244" s="824">
        <f t="shared" si="939"/>
        <v>0</v>
      </c>
      <c r="O244" s="824">
        <f t="shared" si="939"/>
        <v>0</v>
      </c>
      <c r="P244" s="824">
        <f t="shared" si="939"/>
        <v>0</v>
      </c>
      <c r="Q244" s="824">
        <f t="shared" si="939"/>
        <v>0</v>
      </c>
      <c r="R244" s="824">
        <f t="shared" si="939"/>
        <v>551</v>
      </c>
      <c r="S244" s="824">
        <f t="shared" si="939"/>
        <v>128</v>
      </c>
      <c r="T244" s="824">
        <f t="shared" si="939"/>
        <v>150</v>
      </c>
      <c r="U244" s="824">
        <f t="shared" si="939"/>
        <v>140</v>
      </c>
      <c r="V244" s="824">
        <f t="shared" si="939"/>
        <v>180</v>
      </c>
      <c r="W244" s="824">
        <f t="shared" si="939"/>
        <v>598</v>
      </c>
      <c r="X244" s="824">
        <f t="shared" si="939"/>
        <v>172</v>
      </c>
      <c r="Y244" s="824">
        <f t="shared" si="939"/>
        <v>163</v>
      </c>
      <c r="Z244" s="824">
        <f t="shared" si="939"/>
        <v>188</v>
      </c>
      <c r="AA244" s="824">
        <f t="shared" si="939"/>
        <v>150</v>
      </c>
      <c r="AB244" s="824">
        <f t="shared" si="939"/>
        <v>673</v>
      </c>
      <c r="AC244" s="824">
        <f t="shared" si="939"/>
        <v>127</v>
      </c>
      <c r="AD244" s="824">
        <f t="shared" si="939"/>
        <v>137</v>
      </c>
      <c r="AE244" s="824">
        <f t="shared" si="939"/>
        <v>137</v>
      </c>
      <c r="AF244" s="824">
        <f t="shared" si="939"/>
        <v>160</v>
      </c>
      <c r="AG244" s="824">
        <f t="shared" si="939"/>
        <v>561</v>
      </c>
      <c r="AH244" s="824">
        <f t="shared" si="939"/>
        <v>112</v>
      </c>
      <c r="AI244" s="824">
        <f t="shared" si="939"/>
        <v>223</v>
      </c>
      <c r="AJ244" s="824">
        <f t="shared" si="939"/>
        <v>138</v>
      </c>
      <c r="AK244" s="824">
        <f t="shared" si="939"/>
        <v>194</v>
      </c>
      <c r="AL244" s="824">
        <f t="shared" si="939"/>
        <v>667</v>
      </c>
      <c r="AM244" s="824">
        <f t="shared" si="939"/>
        <v>156</v>
      </c>
      <c r="AN244" s="824">
        <f t="shared" si="939"/>
        <v>203</v>
      </c>
      <c r="AO244" s="824">
        <f t="shared" ref="AO244:BT244" si="940">AO407</f>
        <v>158</v>
      </c>
      <c r="AP244" s="824">
        <f t="shared" si="940"/>
        <v>143</v>
      </c>
      <c r="AQ244" s="824">
        <f t="shared" si="940"/>
        <v>660</v>
      </c>
      <c r="AR244" s="824">
        <f t="shared" si="940"/>
        <v>147</v>
      </c>
      <c r="AS244" s="824">
        <f t="shared" si="940"/>
        <v>105</v>
      </c>
      <c r="AT244" s="824">
        <f t="shared" si="940"/>
        <v>114</v>
      </c>
      <c r="AU244" s="824">
        <f t="shared" si="940"/>
        <v>132</v>
      </c>
      <c r="AV244" s="824">
        <f t="shared" si="940"/>
        <v>498</v>
      </c>
      <c r="AW244" s="824">
        <f t="shared" si="940"/>
        <v>121</v>
      </c>
      <c r="AX244" s="824">
        <f t="shared" si="940"/>
        <v>163</v>
      </c>
      <c r="AY244" s="824">
        <f t="shared" si="940"/>
        <v>151</v>
      </c>
      <c r="AZ244" s="824">
        <f t="shared" si="940"/>
        <v>117</v>
      </c>
      <c r="BA244" s="824">
        <f t="shared" si="940"/>
        <v>552</v>
      </c>
      <c r="BB244" s="824">
        <f t="shared" si="940"/>
        <v>110</v>
      </c>
      <c r="BC244" s="824">
        <f t="shared" si="940"/>
        <v>110</v>
      </c>
      <c r="BD244" s="824">
        <f t="shared" si="940"/>
        <v>110</v>
      </c>
      <c r="BE244" s="824">
        <f t="shared" si="940"/>
        <v>146</v>
      </c>
      <c r="BF244" s="824">
        <f t="shared" si="940"/>
        <v>476</v>
      </c>
      <c r="BG244" s="824">
        <f t="shared" si="940"/>
        <v>169</v>
      </c>
      <c r="BH244" s="824">
        <f t="shared" si="940"/>
        <v>136</v>
      </c>
      <c r="BI244" s="824">
        <f t="shared" si="940"/>
        <v>112</v>
      </c>
      <c r="BJ244" s="824">
        <f t="shared" si="940"/>
        <v>114</v>
      </c>
      <c r="BK244" s="824">
        <f t="shared" si="940"/>
        <v>531</v>
      </c>
      <c r="BL244" s="824">
        <f t="shared" si="940"/>
        <v>91.225999999999999</v>
      </c>
      <c r="BM244" s="824">
        <f t="shared" si="940"/>
        <v>80.394999999999996</v>
      </c>
      <c r="BN244" s="824">
        <f t="shared" si="940"/>
        <v>71.702000000000012</v>
      </c>
      <c r="BO244" s="824">
        <f t="shared" si="940"/>
        <v>91.895000000000024</v>
      </c>
      <c r="BP244" s="824">
        <f t="shared" si="940"/>
        <v>335.21800000000002</v>
      </c>
      <c r="BQ244" s="824">
        <f t="shared" si="940"/>
        <v>52.914999999999999</v>
      </c>
      <c r="BR244" s="824">
        <f t="shared" si="940"/>
        <v>77.344999999999999</v>
      </c>
      <c r="BS244" s="824">
        <f t="shared" si="940"/>
        <v>91.066000000000003</v>
      </c>
      <c r="BT244" s="824">
        <f t="shared" si="940"/>
        <v>77.476000000000028</v>
      </c>
      <c r="BU244" s="824">
        <f t="shared" ref="BU244:CA244" si="941">BU407</f>
        <v>298.80200000000002</v>
      </c>
      <c r="BV244" s="824">
        <f t="shared" si="941"/>
        <v>85.759</v>
      </c>
      <c r="BW244" s="824">
        <f t="shared" si="941"/>
        <v>92.792999999999992</v>
      </c>
      <c r="BX244" s="824">
        <f t="shared" si="941"/>
        <v>79.390999999999977</v>
      </c>
      <c r="BY244" s="824">
        <f t="shared" si="941"/>
        <v>94.75500000000001</v>
      </c>
      <c r="BZ244" s="824">
        <f t="shared" si="941"/>
        <v>352.69799999999998</v>
      </c>
      <c r="CA244" s="824">
        <f t="shared" si="941"/>
        <v>82.908000000000001</v>
      </c>
      <c r="CB244" s="824">
        <f t="shared" ref="CB244:CC244" si="942">CB407</f>
        <v>138.358</v>
      </c>
      <c r="CC244" s="824">
        <f t="shared" si="942"/>
        <v>50.065999999999988</v>
      </c>
      <c r="CD244" s="824">
        <f t="shared" ref="CD244:CE244" si="943">CD407</f>
        <v>141.70800000000003</v>
      </c>
      <c r="CE244" s="824">
        <f t="shared" si="943"/>
        <v>413.04</v>
      </c>
      <c r="CF244" s="824">
        <f t="shared" ref="CF244:CG244" si="944">CF407</f>
        <v>101.884</v>
      </c>
      <c r="CG244" s="824">
        <f t="shared" si="944"/>
        <v>106.508</v>
      </c>
      <c r="CH244" s="824">
        <f t="shared" ref="CH244:CK244" si="945">CH407</f>
        <v>105.07299999999999</v>
      </c>
      <c r="CI244" s="824">
        <f t="shared" si="945"/>
        <v>141.52500000000003</v>
      </c>
      <c r="CJ244" s="824">
        <f t="shared" si="945"/>
        <v>454.99</v>
      </c>
      <c r="CK244" s="824">
        <f t="shared" si="945"/>
        <v>83.888999999999996</v>
      </c>
      <c r="CL244" s="824">
        <f t="shared" ref="CL244" si="946">CL407</f>
        <v>181.24299999999999</v>
      </c>
      <c r="CM244" s="824">
        <f t="shared" ref="CM244" si="947">CM407</f>
        <v>258.36899999999997</v>
      </c>
      <c r="CN244" s="824">
        <f t="shared" ref="CN244" si="948">CM244</f>
        <v>258.36899999999997</v>
      </c>
      <c r="CO244" s="824">
        <f t="shared" ref="CO244:CT244" si="949">CO407</f>
        <v>552.16337581556274</v>
      </c>
      <c r="CP244" s="824">
        <f t="shared" si="949"/>
        <v>614.65983058713186</v>
      </c>
      <c r="CQ244" s="824">
        <f t="shared" si="949"/>
        <v>641.45666963594783</v>
      </c>
      <c r="CR244" s="824">
        <f t="shared" si="949"/>
        <v>669.38332116347124</v>
      </c>
      <c r="CS244" s="824">
        <f t="shared" si="949"/>
        <v>698.48733245258416</v>
      </c>
      <c r="CT244" s="824">
        <f t="shared" si="949"/>
        <v>728.81826994789867</v>
      </c>
      <c r="CU244" s="347"/>
      <c r="CV244" s="1363"/>
      <c r="CW244" s="347"/>
      <c r="CX244" s="347"/>
      <c r="CY244" s="347"/>
      <c r="CZ244" s="354"/>
      <c r="DA244" s="354"/>
      <c r="DB244" s="354"/>
      <c r="DC244" s="882"/>
      <c r="DD244" s="882"/>
      <c r="DE244" s="882"/>
      <c r="DF244" s="759"/>
      <c r="DG244" s="759"/>
      <c r="DH244" s="759"/>
      <c r="DI244" s="759"/>
      <c r="DJ244" s="759"/>
      <c r="DK244" s="759"/>
      <c r="DL244" s="759"/>
      <c r="DM244" s="759"/>
    </row>
    <row r="245" spans="1:117">
      <c r="B245" s="407" t="s">
        <v>501</v>
      </c>
      <c r="C245" s="824"/>
      <c r="D245" s="824"/>
      <c r="E245" s="824"/>
      <c r="F245" s="824"/>
      <c r="G245" s="824"/>
      <c r="H245" s="824"/>
      <c r="I245" s="824"/>
      <c r="J245" s="824"/>
      <c r="K245" s="824"/>
      <c r="L245" s="824"/>
      <c r="M245" s="824">
        <f>M236-M248-SUM(M240:M244)</f>
        <v>1</v>
      </c>
      <c r="N245" s="824"/>
      <c r="O245" s="824"/>
      <c r="P245" s="824"/>
      <c r="Q245" s="824"/>
      <c r="R245" s="824">
        <f t="shared" ref="R245:AW245" si="950">R236-R248-SUM(R240:R244)</f>
        <v>2</v>
      </c>
      <c r="S245" s="824">
        <f t="shared" si="950"/>
        <v>-1</v>
      </c>
      <c r="T245" s="824">
        <f t="shared" si="950"/>
        <v>-2</v>
      </c>
      <c r="U245" s="824">
        <f t="shared" si="950"/>
        <v>5</v>
      </c>
      <c r="V245" s="824">
        <f t="shared" si="950"/>
        <v>514</v>
      </c>
      <c r="W245" s="824">
        <f t="shared" si="950"/>
        <v>2</v>
      </c>
      <c r="X245" s="824">
        <f t="shared" si="950"/>
        <v>29</v>
      </c>
      <c r="Y245" s="824">
        <f t="shared" si="950"/>
        <v>-28</v>
      </c>
      <c r="Z245" s="824">
        <f t="shared" si="950"/>
        <v>-76</v>
      </c>
      <c r="AA245" s="824">
        <f t="shared" si="950"/>
        <v>76</v>
      </c>
      <c r="AB245" s="824">
        <f t="shared" si="950"/>
        <v>1</v>
      </c>
      <c r="AC245" s="824">
        <f t="shared" si="950"/>
        <v>737</v>
      </c>
      <c r="AD245" s="824">
        <f t="shared" si="950"/>
        <v>786</v>
      </c>
      <c r="AE245" s="824">
        <f t="shared" si="950"/>
        <v>869</v>
      </c>
      <c r="AF245" s="824">
        <f t="shared" si="950"/>
        <v>927</v>
      </c>
      <c r="AG245" s="824">
        <f t="shared" si="950"/>
        <v>1</v>
      </c>
      <c r="AH245" s="824">
        <f t="shared" si="950"/>
        <v>-7</v>
      </c>
      <c r="AI245" s="824">
        <f t="shared" si="950"/>
        <v>9</v>
      </c>
      <c r="AJ245" s="824">
        <f t="shared" si="950"/>
        <v>11</v>
      </c>
      <c r="AK245" s="824">
        <f t="shared" si="950"/>
        <v>-12</v>
      </c>
      <c r="AL245" s="824">
        <f t="shared" si="950"/>
        <v>1</v>
      </c>
      <c r="AM245" s="824">
        <f t="shared" si="950"/>
        <v>1</v>
      </c>
      <c r="AN245" s="824">
        <f t="shared" si="950"/>
        <v>-1</v>
      </c>
      <c r="AO245" s="824">
        <f t="shared" si="950"/>
        <v>-1</v>
      </c>
      <c r="AP245" s="824">
        <f t="shared" si="950"/>
        <v>20</v>
      </c>
      <c r="AQ245" s="824">
        <f t="shared" si="950"/>
        <v>19</v>
      </c>
      <c r="AR245" s="824">
        <f t="shared" si="950"/>
        <v>0</v>
      </c>
      <c r="AS245" s="824">
        <f t="shared" si="950"/>
        <v>1</v>
      </c>
      <c r="AT245" s="824">
        <f t="shared" si="950"/>
        <v>0</v>
      </c>
      <c r="AU245" s="824">
        <f t="shared" si="950"/>
        <v>-1</v>
      </c>
      <c r="AV245" s="824">
        <f t="shared" si="950"/>
        <v>0</v>
      </c>
      <c r="AW245" s="824">
        <f t="shared" si="950"/>
        <v>0</v>
      </c>
      <c r="AX245" s="824">
        <f t="shared" ref="AX245:CB245" si="951">AX236-AX248-SUM(AX240:AX244)</f>
        <v>0</v>
      </c>
      <c r="AY245" s="824">
        <f t="shared" si="951"/>
        <v>-1</v>
      </c>
      <c r="AZ245" s="824">
        <f t="shared" si="951"/>
        <v>27</v>
      </c>
      <c r="BA245" s="824">
        <f t="shared" si="951"/>
        <v>26</v>
      </c>
      <c r="BB245" s="824">
        <f t="shared" si="951"/>
        <v>-0.63500000000021828</v>
      </c>
      <c r="BC245" s="824">
        <f t="shared" si="951"/>
        <v>0.67699999999967986</v>
      </c>
      <c r="BD245" s="824">
        <f t="shared" si="951"/>
        <v>0.17000000000007276</v>
      </c>
      <c r="BE245" s="824">
        <f t="shared" si="951"/>
        <v>0.6000000000003638</v>
      </c>
      <c r="BF245" s="824">
        <f t="shared" si="951"/>
        <v>0.81199999999807915</v>
      </c>
      <c r="BG245" s="824">
        <f t="shared" si="951"/>
        <v>-0.77599999999983993</v>
      </c>
      <c r="BH245" s="824">
        <f t="shared" si="951"/>
        <v>0.60499999999956344</v>
      </c>
      <c r="BI245" s="824">
        <f t="shared" si="951"/>
        <v>0.6930000000011205</v>
      </c>
      <c r="BJ245" s="824">
        <f t="shared" si="951"/>
        <v>0.32999999999992724</v>
      </c>
      <c r="BK245" s="824">
        <f t="shared" si="951"/>
        <v>0.85199999999895226</v>
      </c>
      <c r="BL245" s="824">
        <f t="shared" si="951"/>
        <v>-2.3000000000592991E-2</v>
      </c>
      <c r="BM245" s="824">
        <f t="shared" si="951"/>
        <v>1.9999999999527063E-3</v>
      </c>
      <c r="BN245" s="824">
        <f t="shared" si="951"/>
        <v>-0.10800000000017462</v>
      </c>
      <c r="BO245" s="824">
        <f t="shared" si="951"/>
        <v>0.15500000000110958</v>
      </c>
      <c r="BP245" s="824">
        <f t="shared" si="951"/>
        <v>2.5999999999839929E-2</v>
      </c>
      <c r="BQ245" s="824">
        <f t="shared" si="951"/>
        <v>-0.21099999999978536</v>
      </c>
      <c r="BR245" s="824">
        <f t="shared" si="951"/>
        <v>-0.18699999999944339</v>
      </c>
      <c r="BS245" s="824">
        <f t="shared" si="951"/>
        <v>-6.6000000000258296E-2</v>
      </c>
      <c r="BT245" s="824">
        <f t="shared" si="951"/>
        <v>0.24899999999979627</v>
      </c>
      <c r="BU245" s="824">
        <f t="shared" si="951"/>
        <v>-0.21499999999650754</v>
      </c>
      <c r="BV245" s="824">
        <f t="shared" si="951"/>
        <v>-9.6000000000003638E-2</v>
      </c>
      <c r="BW245" s="824">
        <f t="shared" si="951"/>
        <v>0.44299999999884676</v>
      </c>
      <c r="BX245" s="824">
        <f t="shared" si="951"/>
        <v>-0.25299999999560896</v>
      </c>
      <c r="BY245" s="824">
        <f t="shared" si="951"/>
        <v>0.25099999999792999</v>
      </c>
      <c r="BZ245" s="824">
        <f t="shared" si="951"/>
        <v>0.34500000000298314</v>
      </c>
      <c r="CA245" s="824">
        <f t="shared" si="951"/>
        <v>0.14599999999973079</v>
      </c>
      <c r="CB245" s="824">
        <f t="shared" si="951"/>
        <v>-0.19699999999829743</v>
      </c>
      <c r="CC245" s="824">
        <f t="shared" ref="CC245:CE245" si="952">CC236-CC248-SUM(CC240:CC244)</f>
        <v>-0.25100000000020373</v>
      </c>
      <c r="CD245" s="824">
        <f t="shared" si="952"/>
        <v>3.0000000001564331E-2</v>
      </c>
      <c r="CE245" s="824">
        <f t="shared" si="952"/>
        <v>-0.27199999999356805</v>
      </c>
      <c r="CF245" s="824">
        <f t="shared" ref="CF245:CG245" si="953">CF236-CF248-SUM(CF240:CF244)</f>
        <v>0.35400000000026921</v>
      </c>
      <c r="CG245" s="824">
        <f t="shared" si="953"/>
        <v>0.43700000000171713</v>
      </c>
      <c r="CH245" s="824">
        <f t="shared" ref="CH245:CK245" si="954">CH236-CH248-SUM(CH240:CH244)</f>
        <v>-0.21200000000180808</v>
      </c>
      <c r="CI245" s="824">
        <f t="shared" si="954"/>
        <v>0.25900000000183354</v>
      </c>
      <c r="CJ245" s="824">
        <f t="shared" si="954"/>
        <v>0.83799999999973807</v>
      </c>
      <c r="CK245" s="824">
        <f t="shared" si="954"/>
        <v>7.8999999999723514E-2</v>
      </c>
      <c r="CL245" s="824">
        <f t="shared" ref="CL245" si="955">CL236-CL248-SUM(CL240:CL244)</f>
        <v>-0.32599999999911233</v>
      </c>
      <c r="CM245" s="824">
        <f t="shared" ref="CM245" si="956">CM236-CM248-SUM(CM240:CM244)</f>
        <v>-0.59600000000136788</v>
      </c>
      <c r="CN245" s="824"/>
      <c r="CO245" s="1350">
        <v>1500</v>
      </c>
      <c r="CP245" s="1350">
        <v>1000</v>
      </c>
      <c r="CQ245" s="1350">
        <v>750</v>
      </c>
      <c r="CR245" s="828"/>
      <c r="CS245" s="828"/>
      <c r="CT245" s="828"/>
      <c r="CU245" s="347"/>
      <c r="CV245" s="1363"/>
      <c r="CW245" s="347"/>
      <c r="CY245" s="347">
        <f>XLSmart!O119</f>
        <v>-204.12000000000003</v>
      </c>
      <c r="CZ245" s="347">
        <f>XLSmart!P119</f>
        <v>-408.24000000000007</v>
      </c>
      <c r="DA245" s="347">
        <f>XLSmart!Q119</f>
        <v>-306.18000000000006</v>
      </c>
      <c r="DB245" s="347">
        <f>XLSmart!R119</f>
        <v>-102.06000000000002</v>
      </c>
      <c r="DC245" s="347">
        <f>XLSmart!S119</f>
        <v>0</v>
      </c>
      <c r="DD245" s="882"/>
      <c r="DE245" s="882"/>
      <c r="DF245" s="759"/>
      <c r="DG245" s="759"/>
      <c r="DH245" s="759"/>
      <c r="DI245" s="759"/>
      <c r="DJ245" s="759"/>
      <c r="DK245" s="759"/>
      <c r="DL245" s="759"/>
      <c r="DM245" s="759"/>
    </row>
    <row r="246" spans="1:117">
      <c r="B246" s="452" t="s">
        <v>76</v>
      </c>
      <c r="C246" s="827">
        <f>C411</f>
        <v>4480</v>
      </c>
      <c r="D246" s="827">
        <f t="shared" ref="D246:L246" si="957">D411</f>
        <v>0</v>
      </c>
      <c r="E246" s="827">
        <f t="shared" si="957"/>
        <v>0</v>
      </c>
      <c r="F246" s="827">
        <f t="shared" si="957"/>
        <v>0</v>
      </c>
      <c r="G246" s="827">
        <f t="shared" si="957"/>
        <v>0</v>
      </c>
      <c r="H246" s="827">
        <f t="shared" si="957"/>
        <v>6930</v>
      </c>
      <c r="I246" s="827">
        <f t="shared" si="957"/>
        <v>0</v>
      </c>
      <c r="J246" s="827">
        <f t="shared" si="957"/>
        <v>0</v>
      </c>
      <c r="K246" s="827">
        <f t="shared" si="957"/>
        <v>0</v>
      </c>
      <c r="L246" s="827">
        <f t="shared" si="957"/>
        <v>0</v>
      </c>
      <c r="M246" s="826">
        <f>SUM(M240:M244)</f>
        <v>7501</v>
      </c>
      <c r="N246" s="826">
        <f t="shared" ref="N246:Q246" si="958">SUM(N240:N244)</f>
        <v>0</v>
      </c>
      <c r="O246" s="826">
        <f t="shared" si="958"/>
        <v>0</v>
      </c>
      <c r="P246" s="826">
        <f t="shared" si="958"/>
        <v>0</v>
      </c>
      <c r="Q246" s="826">
        <f t="shared" si="958"/>
        <v>0</v>
      </c>
      <c r="R246" s="826">
        <f>SUM(R240:R244)</f>
        <v>8171</v>
      </c>
      <c r="S246" s="826">
        <f t="shared" ref="S246:V246" si="959">SUM(S240:S244)</f>
        <v>2120</v>
      </c>
      <c r="T246" s="826">
        <f t="shared" si="959"/>
        <v>2160</v>
      </c>
      <c r="U246" s="826">
        <f t="shared" si="959"/>
        <v>2505</v>
      </c>
      <c r="V246" s="826">
        <f t="shared" si="959"/>
        <v>2127</v>
      </c>
      <c r="W246" s="826">
        <f>SUM(W240:W244)</f>
        <v>8912</v>
      </c>
      <c r="X246" s="826">
        <f t="shared" ref="X246:AA246" si="960">SUM(X240:X244)</f>
        <v>2473</v>
      </c>
      <c r="Y246" s="826">
        <f t="shared" si="960"/>
        <v>2711</v>
      </c>
      <c r="Z246" s="826">
        <f t="shared" si="960"/>
        <v>3145</v>
      </c>
      <c r="AA246" s="826">
        <f t="shared" si="960"/>
        <v>2894</v>
      </c>
      <c r="AB246" s="826">
        <f>SUM(AB240:AB244)</f>
        <v>11223</v>
      </c>
      <c r="AC246" s="826">
        <f>SUM(AC240:AC245)</f>
        <v>3733</v>
      </c>
      <c r="AD246" s="826">
        <f t="shared" ref="AD246:CT246" si="961">SUM(AD240:AD245)</f>
        <v>3916</v>
      </c>
      <c r="AE246" s="826">
        <f t="shared" si="961"/>
        <v>4133</v>
      </c>
      <c r="AF246" s="826">
        <f t="shared" si="961"/>
        <v>4143</v>
      </c>
      <c r="AG246" s="826">
        <f t="shared" si="961"/>
        <v>12607</v>
      </c>
      <c r="AH246" s="826">
        <f t="shared" si="961"/>
        <v>3306</v>
      </c>
      <c r="AI246" s="826">
        <f t="shared" si="961"/>
        <v>3980</v>
      </c>
      <c r="AJ246" s="826">
        <f t="shared" si="961"/>
        <v>3945</v>
      </c>
      <c r="AK246" s="826">
        <f t="shared" si="961"/>
        <v>3606</v>
      </c>
      <c r="AL246" s="826">
        <f t="shared" si="961"/>
        <v>14837</v>
      </c>
      <c r="AM246" s="826">
        <f t="shared" si="961"/>
        <v>3604</v>
      </c>
      <c r="AN246" s="826">
        <f t="shared" si="961"/>
        <v>3611</v>
      </c>
      <c r="AO246" s="826">
        <f t="shared" si="961"/>
        <v>3634</v>
      </c>
      <c r="AP246" s="826">
        <f t="shared" si="961"/>
        <v>3653</v>
      </c>
      <c r="AQ246" s="826">
        <f t="shared" si="961"/>
        <v>14502</v>
      </c>
      <c r="AR246" s="826">
        <f t="shared" si="961"/>
        <v>3424</v>
      </c>
      <c r="AS246" s="826">
        <f t="shared" si="961"/>
        <v>3174</v>
      </c>
      <c r="AT246" s="826">
        <f t="shared" si="961"/>
        <v>3250</v>
      </c>
      <c r="AU246" s="826">
        <f t="shared" si="961"/>
        <v>3436</v>
      </c>
      <c r="AV246" s="826">
        <f t="shared" si="961"/>
        <v>13284</v>
      </c>
      <c r="AW246" s="826">
        <f t="shared" si="961"/>
        <v>3418</v>
      </c>
      <c r="AX246" s="826">
        <f t="shared" si="961"/>
        <v>3594</v>
      </c>
      <c r="AY246" s="826">
        <f t="shared" si="961"/>
        <v>3689</v>
      </c>
      <c r="AZ246" s="826">
        <f t="shared" si="961"/>
        <v>3879</v>
      </c>
      <c r="BA246" s="826">
        <f t="shared" si="961"/>
        <v>14580</v>
      </c>
      <c r="BB246" s="826">
        <f t="shared" si="961"/>
        <v>3515.3649999999998</v>
      </c>
      <c r="BC246" s="826">
        <f t="shared" si="961"/>
        <v>3544.6769999999997</v>
      </c>
      <c r="BD246" s="826">
        <f t="shared" si="961"/>
        <v>3670.17</v>
      </c>
      <c r="BE246" s="826">
        <f t="shared" si="961"/>
        <v>3695.6000000000004</v>
      </c>
      <c r="BF246" s="826">
        <f t="shared" si="961"/>
        <v>14425.811999999998</v>
      </c>
      <c r="BG246" s="826">
        <f t="shared" si="961"/>
        <v>3688.2240000000002</v>
      </c>
      <c r="BH246" s="826">
        <f t="shared" si="961"/>
        <v>3818.6049999999996</v>
      </c>
      <c r="BI246" s="826">
        <f t="shared" si="961"/>
        <v>3855.6930000000011</v>
      </c>
      <c r="BJ246" s="826">
        <f t="shared" si="961"/>
        <v>3804.33</v>
      </c>
      <c r="BK246" s="826">
        <f t="shared" si="961"/>
        <v>15166.851999999999</v>
      </c>
      <c r="BL246" s="826">
        <f t="shared" si="961"/>
        <v>3313.1509999999998</v>
      </c>
      <c r="BM246" s="826">
        <f t="shared" si="961"/>
        <v>3279.009</v>
      </c>
      <c r="BN246" s="826">
        <f t="shared" si="961"/>
        <v>3168.991</v>
      </c>
      <c r="BO246" s="826">
        <f t="shared" si="961"/>
        <v>3187.9440000000013</v>
      </c>
      <c r="BP246" s="826">
        <f t="shared" si="961"/>
        <v>12949.095000000001</v>
      </c>
      <c r="BQ246" s="826">
        <f t="shared" si="961"/>
        <v>3128.3630000000003</v>
      </c>
      <c r="BR246" s="826">
        <f t="shared" si="961"/>
        <v>3357.8360000000002</v>
      </c>
      <c r="BS246" s="826">
        <f t="shared" si="961"/>
        <v>3407.9939999999997</v>
      </c>
      <c r="BT246" s="826">
        <f t="shared" si="961"/>
        <v>3572.857</v>
      </c>
      <c r="BU246" s="826">
        <f t="shared" si="961"/>
        <v>13467.050000000003</v>
      </c>
      <c r="BV246" s="826">
        <f t="shared" si="961"/>
        <v>3568.0590000000002</v>
      </c>
      <c r="BW246" s="826">
        <f t="shared" si="961"/>
        <v>3772.7409999999991</v>
      </c>
      <c r="BX246" s="826">
        <f t="shared" si="961"/>
        <v>3877.600000000004</v>
      </c>
      <c r="BY246" s="826">
        <f t="shared" si="961"/>
        <v>3688.5939999999982</v>
      </c>
      <c r="BZ246" s="826">
        <f t="shared" si="961"/>
        <v>14906.994000000002</v>
      </c>
      <c r="CA246" s="826">
        <f t="shared" si="961"/>
        <v>3964.3239999999996</v>
      </c>
      <c r="CB246" s="826">
        <f t="shared" ref="CB246:CC246" si="962">SUM(CB240:CB245)</f>
        <v>4148.2030000000013</v>
      </c>
      <c r="CC246" s="826">
        <f t="shared" si="962"/>
        <v>4000.2769999999991</v>
      </c>
      <c r="CD246" s="826">
        <f t="shared" ref="CD246:CE246" si="963">SUM(CD240:CD245)</f>
        <v>4324.8470000000016</v>
      </c>
      <c r="CE246" s="826">
        <f t="shared" si="963"/>
        <v>16437.651000000005</v>
      </c>
      <c r="CF246" s="826">
        <f t="shared" ref="CF246:CG246" si="964">SUM(CF240:CF245)</f>
        <v>3984.2849999999999</v>
      </c>
      <c r="CG246" s="826">
        <f t="shared" si="964"/>
        <v>4110.3120000000017</v>
      </c>
      <c r="CH246" s="826">
        <f t="shared" ref="CH246:CK246" si="965">SUM(CH240:CH245)</f>
        <v>3970.8139999999985</v>
      </c>
      <c r="CI246" s="826">
        <f t="shared" si="965"/>
        <v>4447.1860000000015</v>
      </c>
      <c r="CJ246" s="826">
        <f t="shared" si="965"/>
        <v>16512.597000000002</v>
      </c>
      <c r="CK246" s="826">
        <f t="shared" si="965"/>
        <v>4280.1769999999997</v>
      </c>
      <c r="CL246" s="826">
        <f t="shared" ref="CL246" si="966">SUM(CL240:CL245)</f>
        <v>6006.7170000000006</v>
      </c>
      <c r="CM246" s="826">
        <f t="shared" ref="CM246" si="967">SUM(CM240:CM245)</f>
        <v>6594.5689999999995</v>
      </c>
      <c r="CN246" s="826"/>
      <c r="CO246" s="826">
        <f t="shared" si="961"/>
        <v>23926.32787927824</v>
      </c>
      <c r="CP246" s="826">
        <f t="shared" si="961"/>
        <v>25255.422545476824</v>
      </c>
      <c r="CQ246" s="826">
        <f t="shared" si="961"/>
        <v>25076.010625424791</v>
      </c>
      <c r="CR246" s="826">
        <f t="shared" si="961"/>
        <v>24870.164932458203</v>
      </c>
      <c r="CS246" s="826">
        <f t="shared" si="961"/>
        <v>25790.30150594157</v>
      </c>
      <c r="CT246" s="826">
        <f t="shared" si="961"/>
        <v>26742.024212703669</v>
      </c>
      <c r="CU246" s="347"/>
      <c r="CV246" s="1363"/>
      <c r="CW246" s="347"/>
      <c r="CX246" s="347"/>
      <c r="CY246" s="347"/>
      <c r="CZ246" s="354"/>
      <c r="DA246" s="354"/>
      <c r="DB246" s="354"/>
      <c r="DC246" s="882"/>
      <c r="DD246" s="882"/>
      <c r="DE246" s="882"/>
      <c r="DF246" s="759"/>
      <c r="DG246" s="759"/>
      <c r="DH246" s="759"/>
      <c r="DI246" s="759"/>
      <c r="DJ246" s="759"/>
      <c r="DK246" s="759"/>
      <c r="DL246" s="759"/>
      <c r="DM246" s="759"/>
    </row>
    <row r="247" spans="1:117">
      <c r="B247" s="407"/>
      <c r="C247" s="824"/>
      <c r="D247" s="824"/>
      <c r="E247" s="824"/>
      <c r="F247" s="824"/>
      <c r="G247" s="824"/>
      <c r="H247" s="824"/>
      <c r="I247" s="824"/>
      <c r="J247" s="824"/>
      <c r="K247" s="824"/>
      <c r="L247" s="824"/>
      <c r="M247" s="824"/>
      <c r="N247" s="824"/>
      <c r="O247" s="824"/>
      <c r="P247" s="824"/>
      <c r="Q247" s="824"/>
      <c r="R247" s="824"/>
      <c r="S247" s="824"/>
      <c r="T247" s="824"/>
      <c r="U247" s="824"/>
      <c r="V247" s="824"/>
      <c r="W247" s="824"/>
      <c r="X247" s="824"/>
      <c r="Y247" s="824"/>
      <c r="Z247" s="824"/>
      <c r="AA247" s="824"/>
      <c r="AB247" s="824"/>
      <c r="AC247" s="824"/>
      <c r="AD247" s="824"/>
      <c r="AE247" s="824"/>
      <c r="AF247" s="824"/>
      <c r="AG247" s="824"/>
      <c r="AH247" s="824"/>
      <c r="AI247" s="824"/>
      <c r="AJ247" s="824"/>
      <c r="AK247" s="824"/>
      <c r="AL247" s="824"/>
      <c r="AM247" s="824"/>
      <c r="AN247" s="824"/>
      <c r="AO247" s="824"/>
      <c r="AP247" s="824"/>
      <c r="AQ247" s="824"/>
      <c r="AR247" s="824"/>
      <c r="AS247" s="824"/>
      <c r="AT247" s="824"/>
      <c r="AU247" s="824"/>
      <c r="AV247" s="824"/>
      <c r="AW247" s="824"/>
      <c r="AX247" s="824"/>
      <c r="AY247" s="824"/>
      <c r="AZ247" s="824"/>
      <c r="BA247" s="824"/>
      <c r="BB247" s="824"/>
      <c r="BC247" s="824"/>
      <c r="BD247" s="824"/>
      <c r="BE247" s="824"/>
      <c r="BF247" s="824"/>
      <c r="BG247" s="824"/>
      <c r="BH247" s="824"/>
      <c r="BI247" s="824"/>
      <c r="BJ247" s="824"/>
      <c r="BK247" s="824"/>
      <c r="BL247" s="824"/>
      <c r="BM247" s="824"/>
      <c r="BN247" s="824"/>
      <c r="BO247" s="824"/>
      <c r="BP247" s="824"/>
      <c r="BQ247" s="824"/>
      <c r="BR247" s="824"/>
      <c r="BS247" s="824"/>
      <c r="BT247" s="824"/>
      <c r="BU247" s="824"/>
      <c r="BV247" s="824"/>
      <c r="BW247" s="824"/>
      <c r="BX247" s="824"/>
      <c r="BY247" s="824"/>
      <c r="BZ247" s="824"/>
      <c r="CA247" s="824"/>
      <c r="CB247" s="824"/>
      <c r="CC247" s="824"/>
      <c r="CD247" s="824"/>
      <c r="CE247" s="824"/>
      <c r="CF247" s="824"/>
      <c r="CG247" s="824"/>
      <c r="CH247" s="824"/>
      <c r="CI247" s="824"/>
      <c r="CJ247" s="824"/>
      <c r="CK247" s="824"/>
      <c r="CL247" s="824"/>
      <c r="CM247" s="824"/>
      <c r="CN247" s="824"/>
      <c r="CO247" s="824"/>
      <c r="CP247" s="824"/>
      <c r="CQ247" s="824"/>
      <c r="CR247" s="824"/>
      <c r="CS247" s="824"/>
      <c r="CT247" s="824"/>
      <c r="CU247" s="347"/>
      <c r="CV247" s="1363"/>
      <c r="CW247" s="347"/>
      <c r="CX247" s="347">
        <v>2025</v>
      </c>
      <c r="CY247" s="347">
        <f>CX247+1</f>
        <v>2026</v>
      </c>
      <c r="CZ247" s="347">
        <f t="shared" ref="CZ247:DA247" si="968">CY247+1</f>
        <v>2027</v>
      </c>
      <c r="DA247" s="347">
        <f t="shared" si="968"/>
        <v>2028</v>
      </c>
      <c r="DB247" s="347">
        <f t="shared" ref="DB247" si="969">DA247+1</f>
        <v>2029</v>
      </c>
      <c r="DC247" s="347">
        <f t="shared" ref="DC247" si="970">DB247+1</f>
        <v>2030</v>
      </c>
      <c r="DD247" s="882"/>
      <c r="DE247" s="882"/>
      <c r="DF247" s="759"/>
      <c r="DG247" s="759"/>
      <c r="DH247" s="759"/>
      <c r="DI247" s="759"/>
      <c r="DJ247" s="759"/>
      <c r="DK247" s="759"/>
      <c r="DL247" s="759"/>
      <c r="DM247" s="759"/>
    </row>
    <row r="248" spans="1:117" s="399" customFormat="1">
      <c r="A248" s="769"/>
      <c r="B248" s="462" t="s">
        <v>2</v>
      </c>
      <c r="C248" s="829">
        <v>3509</v>
      </c>
      <c r="D248" s="830">
        <v>1134</v>
      </c>
      <c r="E248" s="830">
        <v>1490</v>
      </c>
      <c r="F248" s="830">
        <v>1486</v>
      </c>
      <c r="G248" s="830">
        <v>1022</v>
      </c>
      <c r="H248" s="829">
        <v>5132</v>
      </c>
      <c r="I248" s="830">
        <v>1113</v>
      </c>
      <c r="J248" s="830">
        <v>1455</v>
      </c>
      <c r="K248" s="830">
        <v>1672</v>
      </c>
      <c r="L248" s="830">
        <v>1965</v>
      </c>
      <c r="M248" s="829">
        <v>6205</v>
      </c>
      <c r="N248" s="830">
        <v>2142</v>
      </c>
      <c r="O248" s="830">
        <v>2288</v>
      </c>
      <c r="P248" s="830">
        <v>2362</v>
      </c>
      <c r="Q248" s="830">
        <v>2495</v>
      </c>
      <c r="R248" s="829">
        <v>9287</v>
      </c>
      <c r="S248" s="830">
        <v>2363</v>
      </c>
      <c r="T248" s="830">
        <v>2395</v>
      </c>
      <c r="U248" s="830">
        <v>2270</v>
      </c>
      <c r="V248" s="830">
        <v>2320</v>
      </c>
      <c r="W248" s="829">
        <v>9348</v>
      </c>
      <c r="X248" s="830">
        <v>2391</v>
      </c>
      <c r="Y248" s="830">
        <v>2546</v>
      </c>
      <c r="Z248" s="830">
        <v>2505</v>
      </c>
      <c r="AA248" s="830">
        <v>2303</v>
      </c>
      <c r="AB248" s="829">
        <v>9745</v>
      </c>
      <c r="AC248" s="830">
        <v>2025</v>
      </c>
      <c r="AD248" s="830">
        <v>2139</v>
      </c>
      <c r="AE248" s="830">
        <v>2255</v>
      </c>
      <c r="AF248" s="830">
        <v>2240</v>
      </c>
      <c r="AG248" s="829">
        <v>8659</v>
      </c>
      <c r="AH248" s="830">
        <v>2201</v>
      </c>
      <c r="AI248" s="830">
        <v>2061</v>
      </c>
      <c r="AJ248" s="830">
        <v>2061</v>
      </c>
      <c r="AK248" s="830">
        <v>2300</v>
      </c>
      <c r="AL248" s="829">
        <v>8623</v>
      </c>
      <c r="AM248" s="830">
        <v>1877</v>
      </c>
      <c r="AN248" s="830">
        <v>2000</v>
      </c>
      <c r="AO248" s="830">
        <v>2196</v>
      </c>
      <c r="AP248" s="830">
        <v>2320</v>
      </c>
      <c r="AQ248" s="829">
        <v>8393</v>
      </c>
      <c r="AR248" s="830">
        <v>2192</v>
      </c>
      <c r="AS248" s="830">
        <v>2064</v>
      </c>
      <c r="AT248" s="830">
        <v>1980</v>
      </c>
      <c r="AU248" s="830">
        <f>AV248-AT248-AS248-AR248</f>
        <v>1821</v>
      </c>
      <c r="AV248" s="829">
        <v>8057</v>
      </c>
      <c r="AW248" s="829">
        <f>'[16]Reported Group Highlights'!T$42</f>
        <v>1848</v>
      </c>
      <c r="AX248" s="829">
        <f>'[16]Reported Group Highlights'!U$42</f>
        <v>2073</v>
      </c>
      <c r="AY248" s="829">
        <f>'[16]Reported Group Highlights'!V$42</f>
        <v>2281</v>
      </c>
      <c r="AZ248" s="829">
        <f>'[16]Reported Group Highlights'!W$42</f>
        <v>2119</v>
      </c>
      <c r="BA248" s="829">
        <v>8321</v>
      </c>
      <c r="BB248" s="829">
        <f>'[16]Reported Group Highlights'!X$42</f>
        <v>1986</v>
      </c>
      <c r="BC248" s="829">
        <f>'[16]Reported Group Highlights'!Y$42</f>
        <v>2000</v>
      </c>
      <c r="BD248" s="829">
        <f>'[16]Reported Group Highlights'!Z$42</f>
        <v>2176</v>
      </c>
      <c r="BE248" s="829">
        <f>'[16]Reported Group Highlights'!AA$42</f>
        <v>2351</v>
      </c>
      <c r="BF248" s="826">
        <f>SUM(BB248:BE248)</f>
        <v>8513</v>
      </c>
      <c r="BG248" s="829">
        <f>'[16]Reported Group Highlights'!AB$42</f>
        <v>2279</v>
      </c>
      <c r="BH248" s="829">
        <f>'[16]Reported Group Highlights'!AC$42</f>
        <v>2471</v>
      </c>
      <c r="BI248" s="829">
        <f>'[16]Reported Group Highlights'!AD$42</f>
        <v>2608</v>
      </c>
      <c r="BJ248" s="829">
        <f>'[16]Reported Group Highlights'!AE$42</f>
        <v>2608</v>
      </c>
      <c r="BK248" s="826">
        <f>SUM(BG248:BJ248)</f>
        <v>9966</v>
      </c>
      <c r="BL248" s="829">
        <f>'[16]Reported Group Highlights'!AF$42</f>
        <v>3184</v>
      </c>
      <c r="BM248" s="829">
        <f>'[16]Reported Group Highlights'!AG$42</f>
        <v>3306</v>
      </c>
      <c r="BN248" s="829">
        <f>'[16]Reported Group Highlights'!AH$42</f>
        <v>3405</v>
      </c>
      <c r="BO248" s="829">
        <f>'[16]Reported Group Highlights'!AI$42</f>
        <v>3165</v>
      </c>
      <c r="BP248" s="826">
        <f>SUM(BL248:BO248)</f>
        <v>13060</v>
      </c>
      <c r="BQ248" s="829">
        <f>'[16]Reported Group Highlights'!AJ$42</f>
        <v>3119</v>
      </c>
      <c r="BR248" s="829">
        <f>'[16]Reported Group Highlights'!AK$42</f>
        <v>3369</v>
      </c>
      <c r="BS248" s="829">
        <f>'[16]Reported Group Highlights'!AL$42</f>
        <v>3418</v>
      </c>
      <c r="BT248" s="829">
        <f>'[16]Reported Group Highlights'!AM$42</f>
        <v>3381</v>
      </c>
      <c r="BU248" s="826">
        <f>SUM(BQ248:BT248)</f>
        <v>13287</v>
      </c>
      <c r="BV248" s="829">
        <f>'[16]Reported Group Highlights'!AN$42</f>
        <v>3174</v>
      </c>
      <c r="BW248" s="829">
        <f>'[16]Reported Group Highlights'!AO$42</f>
        <v>3560</v>
      </c>
      <c r="BX248" s="829">
        <f>'[16]Reported Group Highlights'!AP$42</f>
        <v>3643</v>
      </c>
      <c r="BY248" s="829">
        <f>'[16]Reported Group Highlights'!AQ$42</f>
        <v>3858</v>
      </c>
      <c r="BZ248" s="826">
        <f>SUM(BV248:BY248)</f>
        <v>14235</v>
      </c>
      <c r="CA248" s="829">
        <f>'[16]Reported Group Highlights'!AR$42</f>
        <v>3583</v>
      </c>
      <c r="CB248" s="829">
        <f>'[16]Reported Group Highlights'!AS$42</f>
        <v>4069</v>
      </c>
      <c r="CC248" s="829">
        <f>'[16]Reported Group Highlights'!AT$42</f>
        <v>4103</v>
      </c>
      <c r="CD248" s="829">
        <f>'[16]Reported Group Highlights'!AU$42</f>
        <v>4130</v>
      </c>
      <c r="CE248" s="826">
        <f>SUM(CA248:CD248)</f>
        <v>15885</v>
      </c>
      <c r="CF248" s="829">
        <f>'[16]Reported Group Highlights'!AV$42</f>
        <v>4454</v>
      </c>
      <c r="CG248" s="829">
        <f>'[16]Reported Group Highlights'!AW$42</f>
        <v>4503</v>
      </c>
      <c r="CH248" s="829">
        <f>'[16]Reported Group Highlights'!AX$42</f>
        <v>4339</v>
      </c>
      <c r="CI248" s="829">
        <f>'[16]Reported Group Highlights'!AY$42</f>
        <v>4583</v>
      </c>
      <c r="CJ248" s="826">
        <f>SUM(CF248:CI248)</f>
        <v>17879</v>
      </c>
      <c r="CK248" s="829">
        <f>'[16]Reported Group Highlights'!AZ$42</f>
        <v>4321</v>
      </c>
      <c r="CL248" s="829">
        <f>'[16]Reported Group Highlights'!BA$42</f>
        <v>4487</v>
      </c>
      <c r="CM248" s="829">
        <f>'[16]Reported Group Highlights'!BB$42</f>
        <v>4858</v>
      </c>
      <c r="CN248" s="1352">
        <f>CO248-CM248-CL248-CK248</f>
        <v>4881.7779526881241</v>
      </c>
      <c r="CO248" s="826">
        <f t="shared" ref="CO248:CT248" si="971">CO236-CO246</f>
        <v>18547.777952688124</v>
      </c>
      <c r="CP248" s="826">
        <f t="shared" si="971"/>
        <v>22026.102884302556</v>
      </c>
      <c r="CQ248" s="826">
        <f t="shared" si="971"/>
        <v>24266.810115801967</v>
      </c>
      <c r="CR248" s="826">
        <f t="shared" si="971"/>
        <v>26620.859772424206</v>
      </c>
      <c r="CS248" s="826">
        <f t="shared" si="971"/>
        <v>27939.493298103363</v>
      </c>
      <c r="CT248" s="826">
        <f t="shared" si="971"/>
        <v>29320.919629442382</v>
      </c>
      <c r="CU248" s="364"/>
      <c r="CV248" s="1362"/>
      <c r="CW248" s="364"/>
      <c r="CX248" s="364">
        <f>Old!X5</f>
        <v>20677.714631191488</v>
      </c>
      <c r="CY248" s="364">
        <f>Old!Y5</f>
        <v>23816.19512184387</v>
      </c>
      <c r="CZ248" s="364">
        <f>Old!Z5</f>
        <v>25025.885460748661</v>
      </c>
      <c r="DA248" s="364">
        <f>Old!AA5</f>
        <v>26592.193763350788</v>
      </c>
      <c r="DB248" s="364">
        <f>Old!AB5</f>
        <v>27480.438044350718</v>
      </c>
      <c r="DC248" s="364">
        <f>Old!AC5</f>
        <v>28294.364864768864</v>
      </c>
      <c r="DD248" s="1304"/>
      <c r="DE248" s="1304"/>
      <c r="DF248" s="769"/>
      <c r="DG248" s="769"/>
      <c r="DH248" s="769"/>
      <c r="DI248" s="769"/>
      <c r="DJ248" s="769"/>
      <c r="DK248" s="769"/>
      <c r="DL248" s="769"/>
      <c r="DM248" s="769"/>
    </row>
    <row r="249" spans="1:117">
      <c r="B249" s="453" t="s">
        <v>0</v>
      </c>
      <c r="C249" s="450"/>
      <c r="D249" s="450"/>
      <c r="E249" s="450"/>
      <c r="F249" s="450"/>
      <c r="G249" s="450"/>
      <c r="H249" s="450"/>
      <c r="I249" s="367"/>
      <c r="J249" s="450"/>
      <c r="K249" s="450"/>
      <c r="L249" s="450"/>
      <c r="M249" s="367"/>
      <c r="N249" s="450"/>
      <c r="O249" s="450"/>
      <c r="P249" s="450"/>
      <c r="Q249" s="450"/>
      <c r="R249" s="367">
        <f>R248/M248-1</f>
        <v>0.49669621273166809</v>
      </c>
      <c r="S249" s="367">
        <f>S248/N248-1</f>
        <v>0.10317460317460325</v>
      </c>
      <c r="T249" s="367">
        <f t="shared" ref="T249" si="972">T248/O248-1</f>
        <v>4.676573426573416E-2</v>
      </c>
      <c r="U249" s="367">
        <f t="shared" ref="U249" si="973">U248/P248-1</f>
        <v>-3.89500423370025E-2</v>
      </c>
      <c r="V249" s="367">
        <f t="shared" ref="V249" si="974">V248/Q248-1</f>
        <v>-7.0140280561122204E-2</v>
      </c>
      <c r="W249" s="367">
        <f t="shared" ref="W249" si="975">W248/R248-1</f>
        <v>6.5683213093572501E-3</v>
      </c>
      <c r="X249" s="367">
        <f t="shared" ref="X249" si="976">X248/S248-1</f>
        <v>1.1849344054168487E-2</v>
      </c>
      <c r="Y249" s="367">
        <f t="shared" ref="Y249" si="977">Y248/T248-1</f>
        <v>6.3048016701461318E-2</v>
      </c>
      <c r="Z249" s="367">
        <f t="shared" ref="Z249" si="978">Z248/U248-1</f>
        <v>0.1035242290748899</v>
      </c>
      <c r="AA249" s="367">
        <f t="shared" ref="AA249" si="979">AA248/V248-1</f>
        <v>-7.3275862068965525E-3</v>
      </c>
      <c r="AB249" s="367">
        <f t="shared" ref="AB249" si="980">AB248/W248-1</f>
        <v>4.2468977321352241E-2</v>
      </c>
      <c r="AC249" s="367">
        <f t="shared" ref="AC249" si="981">AC248/X248-1</f>
        <v>-0.15307402760351319</v>
      </c>
      <c r="AD249" s="367">
        <f t="shared" ref="AD249" si="982">AD248/Y248-1</f>
        <v>-0.1598586017282011</v>
      </c>
      <c r="AE249" s="367">
        <f t="shared" ref="AE249" si="983">AE248/Z248-1</f>
        <v>-9.9800399201596779E-2</v>
      </c>
      <c r="AF249" s="367">
        <f t="shared" ref="AF249" si="984">AF248/AA248-1</f>
        <v>-2.7355623100303927E-2</v>
      </c>
      <c r="AG249" s="367">
        <f t="shared" ref="AG249" si="985">AG248/AB248-1</f>
        <v>-0.1114417650076962</v>
      </c>
      <c r="AH249" s="367">
        <f t="shared" ref="AH249" si="986">AH248/AC248-1</f>
        <v>8.6913580246913646E-2</v>
      </c>
      <c r="AI249" s="367">
        <f t="shared" ref="AI249" si="987">AI248/AD248-1</f>
        <v>-3.6465638148667656E-2</v>
      </c>
      <c r="AJ249" s="367">
        <f t="shared" ref="AJ249" si="988">AJ248/AE248-1</f>
        <v>-8.603104212860313E-2</v>
      </c>
      <c r="AK249" s="367">
        <f t="shared" ref="AK249" si="989">AK248/AF248-1</f>
        <v>2.6785714285714191E-2</v>
      </c>
      <c r="AL249" s="367">
        <f t="shared" ref="AL249" si="990">AL248/AG248-1</f>
        <v>-4.1575239635062156E-3</v>
      </c>
      <c r="AM249" s="367">
        <f t="shared" ref="AM249" si="991">AM248/AH248-1</f>
        <v>-0.14720581553839163</v>
      </c>
      <c r="AN249" s="367">
        <f t="shared" ref="AN249" si="992">AN248/AI248-1</f>
        <v>-2.959728287239205E-2</v>
      </c>
      <c r="AO249" s="367">
        <f t="shared" ref="AO249" si="993">AO248/AJ248-1</f>
        <v>6.5502183406113579E-2</v>
      </c>
      <c r="AP249" s="367">
        <f t="shared" ref="AP249" si="994">AP248/AK248-1</f>
        <v>8.6956521739129933E-3</v>
      </c>
      <c r="AQ249" s="367">
        <f t="shared" ref="AQ249" si="995">AQ248/AL248-1</f>
        <v>-2.6672851675750953E-2</v>
      </c>
      <c r="AR249" s="367">
        <f t="shared" ref="AR249" si="996">AR248/AM248-1</f>
        <v>0.16782099094299419</v>
      </c>
      <c r="AS249" s="367">
        <f t="shared" ref="AS249" si="997">AS248/AN248-1</f>
        <v>3.2000000000000028E-2</v>
      </c>
      <c r="AT249" s="367">
        <f t="shared" ref="AT249" si="998">AT248/AO248-1</f>
        <v>-9.8360655737704916E-2</v>
      </c>
      <c r="AU249" s="367">
        <f t="shared" ref="AU249" si="999">AU248/AP248-1</f>
        <v>-0.21508620689655178</v>
      </c>
      <c r="AV249" s="367">
        <f t="shared" ref="AV249" si="1000">AV248/AQ248-1</f>
        <v>-4.0033361134278578E-2</v>
      </c>
      <c r="AW249" s="367">
        <f t="shared" ref="AW249" si="1001">AW248/AR248-1</f>
        <v>-0.15693430656934304</v>
      </c>
      <c r="AX249" s="367">
        <f t="shared" ref="AX249" si="1002">AX248/AS248-1</f>
        <v>4.3604651162789665E-3</v>
      </c>
      <c r="AY249" s="367">
        <f t="shared" ref="AY249" si="1003">AY248/AT248-1</f>
        <v>0.15202020202020194</v>
      </c>
      <c r="AZ249" s="367">
        <f t="shared" ref="AZ249" si="1004">AZ248/AU248-1</f>
        <v>0.1636463481603514</v>
      </c>
      <c r="BA249" s="367">
        <f t="shared" ref="BA249" si="1005">BA248/AV248-1</f>
        <v>3.2766538413801616E-2</v>
      </c>
      <c r="BB249" s="367">
        <f t="shared" ref="BB249" si="1006">BB248/AW248-1</f>
        <v>7.4675324675324672E-2</v>
      </c>
      <c r="BC249" s="367">
        <f t="shared" ref="BC249" si="1007">BC248/AX248-1</f>
        <v>-3.5214664737096002E-2</v>
      </c>
      <c r="BD249" s="367">
        <f t="shared" ref="BD249" si="1008">BD248/AY248-1</f>
        <v>-4.6032441911442401E-2</v>
      </c>
      <c r="BE249" s="367">
        <f t="shared" ref="BE249" si="1009">BE248/AZ248-1</f>
        <v>0.10948560641812177</v>
      </c>
      <c r="BF249" s="367">
        <f t="shared" ref="BF249" si="1010">BF248/BA248-1</f>
        <v>2.3074149741617589E-2</v>
      </c>
      <c r="BG249" s="367">
        <f t="shared" ref="BG249" si="1011">BG248/BB248-1</f>
        <v>0.14753272910372606</v>
      </c>
      <c r="BH249" s="367">
        <f t="shared" ref="BH249" si="1012">BH248/BC248-1</f>
        <v>0.23550000000000004</v>
      </c>
      <c r="BI249" s="367">
        <f t="shared" ref="BI249" si="1013">BI248/BD248-1</f>
        <v>0.19852941176470584</v>
      </c>
      <c r="BJ249" s="367">
        <f t="shared" ref="BJ249" si="1014">BJ248/BE248-1</f>
        <v>0.1093151850276477</v>
      </c>
      <c r="BK249" s="367">
        <f t="shared" ref="BK249" si="1015">BK248/BF248-1</f>
        <v>0.17068013626218725</v>
      </c>
      <c r="BL249" s="367">
        <f t="shared" ref="BL249" si="1016">BL248/BG248-1</f>
        <v>0.39710399297937693</v>
      </c>
      <c r="BM249" s="367">
        <f t="shared" ref="BM249" si="1017">BM248/BH248-1</f>
        <v>0.33791987049777417</v>
      </c>
      <c r="BN249" s="367">
        <f t="shared" ref="BN249" si="1018">BN248/BI248-1</f>
        <v>0.30559815950920255</v>
      </c>
      <c r="BO249" s="367">
        <f t="shared" ref="BO249" si="1019">BO248/BJ248-1</f>
        <v>0.2135736196319018</v>
      </c>
      <c r="BP249" s="367">
        <f t="shared" ref="BP249" si="1020">BP248/BK248-1</f>
        <v>0.3104555488661449</v>
      </c>
      <c r="BQ249" s="367">
        <f t="shared" ref="BQ249" si="1021">BQ248/BL248-1</f>
        <v>-2.0414572864321578E-2</v>
      </c>
      <c r="BR249" s="367">
        <f t="shared" ref="BR249" si="1022">BR248/BM248-1</f>
        <v>1.9056261343012748E-2</v>
      </c>
      <c r="BS249" s="367">
        <f t="shared" ref="BS249" si="1023">BS248/BN248-1</f>
        <v>3.8179148311305866E-3</v>
      </c>
      <c r="BT249" s="367">
        <f t="shared" ref="BT249" si="1024">BT248/BO248-1</f>
        <v>6.824644549763037E-2</v>
      </c>
      <c r="BU249" s="367">
        <f t="shared" ref="BU249" si="1025">BU248/BP248-1</f>
        <v>1.7381316998468677E-2</v>
      </c>
      <c r="BV249" s="367">
        <f t="shared" ref="BV249" si="1026">BV248/BQ248-1</f>
        <v>1.7633857005450393E-2</v>
      </c>
      <c r="BW249" s="367">
        <f t="shared" ref="BW249" si="1027">BW248/BR248-1</f>
        <v>5.6693380825170614E-2</v>
      </c>
      <c r="BX249" s="367">
        <f t="shared" ref="BX249" si="1028">BX248/BS248-1</f>
        <v>6.5827969572849643E-2</v>
      </c>
      <c r="BY249" s="367">
        <f t="shared" ref="BY249" si="1029">BY248/BT248-1</f>
        <v>0.1410825199645076</v>
      </c>
      <c r="BZ249" s="367">
        <f>BZ248/BU248-1</f>
        <v>7.1347934070896457E-2</v>
      </c>
      <c r="CA249" s="367">
        <f t="shared" ref="CA249:CN249" si="1030">CA248/BV248-1</f>
        <v>0.12885948330182728</v>
      </c>
      <c r="CB249" s="367">
        <f t="shared" si="1030"/>
        <v>0.14297752808988773</v>
      </c>
      <c r="CC249" s="367">
        <f t="shared" si="1030"/>
        <v>0.12626955805654672</v>
      </c>
      <c r="CD249" s="367">
        <f t="shared" si="1030"/>
        <v>7.0502851218247731E-2</v>
      </c>
      <c r="CE249" s="367">
        <f>CE248/BZ248-1</f>
        <v>0.11591148577449939</v>
      </c>
      <c r="CF249" s="367">
        <f t="shared" si="1030"/>
        <v>0.24309238068657546</v>
      </c>
      <c r="CG249" s="367">
        <f t="shared" si="1030"/>
        <v>0.10666011304988943</v>
      </c>
      <c r="CH249" s="367">
        <f t="shared" si="1030"/>
        <v>5.7518888618084407E-2</v>
      </c>
      <c r="CI249" s="367">
        <f t="shared" si="1030"/>
        <v>0.10968523002421304</v>
      </c>
      <c r="CJ249" s="367">
        <f>CJ248/CE248-1</f>
        <v>0.12552722694365759</v>
      </c>
      <c r="CK249" s="367">
        <f t="shared" si="1030"/>
        <v>-2.9860799281544725E-2</v>
      </c>
      <c r="CL249" s="367">
        <f t="shared" si="1030"/>
        <v>-3.5531867643793236E-3</v>
      </c>
      <c r="CM249" s="367">
        <f t="shared" si="1030"/>
        <v>0.11961281401244528</v>
      </c>
      <c r="CN249" s="367">
        <f t="shared" si="1030"/>
        <v>6.519265823437137E-2</v>
      </c>
      <c r="CO249" s="367">
        <f>CO248/CJ248-1</f>
        <v>3.7405780674988787E-2</v>
      </c>
      <c r="CP249" s="367">
        <f t="shared" ref="CP249:CT249" si="1031">CP248/CO248-1</f>
        <v>0.18753324201351673</v>
      </c>
      <c r="CQ249" s="367">
        <f t="shared" si="1031"/>
        <v>0.1017296270370327</v>
      </c>
      <c r="CR249" s="367">
        <f t="shared" si="1031"/>
        <v>9.7006967351235707E-2</v>
      </c>
      <c r="CS249" s="367">
        <f t="shared" si="1031"/>
        <v>4.9533844396907556E-2</v>
      </c>
      <c r="CT249" s="367">
        <f t="shared" si="1031"/>
        <v>4.9443499801508306E-2</v>
      </c>
      <c r="CU249" s="347"/>
      <c r="CV249" s="1363"/>
      <c r="CW249" s="347"/>
      <c r="CX249" s="347"/>
      <c r="CY249" s="347"/>
      <c r="CZ249" s="354"/>
      <c r="DA249" s="354"/>
      <c r="DB249" s="354"/>
      <c r="DC249" s="882"/>
      <c r="DD249" s="882"/>
      <c r="DE249" s="882"/>
      <c r="DF249" s="759"/>
      <c r="DG249" s="759"/>
      <c r="DH249" s="759"/>
      <c r="DI249" s="759"/>
      <c r="DJ249" s="759"/>
      <c r="DK249" s="759"/>
      <c r="DL249" s="759"/>
      <c r="DM249" s="759"/>
    </row>
    <row r="250" spans="1:117">
      <c r="B250" s="453" t="s">
        <v>797</v>
      </c>
      <c r="C250" s="450"/>
      <c r="D250" s="450"/>
      <c r="E250" s="450"/>
      <c r="F250" s="450"/>
      <c r="G250" s="450"/>
      <c r="H250" s="450"/>
      <c r="I250" s="367"/>
      <c r="J250" s="367"/>
      <c r="K250" s="367"/>
      <c r="L250" s="367"/>
      <c r="M250" s="367">
        <f t="shared" ref="M250:AR250" si="1032">M248/M$236</f>
        <v>0.45268840738308891</v>
      </c>
      <c r="N250" s="367">
        <f t="shared" si="1032"/>
        <v>0.52167559668777397</v>
      </c>
      <c r="O250" s="367">
        <f t="shared" si="1032"/>
        <v>0.53696315418915752</v>
      </c>
      <c r="P250" s="367">
        <f t="shared" si="1032"/>
        <v>0.53174245835209366</v>
      </c>
      <c r="Q250" s="367">
        <f t="shared" si="1032"/>
        <v>0.53644377553214362</v>
      </c>
      <c r="R250" s="367">
        <f t="shared" si="1032"/>
        <v>0.53190148911798396</v>
      </c>
      <c r="S250" s="367">
        <f t="shared" si="1032"/>
        <v>0.52721999107541273</v>
      </c>
      <c r="T250" s="367">
        <f t="shared" si="1032"/>
        <v>0.52602679551943776</v>
      </c>
      <c r="U250" s="367">
        <f t="shared" si="1032"/>
        <v>0.47489539748953974</v>
      </c>
      <c r="V250" s="367">
        <f t="shared" si="1032"/>
        <v>0.46764765168312838</v>
      </c>
      <c r="W250" s="367">
        <f t="shared" si="1032"/>
        <v>0.51188259774394917</v>
      </c>
      <c r="X250" s="367">
        <f t="shared" si="1032"/>
        <v>0.48865726548129984</v>
      </c>
      <c r="Y250" s="367">
        <f t="shared" si="1032"/>
        <v>0.48689998087588449</v>
      </c>
      <c r="Z250" s="367">
        <f t="shared" si="1032"/>
        <v>0.44940796555435952</v>
      </c>
      <c r="AA250" s="367">
        <f t="shared" si="1032"/>
        <v>0.43675327138251469</v>
      </c>
      <c r="AB250" s="367">
        <f t="shared" si="1032"/>
        <v>0.46473365444227194</v>
      </c>
      <c r="AC250" s="367">
        <f t="shared" si="1032"/>
        <v>0.35168461271274748</v>
      </c>
      <c r="AD250" s="367">
        <f t="shared" si="1032"/>
        <v>0.3532617671345995</v>
      </c>
      <c r="AE250" s="367">
        <f t="shared" si="1032"/>
        <v>0.35300563556668751</v>
      </c>
      <c r="AF250" s="367">
        <f t="shared" si="1032"/>
        <v>0.35093216355945478</v>
      </c>
      <c r="AG250" s="367">
        <f t="shared" si="1032"/>
        <v>0.40717577353522055</v>
      </c>
      <c r="AH250" s="367">
        <f t="shared" si="1032"/>
        <v>0.39967314327219899</v>
      </c>
      <c r="AI250" s="367">
        <f t="shared" si="1032"/>
        <v>0.34116868068200629</v>
      </c>
      <c r="AJ250" s="367">
        <f t="shared" si="1032"/>
        <v>0.34315684315684314</v>
      </c>
      <c r="AK250" s="367">
        <f t="shared" si="1032"/>
        <v>0.38943447341686421</v>
      </c>
      <c r="AL250" s="367">
        <f t="shared" si="1032"/>
        <v>0.3675618073316283</v>
      </c>
      <c r="AM250" s="367">
        <f t="shared" si="1032"/>
        <v>0.34245575624885971</v>
      </c>
      <c r="AN250" s="367">
        <f t="shared" si="1032"/>
        <v>0.35644270183567989</v>
      </c>
      <c r="AO250" s="367">
        <f t="shared" si="1032"/>
        <v>0.37667238421955401</v>
      </c>
      <c r="AP250" s="367">
        <f t="shared" si="1032"/>
        <v>0.3884145320609409</v>
      </c>
      <c r="AQ250" s="367">
        <f t="shared" si="1032"/>
        <v>0.36658659095872459</v>
      </c>
      <c r="AR250" s="367">
        <f t="shared" si="1032"/>
        <v>0.3903133903133903</v>
      </c>
      <c r="AS250" s="367">
        <f t="shared" ref="AS250:BX250" si="1033">AS248/AS$236</f>
        <v>0.39404352806414661</v>
      </c>
      <c r="AT250" s="367">
        <f t="shared" si="1033"/>
        <v>0.37858508604206503</v>
      </c>
      <c r="AU250" s="367">
        <f t="shared" si="1033"/>
        <v>0.34639528248050216</v>
      </c>
      <c r="AV250" s="367">
        <f t="shared" si="1033"/>
        <v>0.37753619792886933</v>
      </c>
      <c r="AW250" s="367">
        <f t="shared" si="1033"/>
        <v>0.3509304975313331</v>
      </c>
      <c r="AX250" s="367">
        <f t="shared" si="1033"/>
        <v>0.36580201164637377</v>
      </c>
      <c r="AY250" s="367">
        <f t="shared" si="1033"/>
        <v>0.38207705192629815</v>
      </c>
      <c r="AZ250" s="367">
        <f t="shared" si="1033"/>
        <v>0.35328442814271421</v>
      </c>
      <c r="BA250" s="367">
        <f t="shared" si="1033"/>
        <v>0.36334657875201959</v>
      </c>
      <c r="BB250" s="367">
        <f t="shared" si="1033"/>
        <v>0.36100131512815459</v>
      </c>
      <c r="BC250" s="367">
        <f t="shared" si="1033"/>
        <v>0.36070631346063986</v>
      </c>
      <c r="BD250" s="367">
        <f t="shared" si="1033"/>
        <v>0.372209497842177</v>
      </c>
      <c r="BE250" s="367">
        <f t="shared" si="1033"/>
        <v>0.38881354810968144</v>
      </c>
      <c r="BF250" s="367">
        <f t="shared" si="1033"/>
        <v>0.37111773704758561</v>
      </c>
      <c r="BG250" s="367">
        <f t="shared" si="1033"/>
        <v>0.3819196329817684</v>
      </c>
      <c r="BH250" s="367">
        <f t="shared" si="1033"/>
        <v>0.3928704584787121</v>
      </c>
      <c r="BI250" s="367">
        <f t="shared" si="1033"/>
        <v>0.40348450955204701</v>
      </c>
      <c r="BJ250" s="367">
        <f t="shared" si="1033"/>
        <v>0.40671643536748731</v>
      </c>
      <c r="BK250" s="367">
        <f t="shared" si="1033"/>
        <v>0.39653279301529332</v>
      </c>
      <c r="BL250" s="367">
        <f t="shared" si="1033"/>
        <v>0.49006095133082178</v>
      </c>
      <c r="BM250" s="367">
        <f t="shared" si="1033"/>
        <v>0.50204942772287786</v>
      </c>
      <c r="BN250" s="367">
        <f t="shared" si="1033"/>
        <v>0.51795020711163131</v>
      </c>
      <c r="BO250" s="367">
        <f t="shared" si="1033"/>
        <v>0.49819422302478966</v>
      </c>
      <c r="BP250" s="367">
        <f t="shared" si="1033"/>
        <v>0.50213204265661682</v>
      </c>
      <c r="BQ250" s="367">
        <f t="shared" si="1033"/>
        <v>0.49925064383164541</v>
      </c>
      <c r="BR250" s="367">
        <f t="shared" si="1033"/>
        <v>0.50082981062716558</v>
      </c>
      <c r="BS250" s="367">
        <f t="shared" si="1033"/>
        <v>0.50073293354784665</v>
      </c>
      <c r="BT250" s="367">
        <f t="shared" si="1033"/>
        <v>0.48620499386167992</v>
      </c>
      <c r="BU250" s="367">
        <f t="shared" si="1033"/>
        <v>0.49663508889308344</v>
      </c>
      <c r="BV250" s="367">
        <f t="shared" si="1033"/>
        <v>0.47077606410741879</v>
      </c>
      <c r="BW250" s="367">
        <f t="shared" si="1033"/>
        <v>0.48549376010962347</v>
      </c>
      <c r="BX250" s="367">
        <f t="shared" si="1033"/>
        <v>0.48440284019892005</v>
      </c>
      <c r="BY250" s="367">
        <f t="shared" ref="BY250:CT250" si="1034">BY248/BY$236</f>
        <v>0.5112240038353727</v>
      </c>
      <c r="BZ250" s="367">
        <f t="shared" si="1034"/>
        <v>0.48847034969535713</v>
      </c>
      <c r="CA250" s="367">
        <f t="shared" si="1034"/>
        <v>0.47473780110672342</v>
      </c>
      <c r="CB250" s="367">
        <f t="shared" si="1034"/>
        <v>0.49518065940442257</v>
      </c>
      <c r="CC250" s="367">
        <f t="shared" ref="CC250:CE250" si="1035">CC248/CC$236</f>
        <v>0.50633836162826473</v>
      </c>
      <c r="CD250" s="367">
        <f t="shared" si="1035"/>
        <v>0.48847720130240074</v>
      </c>
      <c r="CE250" s="367">
        <f t="shared" si="1035"/>
        <v>0.49145102609312574</v>
      </c>
      <c r="CF250" s="367">
        <f t="shared" ref="CF250:CG250" si="1036">CF248/CF$236</f>
        <v>0.52783237352139678</v>
      </c>
      <c r="CG250" s="367">
        <f t="shared" si="1036"/>
        <v>0.52279541249637762</v>
      </c>
      <c r="CH250" s="367">
        <f t="shared" ref="CH250" si="1037">CH248/CH$236</f>
        <v>0.52215368478765001</v>
      </c>
      <c r="CI250" s="367">
        <f t="shared" ref="CI250:CK250" si="1038">CI248/CI$236</f>
        <v>0.5075200001417467</v>
      </c>
      <c r="CJ250" s="367">
        <f t="shared" si="1038"/>
        <v>0.51986536129741223</v>
      </c>
      <c r="CK250" s="367">
        <f t="shared" si="1038"/>
        <v>0.50237310544824276</v>
      </c>
      <c r="CL250" s="367">
        <f t="shared" ref="CL250:CN250" si="1039">CL248/CL$236</f>
        <v>0.42758919456280359</v>
      </c>
      <c r="CM250" s="367">
        <f t="shared" ref="CM250" si="1040">CM248/CM$236</f>
        <v>0.42418430310264887</v>
      </c>
      <c r="CN250" s="367">
        <f t="shared" si="1039"/>
        <v>0.40931702420095512</v>
      </c>
      <c r="CO250" s="367">
        <f t="shared" si="1034"/>
        <v>0.43668436543586781</v>
      </c>
      <c r="CP250" s="367">
        <f t="shared" si="1034"/>
        <v>0.46585009015867812</v>
      </c>
      <c r="CQ250" s="367">
        <f t="shared" si="1034"/>
        <v>0.49180022040220817</v>
      </c>
      <c r="CR250" s="367">
        <f t="shared" si="1034"/>
        <v>0.51700000000000002</v>
      </c>
      <c r="CS250" s="367">
        <f t="shared" si="1034"/>
        <v>0.51999999999999991</v>
      </c>
      <c r="CT250" s="367">
        <f t="shared" si="1034"/>
        <v>0.52299999999999991</v>
      </c>
      <c r="CU250" s="347"/>
      <c r="CV250" s="1363"/>
      <c r="CW250" s="347"/>
      <c r="CX250" s="347"/>
      <c r="CY250" s="347"/>
      <c r="CZ250" s="354"/>
      <c r="DA250" s="354"/>
      <c r="DB250" s="354"/>
      <c r="DC250" s="882"/>
      <c r="DD250" s="882"/>
      <c r="DE250" s="882"/>
      <c r="DF250" s="759"/>
      <c r="DG250" s="759"/>
      <c r="DH250" s="759"/>
      <c r="DI250" s="759"/>
      <c r="DJ250" s="759"/>
      <c r="DK250" s="759"/>
      <c r="DL250" s="759"/>
      <c r="DM250" s="759"/>
    </row>
    <row r="251" spans="1:117">
      <c r="B251" s="407"/>
      <c r="C251" s="450"/>
      <c r="D251" s="450"/>
      <c r="E251" s="450"/>
      <c r="F251" s="450"/>
      <c r="G251" s="450"/>
      <c r="H251" s="450"/>
      <c r="I251" s="450"/>
      <c r="J251" s="450"/>
      <c r="K251" s="450"/>
      <c r="L251" s="450"/>
      <c r="M251" s="450"/>
      <c r="N251" s="450"/>
      <c r="O251" s="450"/>
      <c r="P251" s="450"/>
      <c r="Q251" s="450"/>
      <c r="R251" s="450"/>
      <c r="S251" s="450"/>
      <c r="T251" s="450"/>
      <c r="U251" s="450"/>
      <c r="V251" s="450"/>
      <c r="W251" s="450"/>
      <c r="X251" s="450"/>
      <c r="Y251" s="450"/>
      <c r="Z251" s="450"/>
      <c r="AA251" s="450"/>
      <c r="AB251" s="450"/>
      <c r="AC251" s="450"/>
      <c r="AD251" s="450"/>
      <c r="AE251" s="450"/>
      <c r="AF251" s="450"/>
      <c r="AG251" s="450"/>
      <c r="AH251" s="450"/>
      <c r="AI251" s="450"/>
      <c r="AJ251" s="450"/>
      <c r="AK251" s="450"/>
      <c r="AL251" s="450"/>
      <c r="AM251" s="450"/>
      <c r="AN251" s="450"/>
      <c r="AO251" s="450"/>
      <c r="AP251" s="450"/>
      <c r="AQ251" s="450"/>
      <c r="AR251" s="450"/>
      <c r="AS251" s="450"/>
      <c r="AT251" s="450"/>
      <c r="AU251" s="450"/>
      <c r="AV251" s="450"/>
      <c r="AW251" s="450"/>
      <c r="AX251" s="450"/>
      <c r="AY251" s="450"/>
      <c r="AZ251" s="450"/>
      <c r="BA251" s="450"/>
      <c r="BB251" s="450"/>
      <c r="BC251" s="450"/>
      <c r="BD251" s="450"/>
      <c r="BE251" s="450"/>
      <c r="BF251" s="450"/>
      <c r="BG251" s="450"/>
      <c r="BH251" s="450"/>
      <c r="BI251" s="450"/>
      <c r="BJ251" s="450"/>
      <c r="BK251" s="450"/>
      <c r="BL251" s="450"/>
      <c r="BM251" s="450"/>
      <c r="BN251" s="450"/>
      <c r="BO251" s="450"/>
      <c r="BP251" s="450"/>
      <c r="BQ251" s="450"/>
      <c r="BR251" s="450"/>
      <c r="BS251" s="450"/>
      <c r="BT251" s="450"/>
      <c r="BU251" s="450"/>
      <c r="BV251" s="450"/>
      <c r="BW251" s="450"/>
      <c r="BX251" s="450"/>
      <c r="BY251" s="450"/>
      <c r="BZ251" s="450"/>
      <c r="CA251" s="450"/>
      <c r="CB251" s="450"/>
      <c r="CC251" s="450"/>
      <c r="CD251" s="450"/>
      <c r="CE251" s="450"/>
      <c r="CF251" s="450"/>
      <c r="CG251" s="450"/>
      <c r="CH251" s="450"/>
      <c r="CI251" s="450"/>
      <c r="CJ251" s="450"/>
      <c r="CK251" s="450"/>
      <c r="CL251" s="450"/>
      <c r="CM251" s="450"/>
      <c r="CN251" s="450"/>
      <c r="CO251" s="1076"/>
      <c r="CP251" s="450"/>
      <c r="CQ251" s="450"/>
      <c r="CR251" s="450"/>
      <c r="CS251" s="450"/>
      <c r="CT251" s="450"/>
      <c r="CU251" s="347"/>
      <c r="CV251" s="1363"/>
      <c r="CW251" s="347"/>
      <c r="CX251" s="347"/>
      <c r="CY251" s="347"/>
      <c r="CZ251" s="354"/>
      <c r="DA251" s="354"/>
      <c r="DB251" s="354"/>
      <c r="DC251" s="882"/>
      <c r="DD251" s="882"/>
      <c r="DE251" s="882"/>
      <c r="DF251" s="759"/>
      <c r="DG251" s="759"/>
      <c r="DH251" s="759"/>
      <c r="DI251" s="759"/>
      <c r="DJ251" s="759"/>
      <c r="DK251" s="759"/>
      <c r="DL251" s="759"/>
      <c r="DM251" s="759"/>
    </row>
    <row r="252" spans="1:117">
      <c r="B252" s="407" t="s">
        <v>91</v>
      </c>
      <c r="C252" s="824"/>
      <c r="D252" s="824"/>
      <c r="E252" s="824"/>
      <c r="F252" s="824"/>
      <c r="G252" s="824"/>
      <c r="H252" s="824"/>
      <c r="I252" s="824"/>
      <c r="J252" s="824"/>
      <c r="K252" s="824"/>
      <c r="L252" s="824"/>
      <c r="M252" s="824">
        <f t="shared" ref="M252:AR252" si="1041">M437</f>
        <v>3741</v>
      </c>
      <c r="N252" s="824">
        <f t="shared" si="1041"/>
        <v>973</v>
      </c>
      <c r="O252" s="824">
        <f t="shared" si="1041"/>
        <v>977</v>
      </c>
      <c r="P252" s="824">
        <f t="shared" si="1041"/>
        <v>1003</v>
      </c>
      <c r="Q252" s="824">
        <f t="shared" si="1041"/>
        <v>1169</v>
      </c>
      <c r="R252" s="824">
        <f t="shared" si="1041"/>
        <v>4122</v>
      </c>
      <c r="S252" s="824">
        <f t="shared" si="1041"/>
        <v>1187</v>
      </c>
      <c r="T252" s="824">
        <f t="shared" si="1041"/>
        <v>1165</v>
      </c>
      <c r="U252" s="824">
        <f t="shared" si="1041"/>
        <v>1170</v>
      </c>
      <c r="V252" s="824">
        <f t="shared" si="1041"/>
        <v>1161</v>
      </c>
      <c r="W252" s="824">
        <f t="shared" si="1041"/>
        <v>4683</v>
      </c>
      <c r="X252" s="824">
        <f t="shared" si="1041"/>
        <v>1213</v>
      </c>
      <c r="Y252" s="824">
        <f t="shared" si="1041"/>
        <v>1257</v>
      </c>
      <c r="Z252" s="824">
        <f t="shared" si="1041"/>
        <v>1288</v>
      </c>
      <c r="AA252" s="824">
        <f t="shared" si="1041"/>
        <v>1308</v>
      </c>
      <c r="AB252" s="824">
        <f t="shared" si="1041"/>
        <v>5066</v>
      </c>
      <c r="AC252" s="824">
        <f t="shared" si="1041"/>
        <v>1326</v>
      </c>
      <c r="AD252" s="824">
        <f t="shared" si="1041"/>
        <v>1386</v>
      </c>
      <c r="AE252" s="824">
        <f t="shared" si="1041"/>
        <v>1573</v>
      </c>
      <c r="AF252" s="824">
        <f t="shared" si="1041"/>
        <v>1474</v>
      </c>
      <c r="AG252" s="824">
        <f t="shared" si="1041"/>
        <v>5759</v>
      </c>
      <c r="AH252" s="824">
        <f t="shared" si="1041"/>
        <v>1557</v>
      </c>
      <c r="AI252" s="824">
        <f t="shared" si="1041"/>
        <v>1710</v>
      </c>
      <c r="AJ252" s="824">
        <f t="shared" si="1041"/>
        <v>1907</v>
      </c>
      <c r="AK252" s="824">
        <f t="shared" si="1041"/>
        <v>1784</v>
      </c>
      <c r="AL252" s="824">
        <f t="shared" si="1041"/>
        <v>6958</v>
      </c>
      <c r="AM252" s="824">
        <f t="shared" si="1041"/>
        <v>1791</v>
      </c>
      <c r="AN252" s="824">
        <f t="shared" si="1041"/>
        <v>1782</v>
      </c>
      <c r="AO252" s="824">
        <f t="shared" si="1041"/>
        <v>1681</v>
      </c>
      <c r="AP252" s="824">
        <f t="shared" si="1041"/>
        <v>1881</v>
      </c>
      <c r="AQ252" s="824">
        <f t="shared" si="1041"/>
        <v>7135</v>
      </c>
      <c r="AR252" s="824">
        <f t="shared" si="1041"/>
        <v>1871</v>
      </c>
      <c r="AS252" s="824">
        <f t="shared" ref="AS252:CA252" si="1042">AS437</f>
        <v>2090</v>
      </c>
      <c r="AT252" s="824">
        <f t="shared" si="1042"/>
        <v>1800</v>
      </c>
      <c r="AU252" s="824">
        <f t="shared" si="1042"/>
        <v>2285</v>
      </c>
      <c r="AV252" s="824">
        <f t="shared" si="1042"/>
        <v>8046</v>
      </c>
      <c r="AW252" s="824">
        <f t="shared" si="1042"/>
        <v>1679</v>
      </c>
      <c r="AX252" s="824">
        <f t="shared" si="1042"/>
        <v>1702</v>
      </c>
      <c r="AY252" s="824">
        <f t="shared" si="1042"/>
        <v>1705</v>
      </c>
      <c r="AZ252" s="824">
        <f t="shared" si="1042"/>
        <v>1865</v>
      </c>
      <c r="BA252" s="824">
        <f t="shared" si="1042"/>
        <v>6951</v>
      </c>
      <c r="BB252" s="824">
        <f t="shared" si="1042"/>
        <v>1848</v>
      </c>
      <c r="BC252" s="824">
        <f t="shared" si="1042"/>
        <v>1854</v>
      </c>
      <c r="BD252" s="824">
        <f t="shared" si="1042"/>
        <v>1924</v>
      </c>
      <c r="BE252" s="824">
        <f t="shared" si="1042"/>
        <v>5995</v>
      </c>
      <c r="BF252" s="824">
        <f t="shared" si="1042"/>
        <v>11621</v>
      </c>
      <c r="BG252" s="824">
        <f t="shared" si="1042"/>
        <v>1676</v>
      </c>
      <c r="BH252" s="824">
        <f t="shared" si="1042"/>
        <v>1666</v>
      </c>
      <c r="BI252" s="824">
        <f t="shared" si="1042"/>
        <v>1782</v>
      </c>
      <c r="BJ252" s="824">
        <f t="shared" si="1042"/>
        <v>1859</v>
      </c>
      <c r="BK252" s="824">
        <f t="shared" si="1042"/>
        <v>6983</v>
      </c>
      <c r="BL252" s="824">
        <f t="shared" si="1042"/>
        <v>2508.0409999999997</v>
      </c>
      <c r="BM252" s="824">
        <f t="shared" si="1042"/>
        <v>2401.6529999999998</v>
      </c>
      <c r="BN252" s="824">
        <f t="shared" si="1042"/>
        <v>2246.605</v>
      </c>
      <c r="BO252" s="824">
        <f t="shared" si="1042"/>
        <v>4918.389000000001</v>
      </c>
      <c r="BP252" s="824">
        <f t="shared" si="1042"/>
        <v>12074.688</v>
      </c>
      <c r="BQ252" s="824">
        <f t="shared" si="1042"/>
        <v>2419.9369999999999</v>
      </c>
      <c r="BR252" s="824">
        <f t="shared" si="1042"/>
        <v>2499.5870000000004</v>
      </c>
      <c r="BS252" s="824">
        <f t="shared" si="1042"/>
        <v>2500.0769999999993</v>
      </c>
      <c r="BT252" s="824">
        <f t="shared" si="1042"/>
        <v>2536.6260000000011</v>
      </c>
      <c r="BU252" s="824">
        <f t="shared" si="1042"/>
        <v>9956.2270000000008</v>
      </c>
      <c r="BV252" s="824">
        <f t="shared" si="1042"/>
        <v>2560.8670000000002</v>
      </c>
      <c r="BW252" s="824">
        <f t="shared" si="1042"/>
        <v>2535.7119999999995</v>
      </c>
      <c r="BX252" s="824">
        <f t="shared" si="1042"/>
        <v>2580.4620000000004</v>
      </c>
      <c r="BY252" s="824">
        <f t="shared" si="1042"/>
        <v>2887.2550000000001</v>
      </c>
      <c r="BZ252" s="824">
        <f t="shared" si="1042"/>
        <v>10564.296</v>
      </c>
      <c r="CA252" s="824">
        <f t="shared" si="1042"/>
        <v>2737.9949999999999</v>
      </c>
      <c r="CB252" s="824">
        <f t="shared" ref="CB252:CC252" si="1043">CB437</f>
        <v>2830.1390000000001</v>
      </c>
      <c r="CC252" s="824">
        <f t="shared" si="1043"/>
        <v>2956.7470000000012</v>
      </c>
      <c r="CD252" s="824">
        <f t="shared" ref="CD252:CE252" si="1044">CD437</f>
        <v>2822.8769999999986</v>
      </c>
      <c r="CE252" s="824">
        <f t="shared" si="1044"/>
        <v>11347.758</v>
      </c>
      <c r="CF252" s="824">
        <f t="shared" ref="CF252:CG252" si="1045">CF437</f>
        <v>3007.2190000000001</v>
      </c>
      <c r="CG252" s="824">
        <f t="shared" si="1045"/>
        <v>3166.6189999999997</v>
      </c>
      <c r="CH252" s="824">
        <f t="shared" ref="CH252:CK252" si="1046">CH437</f>
        <v>2900.0280000000002</v>
      </c>
      <c r="CI252" s="824">
        <f t="shared" si="1046"/>
        <v>3000.4689999999991</v>
      </c>
      <c r="CJ252" s="824">
        <f t="shared" si="1046"/>
        <v>12074.334999999999</v>
      </c>
      <c r="CK252" s="824">
        <f t="shared" si="1046"/>
        <v>2871.3240000000001</v>
      </c>
      <c r="CL252" s="824">
        <f t="shared" ref="CL252" si="1047">CL437</f>
        <v>4641.3360000000011</v>
      </c>
      <c r="CM252" s="824">
        <f t="shared" ref="CM252" si="1048">CM437</f>
        <v>5171.6169999999984</v>
      </c>
      <c r="CN252" s="824"/>
      <c r="CO252" s="831">
        <f>-'Balance Sheet and Cflow'!V102-'Balance Sheet and Cflow'!V103</f>
        <v>16060.99585611411</v>
      </c>
      <c r="CP252" s="831">
        <f>-'Balance Sheet and Cflow'!W102-'Balance Sheet and Cflow'!W103</f>
        <v>16553.799226474192</v>
      </c>
      <c r="CQ252" s="831">
        <f>-'Balance Sheet and Cflow'!X102-'Balance Sheet and Cflow'!X103</f>
        <v>16118.431741703713</v>
      </c>
      <c r="CR252" s="831">
        <f>-'Balance Sheet and Cflow'!Y102-'Balance Sheet and Cflow'!Y103</f>
        <v>15783.229182500902</v>
      </c>
      <c r="CS252" s="831">
        <f>-'Balance Sheet and Cflow'!Z102-'Balance Sheet and Cflow'!Z103</f>
        <v>15653.647222389198</v>
      </c>
      <c r="CT252" s="831">
        <f>-'Balance Sheet and Cflow'!AA102-'Balance Sheet and Cflow'!AA103</f>
        <v>15689.825763565037</v>
      </c>
      <c r="CU252" s="347"/>
      <c r="CV252" s="1363"/>
      <c r="CW252" s="347"/>
      <c r="CX252" s="347"/>
      <c r="CY252" s="347"/>
      <c r="CZ252" s="354"/>
      <c r="DA252" s="354"/>
      <c r="DB252" s="354"/>
      <c r="DC252" s="882"/>
      <c r="DD252" s="882"/>
      <c r="DE252" s="882"/>
      <c r="DF252" s="759"/>
      <c r="DG252" s="759"/>
      <c r="DH252" s="759"/>
      <c r="DI252" s="759"/>
      <c r="DJ252" s="759"/>
      <c r="DK252" s="759"/>
      <c r="DL252" s="759"/>
      <c r="DM252" s="759"/>
    </row>
    <row r="253" spans="1:117">
      <c r="B253" s="407" t="s">
        <v>93</v>
      </c>
      <c r="C253" s="824"/>
      <c r="D253" s="824"/>
      <c r="E253" s="824"/>
      <c r="F253" s="824"/>
      <c r="G253" s="824"/>
      <c r="H253" s="824"/>
      <c r="I253" s="824"/>
      <c r="J253" s="824"/>
      <c r="K253" s="824"/>
      <c r="L253" s="824"/>
      <c r="M253" s="824">
        <f t="shared" ref="M253:AR253" si="1049">M438</f>
        <v>0</v>
      </c>
      <c r="N253" s="824">
        <f t="shared" si="1049"/>
        <v>0</v>
      </c>
      <c r="O253" s="824">
        <f t="shared" si="1049"/>
        <v>0</v>
      </c>
      <c r="P253" s="824">
        <f t="shared" si="1049"/>
        <v>0</v>
      </c>
      <c r="Q253" s="824">
        <f t="shared" si="1049"/>
        <v>0</v>
      </c>
      <c r="R253" s="824">
        <f t="shared" si="1049"/>
        <v>0</v>
      </c>
      <c r="S253" s="824">
        <f t="shared" si="1049"/>
        <v>0</v>
      </c>
      <c r="T253" s="824">
        <f t="shared" si="1049"/>
        <v>0</v>
      </c>
      <c r="U253" s="824">
        <f t="shared" si="1049"/>
        <v>0</v>
      </c>
      <c r="V253" s="824">
        <f t="shared" si="1049"/>
        <v>0</v>
      </c>
      <c r="W253" s="824">
        <f t="shared" si="1049"/>
        <v>0</v>
      </c>
      <c r="X253" s="824">
        <f t="shared" si="1049"/>
        <v>0</v>
      </c>
      <c r="Y253" s="824">
        <f t="shared" si="1049"/>
        <v>0</v>
      </c>
      <c r="Z253" s="824">
        <f t="shared" si="1049"/>
        <v>0</v>
      </c>
      <c r="AA253" s="824">
        <f t="shared" si="1049"/>
        <v>0</v>
      </c>
      <c r="AB253" s="824">
        <f t="shared" si="1049"/>
        <v>0</v>
      </c>
      <c r="AC253" s="824">
        <f t="shared" si="1049"/>
        <v>0</v>
      </c>
      <c r="AD253" s="824">
        <f t="shared" si="1049"/>
        <v>0</v>
      </c>
      <c r="AE253" s="824">
        <f t="shared" si="1049"/>
        <v>0</v>
      </c>
      <c r="AF253" s="824">
        <f t="shared" si="1049"/>
        <v>0</v>
      </c>
      <c r="AG253" s="824">
        <f t="shared" si="1049"/>
        <v>0</v>
      </c>
      <c r="AH253" s="824">
        <f t="shared" si="1049"/>
        <v>0</v>
      </c>
      <c r="AI253" s="824">
        <f t="shared" si="1049"/>
        <v>0</v>
      </c>
      <c r="AJ253" s="824">
        <f t="shared" si="1049"/>
        <v>0</v>
      </c>
      <c r="AK253" s="824">
        <f t="shared" si="1049"/>
        <v>0</v>
      </c>
      <c r="AL253" s="824">
        <f t="shared" si="1049"/>
        <v>0</v>
      </c>
      <c r="AM253" s="824">
        <f t="shared" si="1049"/>
        <v>0</v>
      </c>
      <c r="AN253" s="824">
        <f t="shared" si="1049"/>
        <v>0</v>
      </c>
      <c r="AO253" s="824">
        <f t="shared" si="1049"/>
        <v>0</v>
      </c>
      <c r="AP253" s="824">
        <f t="shared" si="1049"/>
        <v>0</v>
      </c>
      <c r="AQ253" s="824">
        <f t="shared" si="1049"/>
        <v>0</v>
      </c>
      <c r="AR253" s="824">
        <f t="shared" si="1049"/>
        <v>0</v>
      </c>
      <c r="AS253" s="824">
        <f t="shared" ref="AS253:CA253" si="1050">AS438</f>
        <v>0</v>
      </c>
      <c r="AT253" s="824">
        <f t="shared" si="1050"/>
        <v>0</v>
      </c>
      <c r="AU253" s="824">
        <f t="shared" si="1050"/>
        <v>0</v>
      </c>
      <c r="AV253" s="824">
        <f t="shared" si="1050"/>
        <v>0</v>
      </c>
      <c r="AW253" s="824">
        <f t="shared" si="1050"/>
        <v>0</v>
      </c>
      <c r="AX253" s="824">
        <f t="shared" si="1050"/>
        <v>0</v>
      </c>
      <c r="AY253" s="824">
        <f t="shared" si="1050"/>
        <v>0</v>
      </c>
      <c r="AZ253" s="824">
        <f t="shared" si="1050"/>
        <v>0</v>
      </c>
      <c r="BA253" s="824">
        <f t="shared" si="1050"/>
        <v>0</v>
      </c>
      <c r="BB253" s="824">
        <f t="shared" si="1050"/>
        <v>0</v>
      </c>
      <c r="BC253" s="824">
        <f t="shared" si="1050"/>
        <v>0</v>
      </c>
      <c r="BD253" s="824">
        <f t="shared" si="1050"/>
        <v>0</v>
      </c>
      <c r="BE253" s="824">
        <f t="shared" si="1050"/>
        <v>0</v>
      </c>
      <c r="BF253" s="824">
        <f t="shared" si="1050"/>
        <v>0</v>
      </c>
      <c r="BG253" s="824">
        <f t="shared" si="1050"/>
        <v>95</v>
      </c>
      <c r="BH253" s="824">
        <f t="shared" si="1050"/>
        <v>95</v>
      </c>
      <c r="BI253" s="824">
        <f t="shared" si="1050"/>
        <v>95</v>
      </c>
      <c r="BJ253" s="824">
        <f t="shared" si="1050"/>
        <v>95</v>
      </c>
      <c r="BK253" s="824">
        <f t="shared" si="1050"/>
        <v>380</v>
      </c>
      <c r="BL253" s="824">
        <f t="shared" si="1050"/>
        <v>95</v>
      </c>
      <c r="BM253" s="824">
        <f t="shared" si="1050"/>
        <v>95</v>
      </c>
      <c r="BN253" s="824">
        <f t="shared" si="1050"/>
        <v>95</v>
      </c>
      <c r="BO253" s="824">
        <f t="shared" si="1050"/>
        <v>95</v>
      </c>
      <c r="BP253" s="824">
        <f t="shared" si="1050"/>
        <v>380</v>
      </c>
      <c r="BQ253" s="824">
        <f t="shared" si="1050"/>
        <v>0</v>
      </c>
      <c r="BR253" s="824">
        <f t="shared" si="1050"/>
        <v>0</v>
      </c>
      <c r="BS253" s="824">
        <f t="shared" si="1050"/>
        <v>0</v>
      </c>
      <c r="BT253" s="824">
        <f t="shared" si="1050"/>
        <v>0</v>
      </c>
      <c r="BU253" s="824">
        <f t="shared" si="1050"/>
        <v>0</v>
      </c>
      <c r="BV253" s="824">
        <f t="shared" si="1050"/>
        <v>0</v>
      </c>
      <c r="BW253" s="824">
        <f t="shared" si="1050"/>
        <v>0</v>
      </c>
      <c r="BX253" s="824">
        <f t="shared" si="1050"/>
        <v>0</v>
      </c>
      <c r="BY253" s="824">
        <f t="shared" si="1050"/>
        <v>0</v>
      </c>
      <c r="BZ253" s="824">
        <f t="shared" si="1050"/>
        <v>0</v>
      </c>
      <c r="CA253" s="824">
        <f t="shared" si="1050"/>
        <v>0</v>
      </c>
      <c r="CB253" s="824">
        <f t="shared" ref="CB253:CC253" si="1051">CB438</f>
        <v>0</v>
      </c>
      <c r="CC253" s="824">
        <f t="shared" si="1051"/>
        <v>0</v>
      </c>
      <c r="CD253" s="824">
        <f t="shared" ref="CD253:CE253" si="1052">CD438</f>
        <v>0</v>
      </c>
      <c r="CE253" s="824">
        <f t="shared" si="1052"/>
        <v>0</v>
      </c>
      <c r="CF253" s="824">
        <f t="shared" ref="CF253:CG253" si="1053">CF438</f>
        <v>0</v>
      </c>
      <c r="CG253" s="824">
        <f t="shared" si="1053"/>
        <v>0</v>
      </c>
      <c r="CH253" s="824">
        <f t="shared" ref="CH253:CI253" si="1054">CH438</f>
        <v>0</v>
      </c>
      <c r="CI253" s="824">
        <f t="shared" si="1054"/>
        <v>0</v>
      </c>
      <c r="CJ253" s="824"/>
      <c r="CK253" s="824">
        <f t="shared" ref="CK253:CL253" si="1055">CK438</f>
        <v>0</v>
      </c>
      <c r="CL253" s="824">
        <f t="shared" si="1055"/>
        <v>0</v>
      </c>
      <c r="CM253" s="824">
        <f t="shared" ref="CM253" si="1056">CM438</f>
        <v>0</v>
      </c>
      <c r="CN253" s="824"/>
      <c r="CO253" s="824">
        <f t="shared" ref="CO253:CT253" si="1057">CO438</f>
        <v>402.32585</v>
      </c>
      <c r="CP253" s="824">
        <f t="shared" si="1057"/>
        <v>402.32585</v>
      </c>
      <c r="CQ253" s="824">
        <f t="shared" si="1057"/>
        <v>439.43857727272723</v>
      </c>
      <c r="CR253" s="824">
        <f t="shared" si="1057"/>
        <v>476.55130454545451</v>
      </c>
      <c r="CS253" s="824">
        <f t="shared" si="1057"/>
        <v>513.6640318181818</v>
      </c>
      <c r="CT253" s="824">
        <f t="shared" si="1057"/>
        <v>550.77675909090908</v>
      </c>
      <c r="CU253" s="347"/>
      <c r="CV253" s="1363"/>
      <c r="CW253" s="347"/>
      <c r="CX253" s="347"/>
      <c r="CY253" s="347"/>
      <c r="CZ253" s="354"/>
      <c r="DA253" s="354"/>
      <c r="DB253" s="354"/>
      <c r="DC253" s="882"/>
      <c r="DD253" s="882"/>
      <c r="DE253" s="882"/>
      <c r="DF253" s="759"/>
      <c r="DG253" s="759"/>
      <c r="DH253" s="759"/>
      <c r="DI253" s="759"/>
      <c r="DJ253" s="759"/>
      <c r="DK253" s="759"/>
      <c r="DL253" s="759"/>
      <c r="DM253" s="759"/>
    </row>
    <row r="254" spans="1:117">
      <c r="B254" s="462" t="s">
        <v>581</v>
      </c>
      <c r="C254" s="827"/>
      <c r="D254" s="827"/>
      <c r="E254" s="827"/>
      <c r="F254" s="827"/>
      <c r="G254" s="827"/>
      <c r="H254" s="827"/>
      <c r="I254" s="826"/>
      <c r="J254" s="826"/>
      <c r="K254" s="826"/>
      <c r="L254" s="826"/>
      <c r="M254" s="826">
        <f>SUM(M252:M253)</f>
        <v>3741</v>
      </c>
      <c r="N254" s="826">
        <f t="shared" ref="N254:Q254" si="1058">SUM(N252:N253)</f>
        <v>973</v>
      </c>
      <c r="O254" s="826">
        <f t="shared" si="1058"/>
        <v>977</v>
      </c>
      <c r="P254" s="826">
        <f t="shared" si="1058"/>
        <v>1003</v>
      </c>
      <c r="Q254" s="826">
        <f t="shared" si="1058"/>
        <v>1169</v>
      </c>
      <c r="R254" s="826">
        <f>SUM(R252:R253)</f>
        <v>4122</v>
      </c>
      <c r="S254" s="826">
        <f t="shared" ref="S254:V254" si="1059">SUM(S252:S253)</f>
        <v>1187</v>
      </c>
      <c r="T254" s="826">
        <f t="shared" si="1059"/>
        <v>1165</v>
      </c>
      <c r="U254" s="826">
        <f t="shared" si="1059"/>
        <v>1170</v>
      </c>
      <c r="V254" s="826">
        <f t="shared" si="1059"/>
        <v>1161</v>
      </c>
      <c r="W254" s="826">
        <f>SUM(W252:W253)</f>
        <v>4683</v>
      </c>
      <c r="X254" s="826">
        <f t="shared" ref="X254:AA254" si="1060">SUM(X252:X253)</f>
        <v>1213</v>
      </c>
      <c r="Y254" s="826">
        <f t="shared" si="1060"/>
        <v>1257</v>
      </c>
      <c r="Z254" s="826">
        <f t="shared" si="1060"/>
        <v>1288</v>
      </c>
      <c r="AA254" s="826">
        <f t="shared" si="1060"/>
        <v>1308</v>
      </c>
      <c r="AB254" s="826">
        <f>SUM(AB252:AB253)</f>
        <v>5066</v>
      </c>
      <c r="AC254" s="826">
        <f t="shared" ref="AC254:AF254" si="1061">SUM(AC252:AC253)</f>
        <v>1326</v>
      </c>
      <c r="AD254" s="826">
        <f t="shared" si="1061"/>
        <v>1386</v>
      </c>
      <c r="AE254" s="826">
        <f t="shared" si="1061"/>
        <v>1573</v>
      </c>
      <c r="AF254" s="826">
        <f t="shared" si="1061"/>
        <v>1474</v>
      </c>
      <c r="AG254" s="826">
        <f>SUM(AG252:AG253)</f>
        <v>5759</v>
      </c>
      <c r="AH254" s="826">
        <f t="shared" ref="AH254:AK254" si="1062">SUM(AH252:AH253)</f>
        <v>1557</v>
      </c>
      <c r="AI254" s="826">
        <f t="shared" si="1062"/>
        <v>1710</v>
      </c>
      <c r="AJ254" s="826">
        <f t="shared" si="1062"/>
        <v>1907</v>
      </c>
      <c r="AK254" s="826">
        <f t="shared" si="1062"/>
        <v>1784</v>
      </c>
      <c r="AL254" s="826">
        <f>SUM(AL252:AL253)</f>
        <v>6958</v>
      </c>
      <c r="AM254" s="826">
        <f t="shared" ref="AM254:AP254" si="1063">SUM(AM252:AM253)</f>
        <v>1791</v>
      </c>
      <c r="AN254" s="826">
        <f t="shared" si="1063"/>
        <v>1782</v>
      </c>
      <c r="AO254" s="826">
        <f t="shared" si="1063"/>
        <v>1681</v>
      </c>
      <c r="AP254" s="826">
        <f t="shared" si="1063"/>
        <v>1881</v>
      </c>
      <c r="AQ254" s="826">
        <f>SUM(AQ252:AQ253)</f>
        <v>7135</v>
      </c>
      <c r="AR254" s="826">
        <f t="shared" ref="AR254:AU254" si="1064">SUM(AR252:AR253)</f>
        <v>1871</v>
      </c>
      <c r="AS254" s="826">
        <f t="shared" si="1064"/>
        <v>2090</v>
      </c>
      <c r="AT254" s="826">
        <f t="shared" si="1064"/>
        <v>1800</v>
      </c>
      <c r="AU254" s="826">
        <f t="shared" si="1064"/>
        <v>2285</v>
      </c>
      <c r="AV254" s="826">
        <f>SUM(AV252:AV253)</f>
        <v>8046</v>
      </c>
      <c r="AW254" s="826">
        <f t="shared" ref="AW254:AZ254" si="1065">SUM(AW252:AW253)</f>
        <v>1679</v>
      </c>
      <c r="AX254" s="826">
        <f t="shared" si="1065"/>
        <v>1702</v>
      </c>
      <c r="AY254" s="826">
        <f t="shared" si="1065"/>
        <v>1705</v>
      </c>
      <c r="AZ254" s="826">
        <f t="shared" si="1065"/>
        <v>1865</v>
      </c>
      <c r="BA254" s="826">
        <f>SUM(BA252:BA253)</f>
        <v>6951</v>
      </c>
      <c r="BB254" s="826">
        <f t="shared" ref="BB254:BE254" si="1066">SUM(BB252:BB253)</f>
        <v>1848</v>
      </c>
      <c r="BC254" s="826">
        <f t="shared" si="1066"/>
        <v>1854</v>
      </c>
      <c r="BD254" s="826">
        <f t="shared" si="1066"/>
        <v>1924</v>
      </c>
      <c r="BE254" s="826">
        <f t="shared" si="1066"/>
        <v>5995</v>
      </c>
      <c r="BF254" s="826">
        <f>SUM(BF252:BF253)</f>
        <v>11621</v>
      </c>
      <c r="BG254" s="826">
        <f t="shared" ref="BG254:BJ254" si="1067">SUM(BG252:BG253)</f>
        <v>1771</v>
      </c>
      <c r="BH254" s="826">
        <f t="shared" si="1067"/>
        <v>1761</v>
      </c>
      <c r="BI254" s="826">
        <f t="shared" si="1067"/>
        <v>1877</v>
      </c>
      <c r="BJ254" s="826">
        <f t="shared" si="1067"/>
        <v>1954</v>
      </c>
      <c r="BK254" s="826">
        <f>SUM(BK252:BK253)</f>
        <v>7363</v>
      </c>
      <c r="BL254" s="826">
        <f t="shared" ref="BL254:BO254" si="1068">SUM(BL252:BL253)</f>
        <v>2603.0409999999997</v>
      </c>
      <c r="BM254" s="826">
        <f t="shared" si="1068"/>
        <v>2496.6529999999998</v>
      </c>
      <c r="BN254" s="826">
        <f t="shared" si="1068"/>
        <v>2341.605</v>
      </c>
      <c r="BO254" s="826">
        <f t="shared" si="1068"/>
        <v>5013.389000000001</v>
      </c>
      <c r="BP254" s="826">
        <f>SUM(BP252:BP253)</f>
        <v>12454.688</v>
      </c>
      <c r="BQ254" s="826">
        <f t="shared" ref="BQ254:BT254" si="1069">SUM(BQ252:BQ253)</f>
        <v>2419.9369999999999</v>
      </c>
      <c r="BR254" s="826">
        <f t="shared" si="1069"/>
        <v>2499.5870000000004</v>
      </c>
      <c r="BS254" s="826">
        <f t="shared" si="1069"/>
        <v>2500.0769999999993</v>
      </c>
      <c r="BT254" s="826">
        <f t="shared" si="1069"/>
        <v>2536.6260000000011</v>
      </c>
      <c r="BU254" s="826">
        <f>SUM(BU252:BU253)</f>
        <v>9956.2270000000008</v>
      </c>
      <c r="BV254" s="826">
        <f t="shared" ref="BV254:BY254" si="1070">SUM(BV252:BV253)</f>
        <v>2560.8670000000002</v>
      </c>
      <c r="BW254" s="826">
        <f t="shared" si="1070"/>
        <v>2535.7119999999995</v>
      </c>
      <c r="BX254" s="826">
        <f t="shared" si="1070"/>
        <v>2580.4620000000004</v>
      </c>
      <c r="BY254" s="826">
        <f t="shared" si="1070"/>
        <v>2887.2550000000001</v>
      </c>
      <c r="BZ254" s="826">
        <f t="shared" ref="BZ254:CE254" si="1071">SUM(BZ252:BZ253)</f>
        <v>10564.296</v>
      </c>
      <c r="CA254" s="826">
        <f t="shared" si="1071"/>
        <v>2737.9949999999999</v>
      </c>
      <c r="CB254" s="826">
        <f t="shared" si="1071"/>
        <v>2830.1390000000001</v>
      </c>
      <c r="CC254" s="826">
        <f t="shared" si="1071"/>
        <v>2956.7470000000012</v>
      </c>
      <c r="CD254" s="826">
        <f t="shared" si="1071"/>
        <v>2822.8769999999986</v>
      </c>
      <c r="CE254" s="826">
        <f t="shared" si="1071"/>
        <v>11347.758</v>
      </c>
      <c r="CF254" s="826">
        <f t="shared" ref="CF254:CG254" si="1072">SUM(CF252:CF253)</f>
        <v>3007.2190000000001</v>
      </c>
      <c r="CG254" s="826">
        <f t="shared" si="1072"/>
        <v>3166.6189999999997</v>
      </c>
      <c r="CH254" s="826">
        <f t="shared" ref="CH254:CK254" si="1073">SUM(CH252:CH253)</f>
        <v>2900.0280000000002</v>
      </c>
      <c r="CI254" s="826">
        <f t="shared" si="1073"/>
        <v>3000.4689999999991</v>
      </c>
      <c r="CJ254" s="826">
        <f t="shared" si="1073"/>
        <v>12074.334999999999</v>
      </c>
      <c r="CK254" s="826">
        <f t="shared" si="1073"/>
        <v>2871.3240000000001</v>
      </c>
      <c r="CL254" s="826">
        <f t="shared" ref="CL254" si="1074">SUM(CL252:CL253)</f>
        <v>4641.3360000000011</v>
      </c>
      <c r="CM254" s="826">
        <f t="shared" ref="CM254" si="1075">SUM(CM252:CM253)</f>
        <v>5171.6169999999984</v>
      </c>
      <c r="CN254" s="826"/>
      <c r="CO254" s="826">
        <f t="shared" ref="CO254:CT254" si="1076">SUM(CO252:CO253)</f>
        <v>16463.321706114111</v>
      </c>
      <c r="CP254" s="826">
        <f>SUM(CP252:CP253)</f>
        <v>16956.125076474193</v>
      </c>
      <c r="CQ254" s="826">
        <f>SUM(CQ252:CQ253)</f>
        <v>16557.870318976438</v>
      </c>
      <c r="CR254" s="826">
        <f t="shared" si="1076"/>
        <v>16259.780487046355</v>
      </c>
      <c r="CS254" s="826">
        <f t="shared" si="1076"/>
        <v>16167.31125420738</v>
      </c>
      <c r="CT254" s="826">
        <f t="shared" si="1076"/>
        <v>16240.602522655947</v>
      </c>
      <c r="CU254" s="347"/>
      <c r="CV254" s="1363"/>
      <c r="CW254" s="347"/>
      <c r="CX254" s="347">
        <f>CX248-CX257</f>
        <v>15353.486148709124</v>
      </c>
      <c r="CY254" s="347"/>
      <c r="CZ254" s="354"/>
      <c r="DA254" s="354"/>
      <c r="DB254" s="354"/>
      <c r="DC254" s="882"/>
      <c r="DD254" s="882"/>
      <c r="DE254" s="882"/>
      <c r="DF254" s="759"/>
      <c r="DG254" s="759"/>
      <c r="DH254" s="759"/>
      <c r="DI254" s="759"/>
      <c r="DJ254" s="759"/>
      <c r="DK254" s="759"/>
      <c r="DL254" s="759"/>
      <c r="DM254" s="759"/>
    </row>
    <row r="255" spans="1:117">
      <c r="B255" s="453" t="s">
        <v>0</v>
      </c>
      <c r="C255" s="450"/>
      <c r="D255" s="450"/>
      <c r="E255" s="450"/>
      <c r="F255" s="450"/>
      <c r="G255" s="450"/>
      <c r="H255" s="450"/>
      <c r="I255" s="450"/>
      <c r="J255" s="450"/>
      <c r="K255" s="450"/>
      <c r="L255" s="450"/>
      <c r="M255" s="367"/>
      <c r="N255" s="367" t="e">
        <f>N254/I254-1</f>
        <v>#DIV/0!</v>
      </c>
      <c r="O255" s="367" t="e">
        <f t="shared" ref="O255" si="1077">O254/J254-1</f>
        <v>#DIV/0!</v>
      </c>
      <c r="P255" s="367" t="e">
        <f t="shared" ref="P255" si="1078">P254/K254-1</f>
        <v>#DIV/0!</v>
      </c>
      <c r="Q255" s="367" t="e">
        <f t="shared" ref="Q255" si="1079">Q254/L254-1</f>
        <v>#DIV/0!</v>
      </c>
      <c r="R255" s="367">
        <f>R254/M254-1</f>
        <v>0.10184442662389737</v>
      </c>
      <c r="S255" s="367">
        <f>S254/N254-1</f>
        <v>0.21993833504624871</v>
      </c>
      <c r="T255" s="367">
        <f t="shared" ref="T255" si="1080">T254/O254-1</f>
        <v>0.1924257932446265</v>
      </c>
      <c r="U255" s="367">
        <f t="shared" ref="U255" si="1081">U254/P254-1</f>
        <v>0.16650049850448645</v>
      </c>
      <c r="V255" s="367">
        <f t="shared" ref="V255" si="1082">V254/Q254-1</f>
        <v>-6.8434559452523747E-3</v>
      </c>
      <c r="W255" s="367">
        <f t="shared" ref="W255" si="1083">W254/R254-1</f>
        <v>0.13609898107714691</v>
      </c>
      <c r="X255" s="367">
        <f t="shared" ref="X255" si="1084">X254/S254-1</f>
        <v>2.1903959561920816E-2</v>
      </c>
      <c r="Y255" s="367">
        <f t="shared" ref="Y255" si="1085">Y254/T254-1</f>
        <v>7.8969957081544973E-2</v>
      </c>
      <c r="Z255" s="367">
        <f t="shared" ref="Z255" si="1086">Z254/U254-1</f>
        <v>0.10085470085470094</v>
      </c>
      <c r="AA255" s="367">
        <f t="shared" ref="AA255" si="1087">AA254/V254-1</f>
        <v>0.12661498708010344</v>
      </c>
      <c r="AB255" s="367">
        <f t="shared" ref="AB255" si="1088">AB254/W254-1</f>
        <v>8.1785180439889027E-2</v>
      </c>
      <c r="AC255" s="367">
        <f t="shared" ref="AC255" si="1089">AC254/X254-1</f>
        <v>9.3157460840890272E-2</v>
      </c>
      <c r="AD255" s="367">
        <f t="shared" ref="AD255" si="1090">AD254/Y254-1</f>
        <v>0.10262529832935563</v>
      </c>
      <c r="AE255" s="367">
        <f t="shared" ref="AE255" si="1091">AE254/Z254-1</f>
        <v>0.22127329192546585</v>
      </c>
      <c r="AF255" s="367">
        <f t="shared" ref="AF255" si="1092">AF254/AA254-1</f>
        <v>0.12691131498470942</v>
      </c>
      <c r="AG255" s="367">
        <f t="shared" ref="AG255" si="1093">AG254/AB254-1</f>
        <v>0.13679431504145279</v>
      </c>
      <c r="AH255" s="367">
        <f t="shared" ref="AH255" si="1094">AH254/AC254-1</f>
        <v>0.17420814479638014</v>
      </c>
      <c r="AI255" s="367">
        <f t="shared" ref="AI255" si="1095">AI254/AD254-1</f>
        <v>0.23376623376623384</v>
      </c>
      <c r="AJ255" s="367">
        <f t="shared" ref="AJ255" si="1096">AJ254/AE254-1</f>
        <v>0.21233312142403049</v>
      </c>
      <c r="AK255" s="367">
        <f t="shared" ref="AK255" si="1097">AK254/AF254-1</f>
        <v>0.21031207598371782</v>
      </c>
      <c r="AL255" s="367">
        <f t="shared" ref="AL255" si="1098">AL254/AG254-1</f>
        <v>0.20819586733807949</v>
      </c>
      <c r="AM255" s="367">
        <f t="shared" ref="AM255" si="1099">AM254/AH254-1</f>
        <v>0.1502890173410405</v>
      </c>
      <c r="AN255" s="367">
        <f t="shared" ref="AN255" si="1100">AN254/AI254-1</f>
        <v>4.2105263157894646E-2</v>
      </c>
      <c r="AO255" s="367">
        <f t="shared" ref="AO255" si="1101">AO254/AJ254-1</f>
        <v>-0.11851074986890409</v>
      </c>
      <c r="AP255" s="367">
        <f t="shared" ref="AP255" si="1102">AP254/AK254-1</f>
        <v>5.4372197309417114E-2</v>
      </c>
      <c r="AQ255" s="367">
        <f t="shared" ref="AQ255" si="1103">AQ254/AL254-1</f>
        <v>2.5438344351825126E-2</v>
      </c>
      <c r="AR255" s="367">
        <f t="shared" ref="AR255" si="1104">AR254/AM254-1</f>
        <v>4.4667783361250768E-2</v>
      </c>
      <c r="AS255" s="367">
        <f t="shared" ref="AS255" si="1105">AS254/AN254-1</f>
        <v>0.17283950617283961</v>
      </c>
      <c r="AT255" s="367">
        <f t="shared" ref="AT255" si="1106">AT254/AO254-1</f>
        <v>7.0791195716835231E-2</v>
      </c>
      <c r="AU255" s="367">
        <f t="shared" ref="AU255" si="1107">AU254/AP254-1</f>
        <v>0.21477937267410963</v>
      </c>
      <c r="AV255" s="367">
        <f t="shared" ref="AV255" si="1108">AV254/AQ254-1</f>
        <v>0.1276804484933427</v>
      </c>
      <c r="AW255" s="367">
        <f t="shared" ref="AW255" si="1109">AW254/AR254-1</f>
        <v>-0.102618920363442</v>
      </c>
      <c r="AX255" s="367">
        <f t="shared" ref="AX255" si="1110">AX254/AS254-1</f>
        <v>-0.18564593301435406</v>
      </c>
      <c r="AY255" s="367">
        <f t="shared" ref="AY255" si="1111">AY254/AT254-1</f>
        <v>-5.2777777777777812E-2</v>
      </c>
      <c r="AZ255" s="367">
        <f t="shared" ref="AZ255" si="1112">AZ254/AU254-1</f>
        <v>-0.1838074398249453</v>
      </c>
      <c r="BA255" s="367">
        <f t="shared" ref="BA255" si="1113">BA254/AV254-1</f>
        <v>-0.13609246830723343</v>
      </c>
      <c r="BB255" s="367">
        <f t="shared" ref="BB255" si="1114">BB254/AW254-1</f>
        <v>0.10065515187611673</v>
      </c>
      <c r="BC255" s="367">
        <f t="shared" ref="BC255" si="1115">BC254/AX254-1</f>
        <v>8.9306698002350249E-2</v>
      </c>
      <c r="BD255" s="367">
        <f t="shared" ref="BD255" si="1116">BD254/AY254-1</f>
        <v>0.12844574780058648</v>
      </c>
      <c r="BE255" s="367">
        <f t="shared" ref="BE255" si="1117">BE254/AZ254-1</f>
        <v>2.2144772117962468</v>
      </c>
      <c r="BF255" s="367">
        <f t="shared" ref="BF255" si="1118">BF254/BA254-1</f>
        <v>0.67184577758595876</v>
      </c>
      <c r="BG255" s="367">
        <f t="shared" ref="BG255" si="1119">BG254/BB254-1</f>
        <v>-4.166666666666663E-2</v>
      </c>
      <c r="BH255" s="367">
        <f t="shared" ref="BH255" si="1120">BH254/BC254-1</f>
        <v>-5.0161812297734643E-2</v>
      </c>
      <c r="BI255" s="367">
        <f t="shared" ref="BI255" si="1121">BI254/BD254-1</f>
        <v>-2.4428274428274444E-2</v>
      </c>
      <c r="BJ255" s="367">
        <f t="shared" ref="BJ255" si="1122">BJ254/BE254-1</f>
        <v>-0.67406171809841542</v>
      </c>
      <c r="BK255" s="367">
        <f t="shared" ref="BK255" si="1123">BK254/BF254-1</f>
        <v>-0.36640564495310213</v>
      </c>
      <c r="BL255" s="367">
        <f t="shared" ref="BL255" si="1124">BL254/BG254-1</f>
        <v>0.46981422924901173</v>
      </c>
      <c r="BM255" s="367">
        <f t="shared" ref="BM255" si="1125">BM254/BH254-1</f>
        <v>0.417747302668938</v>
      </c>
      <c r="BN255" s="367">
        <f t="shared" ref="BN255" si="1126">BN254/BI254-1</f>
        <v>0.24752530633990411</v>
      </c>
      <c r="BO255" s="367">
        <f t="shared" ref="BO255" si="1127">BO254/BJ254-1</f>
        <v>1.5657057318321397</v>
      </c>
      <c r="BP255" s="367">
        <f t="shared" ref="BP255" si="1128">BP254/BK254-1</f>
        <v>0.69152356376476987</v>
      </c>
      <c r="BQ255" s="367">
        <f t="shared" ref="BQ255" si="1129">BQ254/BL254-1</f>
        <v>-7.0342341899339966E-2</v>
      </c>
      <c r="BR255" s="367">
        <f t="shared" ref="BR255" si="1130">BR254/BM254-1</f>
        <v>1.1751733220437544E-3</v>
      </c>
      <c r="BS255" s="367">
        <f t="shared" ref="BS255" si="1131">BS254/BN254-1</f>
        <v>6.7676657677105734E-2</v>
      </c>
      <c r="BT255" s="367">
        <f t="shared" ref="BT255" si="1132">BT254/BO254-1</f>
        <v>-0.49402968730333896</v>
      </c>
      <c r="BU255" s="367">
        <f t="shared" ref="BU255" si="1133">BU254/BP254-1</f>
        <v>-0.20060406169949818</v>
      </c>
      <c r="BV255" s="367">
        <f t="shared" ref="BV255" si="1134">BV254/BQ254-1</f>
        <v>5.8237053278659801E-2</v>
      </c>
      <c r="BW255" s="367">
        <f t="shared" ref="BW255" si="1135">BW254/BR254-1</f>
        <v>1.4452387534420241E-2</v>
      </c>
      <c r="BX255" s="367">
        <f t="shared" ref="BX255" si="1136">BX254/BS254-1</f>
        <v>3.215300968730217E-2</v>
      </c>
      <c r="BY255" s="367">
        <f t="shared" ref="BY255" si="1137">BY254/BT254-1</f>
        <v>0.13822652610199482</v>
      </c>
      <c r="BZ255" s="367">
        <f>BZ254/BU254-1</f>
        <v>6.1074240271942415E-2</v>
      </c>
      <c r="CA255" s="367">
        <f t="shared" ref="CA255" si="1138">CA254/BV254-1</f>
        <v>6.9167200014682351E-2</v>
      </c>
      <c r="CB255" s="367">
        <f t="shared" ref="CB255" si="1139">CB254/BW254-1</f>
        <v>0.11611216100251154</v>
      </c>
      <c r="CC255" s="367">
        <f t="shared" ref="CC255" si="1140">CC254/BX254-1</f>
        <v>0.14582078713036695</v>
      </c>
      <c r="CD255" s="367">
        <f t="shared" ref="CD255" si="1141">CD254/BY254-1</f>
        <v>-2.2297303147800096E-2</v>
      </c>
      <c r="CE255" s="367">
        <f>CE254/BZ254-1</f>
        <v>7.4161307104609664E-2</v>
      </c>
      <c r="CF255" s="367">
        <f t="shared" ref="CF255:CM255" si="1142">CF254/CA254-1</f>
        <v>9.8328886648807012E-2</v>
      </c>
      <c r="CG255" s="367">
        <f t="shared" si="1142"/>
        <v>0.1188916869454113</v>
      </c>
      <c r="CH255" s="367">
        <f t="shared" si="1142"/>
        <v>-1.9182906078876849E-2</v>
      </c>
      <c r="CI255" s="367">
        <f t="shared" si="1142"/>
        <v>6.2911703202088054E-2</v>
      </c>
      <c r="CJ255" s="367">
        <f>CJ254/CE254-1</f>
        <v>6.4028242407002223E-2</v>
      </c>
      <c r="CK255" s="367">
        <f t="shared" si="1142"/>
        <v>-4.5189592111515631E-2</v>
      </c>
      <c r="CL255" s="367">
        <f t="shared" si="1142"/>
        <v>0.4657071153807899</v>
      </c>
      <c r="CM255" s="367">
        <f t="shared" si="1142"/>
        <v>0.7832989888373485</v>
      </c>
      <c r="CN255" s="367"/>
      <c r="CO255" s="367">
        <f t="shared" ref="CO255" si="1143">CO254/CJ254-1</f>
        <v>0.3634971786118335</v>
      </c>
      <c r="CP255" s="367">
        <f>CP254/CO254-1</f>
        <v>2.9933410714865882E-2</v>
      </c>
      <c r="CQ255" s="367">
        <f>CQ254/CP254-1</f>
        <v>-2.3487368470188619E-2</v>
      </c>
      <c r="CR255" s="367">
        <f t="shared" ref="CR255" si="1144">CR254/CQ254-1</f>
        <v>-1.8002908960366271E-2</v>
      </c>
      <c r="CS255" s="367">
        <f t="shared" ref="CS255" si="1145">CS254/CR254-1</f>
        <v>-5.6869914641617392E-3</v>
      </c>
      <c r="CT255" s="367">
        <f t="shared" ref="CT255" si="1146">CT254/CS254-1</f>
        <v>4.5332997736091674E-3</v>
      </c>
      <c r="CU255" s="347"/>
      <c r="CV255" s="1363"/>
      <c r="CW255" s="347"/>
      <c r="CX255" s="347"/>
      <c r="CY255" s="347"/>
      <c r="CZ255" s="354"/>
      <c r="DA255" s="354"/>
      <c r="DB255" s="354"/>
      <c r="DC255" s="882"/>
      <c r="DD255" s="882"/>
      <c r="DE255" s="882"/>
      <c r="DF255" s="759"/>
      <c r="DG255" s="759"/>
      <c r="DH255" s="759"/>
      <c r="DI255" s="759"/>
      <c r="DJ255" s="759"/>
      <c r="DK255" s="759"/>
      <c r="DL255" s="759"/>
      <c r="DM255" s="759"/>
    </row>
    <row r="256" spans="1:117">
      <c r="B256" s="453" t="s">
        <v>966</v>
      </c>
      <c r="C256" s="450"/>
      <c r="D256" s="450"/>
      <c r="E256" s="450"/>
      <c r="F256" s="450"/>
      <c r="G256" s="450"/>
      <c r="H256" s="450"/>
      <c r="I256" s="450"/>
      <c r="J256" s="450"/>
      <c r="K256" s="450"/>
      <c r="L256" s="450"/>
      <c r="M256" s="367">
        <f t="shared" ref="M256:AR256" si="1147">IFERROR(M254/M27,"")</f>
        <v>0.70816059969333867</v>
      </c>
      <c r="N256" s="367">
        <f t="shared" si="1147"/>
        <v>1.3256130790190737</v>
      </c>
      <c r="O256" s="367">
        <f t="shared" si="1147"/>
        <v>0.92606635071090049</v>
      </c>
      <c r="P256" s="367">
        <f t="shared" si="1147"/>
        <v>0.59844868735083534</v>
      </c>
      <c r="Q256" s="367">
        <f t="shared" si="1147"/>
        <v>0.84526391901663056</v>
      </c>
      <c r="R256" s="367">
        <f t="shared" si="1147"/>
        <v>0.85024752475247523</v>
      </c>
      <c r="S256" s="367">
        <f t="shared" si="1147"/>
        <v>0.91167434715821816</v>
      </c>
      <c r="T256" s="367">
        <f t="shared" si="1147"/>
        <v>0.90732087227414326</v>
      </c>
      <c r="U256" s="367">
        <f t="shared" si="1147"/>
        <v>0.75435203094777559</v>
      </c>
      <c r="V256" s="367">
        <f t="shared" si="1147"/>
        <v>0.48679245283018868</v>
      </c>
      <c r="W256" s="367">
        <f t="shared" si="1147"/>
        <v>0.71803127874885009</v>
      </c>
      <c r="X256" s="367">
        <f t="shared" si="1147"/>
        <v>0.47982594936708861</v>
      </c>
      <c r="Y256" s="367">
        <f t="shared" si="1147"/>
        <v>0.45809037900874633</v>
      </c>
      <c r="Z256" s="367">
        <f t="shared" si="1147"/>
        <v>0.67469879518072284</v>
      </c>
      <c r="AA256" s="367">
        <f t="shared" si="1147"/>
        <v>0.4367278797996661</v>
      </c>
      <c r="AB256" s="367">
        <f t="shared" si="1147"/>
        <v>0.49783805031446543</v>
      </c>
      <c r="AC256" s="367">
        <f t="shared" si="1147"/>
        <v>0.74036850921273034</v>
      </c>
      <c r="AD256" s="367">
        <f t="shared" si="1147"/>
        <v>0.61408949933540102</v>
      </c>
      <c r="AE256" s="367">
        <f t="shared" si="1147"/>
        <v>0.87730061349693256</v>
      </c>
      <c r="AF256" s="367">
        <f t="shared" si="1147"/>
        <v>0.94913071474565358</v>
      </c>
      <c r="AG256" s="367">
        <f t="shared" si="1147"/>
        <v>0.7788747633216121</v>
      </c>
      <c r="AH256" s="367">
        <f t="shared" si="1147"/>
        <v>0.8912421293646251</v>
      </c>
      <c r="AI256" s="367">
        <f t="shared" si="1147"/>
        <v>0.92183288409703501</v>
      </c>
      <c r="AJ256" s="367">
        <f t="shared" si="1147"/>
        <v>1.1270685579196218</v>
      </c>
      <c r="AK256" s="367">
        <f t="shared" si="1147"/>
        <v>0.99056079955580234</v>
      </c>
      <c r="AL256" s="367">
        <f t="shared" si="1147"/>
        <v>0.98069062720225508</v>
      </c>
      <c r="AM256" s="367">
        <f t="shared" si="1147"/>
        <v>1.4789430222956235</v>
      </c>
      <c r="AN256" s="367">
        <f t="shared" si="1147"/>
        <v>1.6638655462184875</v>
      </c>
      <c r="AO256" s="367">
        <f t="shared" si="1147"/>
        <v>2.4648093841642229</v>
      </c>
      <c r="AP256" s="367">
        <f t="shared" si="1147"/>
        <v>1.5913705583756346</v>
      </c>
      <c r="AQ256" s="367">
        <f t="shared" si="1147"/>
        <v>1.720935841775205</v>
      </c>
      <c r="AR256" s="367">
        <f t="shared" si="1147"/>
        <v>1.7853053435114503</v>
      </c>
      <c r="AS256" s="367">
        <f t="shared" ref="AS256:BX256" si="1148">IFERROR(AS254/AS27,"")</f>
        <v>2.5425790754257909</v>
      </c>
      <c r="AT256" s="367">
        <f t="shared" si="1148"/>
        <v>0.71400238000793337</v>
      </c>
      <c r="AU256" s="367">
        <f t="shared" si="1148"/>
        <v>1.9153394803017603</v>
      </c>
      <c r="AV256" s="367">
        <f t="shared" si="1148"/>
        <v>1.4409025787965617</v>
      </c>
      <c r="AW256" s="367">
        <f t="shared" si="1148"/>
        <v>1.2856049004594181</v>
      </c>
      <c r="AX256" s="367">
        <f t="shared" si="1148"/>
        <v>0.71005423445974136</v>
      </c>
      <c r="AY256" s="367">
        <f t="shared" si="1148"/>
        <v>1.0957583547557841</v>
      </c>
      <c r="AZ256" s="367">
        <f t="shared" si="1148"/>
        <v>1.2969401947148818</v>
      </c>
      <c r="BA256" s="367">
        <f t="shared" si="1148"/>
        <v>1.0379274301926236</v>
      </c>
      <c r="BB256" s="367">
        <f t="shared" si="1148"/>
        <v>1.1853752405388069</v>
      </c>
      <c r="BC256" s="367">
        <f t="shared" si="1148"/>
        <v>1.0829439252336448</v>
      </c>
      <c r="BD256" s="367">
        <f t="shared" si="1148"/>
        <v>1.1527860994607551</v>
      </c>
      <c r="BE256" s="367">
        <f t="shared" si="1148"/>
        <v>3.2370410367170628</v>
      </c>
      <c r="BF256" s="367">
        <f t="shared" si="1148"/>
        <v>1.7109835100117785</v>
      </c>
      <c r="BG256" s="367">
        <f t="shared" si="1148"/>
        <v>1.172071475843812</v>
      </c>
      <c r="BH256" s="367">
        <f t="shared" si="1148"/>
        <v>0.84057279236276849</v>
      </c>
      <c r="BI256" s="367">
        <f t="shared" si="1148"/>
        <v>0.98323729701414353</v>
      </c>
      <c r="BJ256" s="367">
        <f t="shared" si="1148"/>
        <v>0.78758565094719868</v>
      </c>
      <c r="BK256" s="367">
        <f t="shared" si="1148"/>
        <v>0.92083541770885446</v>
      </c>
      <c r="BL256" s="367">
        <f t="shared" si="1148"/>
        <v>1.4591036995515694</v>
      </c>
      <c r="BM256" s="367">
        <f t="shared" si="1148"/>
        <v>1.2796786263454638</v>
      </c>
      <c r="BN256" s="367">
        <f t="shared" si="1148"/>
        <v>1.7553260869565217</v>
      </c>
      <c r="BO256" s="367">
        <f t="shared" si="1148"/>
        <v>4.6163802946593009</v>
      </c>
      <c r="BP256" s="367">
        <f t="shared" si="1148"/>
        <v>2.023507392363932</v>
      </c>
      <c r="BQ256" s="367">
        <f t="shared" si="1148"/>
        <v>1.410219696969697</v>
      </c>
      <c r="BR256" s="367">
        <f t="shared" si="1148"/>
        <v>0.87489919495974811</v>
      </c>
      <c r="BS256" s="367">
        <f t="shared" si="1148"/>
        <v>1.4021744251261914</v>
      </c>
      <c r="BT256" s="367">
        <f t="shared" si="1148"/>
        <v>0.7115360448807857</v>
      </c>
      <c r="BU256" s="367">
        <f t="shared" si="1148"/>
        <v>1.0035507509323658</v>
      </c>
      <c r="BV256" s="367">
        <f t="shared" si="1148"/>
        <v>2.0752568881685578</v>
      </c>
      <c r="BW256" s="367">
        <f t="shared" si="1148"/>
        <v>1.2783783320511122</v>
      </c>
      <c r="BX256" s="367">
        <f t="shared" si="1148"/>
        <v>0.83174652904693136</v>
      </c>
      <c r="BY256" s="367">
        <f t="shared" ref="BY256:CL256" si="1149">IFERROR(BY254/BY27,"")</f>
        <v>1.0525902296755378</v>
      </c>
      <c r="BZ256" s="367">
        <f t="shared" si="1149"/>
        <v>1.1656511089043364</v>
      </c>
      <c r="CA256" s="367">
        <f t="shared" si="1149"/>
        <v>1.9377176220806793</v>
      </c>
      <c r="CB256" s="367">
        <f t="shared" si="1149"/>
        <v>1.6237171543316122</v>
      </c>
      <c r="CC256" s="367">
        <f t="shared" si="1149"/>
        <v>1.2376504813729599</v>
      </c>
      <c r="CD256" s="367">
        <f t="shared" si="1149"/>
        <v>1.7500787352758826</v>
      </c>
      <c r="CE256" s="367">
        <f t="shared" si="1149"/>
        <v>1.5853252305113159</v>
      </c>
      <c r="CF256" s="367">
        <f t="shared" si="1149"/>
        <v>1.4619440933398153</v>
      </c>
      <c r="CG256" s="367">
        <f t="shared" si="1149"/>
        <v>1.5165799808429117</v>
      </c>
      <c r="CH256" s="367">
        <f t="shared" si="1149"/>
        <v>1.9282101063829789</v>
      </c>
      <c r="CI256" s="367">
        <f t="shared" si="1149"/>
        <v>1.7313727639930752</v>
      </c>
      <c r="CJ256" s="367">
        <f t="shared" si="1149"/>
        <v>1.6356454890273637</v>
      </c>
      <c r="CK256" s="367">
        <f t="shared" si="1149"/>
        <v>2.3137179693795327</v>
      </c>
      <c r="CL256" s="367">
        <f t="shared" si="1149"/>
        <v>4.2581064220183498</v>
      </c>
      <c r="CM256" s="367">
        <f t="shared" ref="CM256" si="1150">IFERROR(CM254/CM27,"")</f>
        <v>2.68098341109383</v>
      </c>
      <c r="CN256" s="367"/>
      <c r="CO256" s="367">
        <f t="shared" ref="CO256:CT256" si="1151">IFERROR(CO254/CO27,"")</f>
        <v>0.8075175737289878</v>
      </c>
      <c r="CP256" s="367">
        <f t="shared" si="1151"/>
        <v>1.6300932573891167</v>
      </c>
      <c r="CQ256" s="367">
        <f t="shared" si="1151"/>
        <v>1.5979427267127722</v>
      </c>
      <c r="CR256" s="367">
        <f t="shared" si="1151"/>
        <v>1.5037091720851001</v>
      </c>
      <c r="CS256" s="367">
        <f t="shared" si="1151"/>
        <v>1.4328585606809492</v>
      </c>
      <c r="CT256" s="367">
        <f t="shared" si="1151"/>
        <v>1.3473728094724431</v>
      </c>
      <c r="CU256" s="347"/>
      <c r="CV256" s="1365"/>
      <c r="CW256" s="353"/>
      <c r="CX256" s="353"/>
      <c r="CY256" s="353"/>
      <c r="CZ256" s="353"/>
      <c r="DA256" s="353"/>
      <c r="DB256" s="354"/>
      <c r="DC256" s="882"/>
      <c r="DD256" s="882"/>
      <c r="DE256" s="882"/>
      <c r="DF256" s="759"/>
      <c r="DG256" s="759"/>
      <c r="DH256" s="759"/>
      <c r="DI256" s="759"/>
      <c r="DJ256" s="759"/>
      <c r="DK256" s="759"/>
      <c r="DL256" s="759"/>
      <c r="DM256" s="759"/>
    </row>
    <row r="257" spans="1:146" s="399" customFormat="1">
      <c r="A257" s="769"/>
      <c r="B257" s="462" t="s">
        <v>77</v>
      </c>
      <c r="C257" s="826"/>
      <c r="D257" s="826"/>
      <c r="E257" s="826"/>
      <c r="F257" s="826"/>
      <c r="G257" s="826"/>
      <c r="H257" s="826"/>
      <c r="I257" s="826"/>
      <c r="J257" s="826"/>
      <c r="K257" s="826"/>
      <c r="L257" s="826"/>
      <c r="M257" s="826">
        <f>M248-M254</f>
        <v>2464</v>
      </c>
      <c r="N257" s="826">
        <f t="shared" ref="N257:Q257" si="1152">N248-N254</f>
        <v>1169</v>
      </c>
      <c r="O257" s="826">
        <f t="shared" si="1152"/>
        <v>1311</v>
      </c>
      <c r="P257" s="826">
        <f t="shared" si="1152"/>
        <v>1359</v>
      </c>
      <c r="Q257" s="826">
        <f t="shared" si="1152"/>
        <v>1326</v>
      </c>
      <c r="R257" s="826">
        <f>R248-R254</f>
        <v>5165</v>
      </c>
      <c r="S257" s="826">
        <f t="shared" ref="S257:V257" si="1153">S248-S254</f>
        <v>1176</v>
      </c>
      <c r="T257" s="826">
        <f t="shared" si="1153"/>
        <v>1230</v>
      </c>
      <c r="U257" s="826">
        <f t="shared" si="1153"/>
        <v>1100</v>
      </c>
      <c r="V257" s="826">
        <f t="shared" si="1153"/>
        <v>1159</v>
      </c>
      <c r="W257" s="826">
        <f>W248-W254</f>
        <v>4665</v>
      </c>
      <c r="X257" s="826">
        <f t="shared" ref="X257:AA257" si="1154">X248-X254</f>
        <v>1178</v>
      </c>
      <c r="Y257" s="826">
        <f t="shared" si="1154"/>
        <v>1289</v>
      </c>
      <c r="Z257" s="826">
        <f t="shared" si="1154"/>
        <v>1217</v>
      </c>
      <c r="AA257" s="826">
        <f t="shared" si="1154"/>
        <v>995</v>
      </c>
      <c r="AB257" s="826">
        <f>AB248-AB254</f>
        <v>4679</v>
      </c>
      <c r="AC257" s="826">
        <f t="shared" ref="AC257:AF257" si="1155">AC248-AC254</f>
        <v>699</v>
      </c>
      <c r="AD257" s="826">
        <f t="shared" si="1155"/>
        <v>753</v>
      </c>
      <c r="AE257" s="826">
        <f t="shared" si="1155"/>
        <v>682</v>
      </c>
      <c r="AF257" s="826">
        <f t="shared" si="1155"/>
        <v>766</v>
      </c>
      <c r="AG257" s="826">
        <f>AG248-AG254</f>
        <v>2900</v>
      </c>
      <c r="AH257" s="826">
        <f t="shared" ref="AH257:AK257" si="1156">AH248-AH254</f>
        <v>644</v>
      </c>
      <c r="AI257" s="826">
        <f t="shared" si="1156"/>
        <v>351</v>
      </c>
      <c r="AJ257" s="826">
        <f t="shared" si="1156"/>
        <v>154</v>
      </c>
      <c r="AK257" s="826">
        <f t="shared" si="1156"/>
        <v>516</v>
      </c>
      <c r="AL257" s="826">
        <f>AL248-AL254</f>
        <v>1665</v>
      </c>
      <c r="AM257" s="826">
        <f t="shared" ref="AM257:AP257" si="1157">AM248-AM254</f>
        <v>86</v>
      </c>
      <c r="AN257" s="826">
        <f t="shared" si="1157"/>
        <v>218</v>
      </c>
      <c r="AO257" s="826">
        <f t="shared" si="1157"/>
        <v>515</v>
      </c>
      <c r="AP257" s="826">
        <f t="shared" si="1157"/>
        <v>439</v>
      </c>
      <c r="AQ257" s="826">
        <f>AQ248-AQ254</f>
        <v>1258</v>
      </c>
      <c r="AR257" s="826">
        <f t="shared" ref="AR257:AU257" si="1158">AR248-AR254</f>
        <v>321</v>
      </c>
      <c r="AS257" s="826">
        <f t="shared" si="1158"/>
        <v>-26</v>
      </c>
      <c r="AT257" s="826">
        <f t="shared" si="1158"/>
        <v>180</v>
      </c>
      <c r="AU257" s="826">
        <f t="shared" si="1158"/>
        <v>-464</v>
      </c>
      <c r="AV257" s="826">
        <f>AV248-AV254</f>
        <v>11</v>
      </c>
      <c r="AW257" s="826">
        <f t="shared" ref="AW257:AZ257" si="1159">AW248-AW254</f>
        <v>169</v>
      </c>
      <c r="AX257" s="826">
        <f t="shared" si="1159"/>
        <v>371</v>
      </c>
      <c r="AY257" s="826">
        <f t="shared" si="1159"/>
        <v>576</v>
      </c>
      <c r="AZ257" s="826">
        <f t="shared" si="1159"/>
        <v>254</v>
      </c>
      <c r="BA257" s="826">
        <f>BA248-BA254</f>
        <v>1370</v>
      </c>
      <c r="BB257" s="826">
        <f t="shared" ref="BB257:BE257" si="1160">BB248-BB254</f>
        <v>138</v>
      </c>
      <c r="BC257" s="826">
        <f t="shared" si="1160"/>
        <v>146</v>
      </c>
      <c r="BD257" s="826">
        <f t="shared" si="1160"/>
        <v>252</v>
      </c>
      <c r="BE257" s="826">
        <f t="shared" si="1160"/>
        <v>-3644</v>
      </c>
      <c r="BF257" s="826">
        <f>BF248-BF254</f>
        <v>-3108</v>
      </c>
      <c r="BG257" s="829">
        <f>'[16]Reported Group Highlights'!AB$52</f>
        <v>669.4</v>
      </c>
      <c r="BH257" s="829">
        <f>'[16]Reported Group Highlights'!AC$52</f>
        <v>548.6</v>
      </c>
      <c r="BI257" s="829">
        <f>'[16]Reported Group Highlights'!AD$52</f>
        <v>730.99999999999989</v>
      </c>
      <c r="BJ257" s="829">
        <f>'[16]Reported Group Highlights'!AE$52</f>
        <v>654.00000000000011</v>
      </c>
      <c r="BK257" s="826">
        <f>SUM(BG257:BJ257)</f>
        <v>2603</v>
      </c>
      <c r="BL257" s="829">
        <f>'[16]Reported Group Highlights'!AF$52</f>
        <v>2172.7710000000002</v>
      </c>
      <c r="BM257" s="829">
        <f>'[16]Reported Group Highlights'!AG$52</f>
        <v>982.85</v>
      </c>
      <c r="BN257" s="829">
        <f>'[16]Reported Group Highlights'!AH$52</f>
        <v>1135.4669999999996</v>
      </c>
      <c r="BO257" s="829">
        <f>'[16]Reported Group Highlights'!AI$52</f>
        <v>-1659.0029999999997</v>
      </c>
      <c r="BP257" s="826">
        <f>SUM(BL257:BO257)</f>
        <v>2632.085</v>
      </c>
      <c r="BQ257" s="829">
        <f>'[16]Reported Group Highlights'!AJ$52</f>
        <v>699.0630000000001</v>
      </c>
      <c r="BR257" s="829">
        <f>'[16]Reported Group Highlights'!AK$52</f>
        <v>869.41299999999956</v>
      </c>
      <c r="BS257" s="829">
        <f>'[16]Reported Group Highlights'!AL$52</f>
        <v>917.92300000000068</v>
      </c>
      <c r="BT257" s="829">
        <f>'[16]Reported Group Highlights'!AM$52</f>
        <v>844.37399999999889</v>
      </c>
      <c r="BU257" s="826">
        <f>SUM(BQ257:BT257)</f>
        <v>3330.7729999999992</v>
      </c>
      <c r="BV257" s="829">
        <f>'[16]Reported Group Highlights'!AN$52</f>
        <v>613.13299999999981</v>
      </c>
      <c r="BW257" s="829">
        <f>'[16]Reported Group Highlights'!AO$52</f>
        <v>1024.2880000000005</v>
      </c>
      <c r="BX257" s="829">
        <f>'[16]Reported Group Highlights'!AP$52</f>
        <v>1062.5379999999996</v>
      </c>
      <c r="BY257" s="829">
        <f>'[16]Reported Group Highlights'!AQ$52</f>
        <v>970.74499999999989</v>
      </c>
      <c r="BZ257" s="826">
        <f>SUM(BV257:BY257)</f>
        <v>3670.7039999999997</v>
      </c>
      <c r="CA257" s="829">
        <f>'[16]Reported Group Highlights'!AR$52</f>
        <v>845.00500000000011</v>
      </c>
      <c r="CB257" s="829">
        <f>'[16]Reported Group Highlights'!AS$52</f>
        <v>1238.8609999999999</v>
      </c>
      <c r="CC257" s="829">
        <f>'[16]Reported Group Highlights'!AT$52</f>
        <v>1146.2529999999988</v>
      </c>
      <c r="CD257" s="829">
        <f>'[16]Reported Group Highlights'!AU$52</f>
        <v>1307.1230000000014</v>
      </c>
      <c r="CE257" s="826">
        <f>SUM(CA257:CD257)</f>
        <v>4537.2420000000002</v>
      </c>
      <c r="CF257" s="829">
        <f>'[16]Reported Group Highlights'!AV$52</f>
        <v>1446.7809999999999</v>
      </c>
      <c r="CG257" s="829">
        <f>'[16]Reported Group Highlights'!AW$52</f>
        <v>1336.3810000000003</v>
      </c>
      <c r="CH257" s="829">
        <f>'[16]Reported Group Highlights'!AX$52</f>
        <v>1438.9719999999998</v>
      </c>
      <c r="CI257" s="829">
        <f>'[16]Reported Group Highlights'!AY$52</f>
        <v>1582.5310000000009</v>
      </c>
      <c r="CJ257" s="826">
        <f>SUM(CF257:CI257)</f>
        <v>5804.6650000000009</v>
      </c>
      <c r="CK257" s="829">
        <f>'[16]Reported Group Highlights'!AZ$52</f>
        <v>1449.6759999999999</v>
      </c>
      <c r="CL257" s="829">
        <f>'[16]Reported Group Highlights'!BA$52</f>
        <v>-154.33600000000115</v>
      </c>
      <c r="CM257" s="829">
        <f>'[16]Reported Group Highlights'!BB$52</f>
        <v>-313.61699999999837</v>
      </c>
      <c r="CN257" s="829"/>
      <c r="CO257" s="826">
        <f t="shared" ref="CO257:CT257" si="1161">CO248-CO254</f>
        <v>2084.4562465740128</v>
      </c>
      <c r="CP257" s="826">
        <f t="shared" si="1161"/>
        <v>5069.9778078283634</v>
      </c>
      <c r="CQ257" s="826">
        <f t="shared" si="1161"/>
        <v>7708.9397968255289</v>
      </c>
      <c r="CR257" s="826">
        <f t="shared" si="1161"/>
        <v>10361.079285377851</v>
      </c>
      <c r="CS257" s="826">
        <f t="shared" si="1161"/>
        <v>11772.182043895984</v>
      </c>
      <c r="CT257" s="826">
        <f t="shared" si="1161"/>
        <v>13080.317106786435</v>
      </c>
      <c r="CU257" s="364"/>
      <c r="CV257" s="1362"/>
      <c r="CW257" s="364"/>
      <c r="CX257" s="364">
        <f>Old!X7</f>
        <v>5324.2284824823637</v>
      </c>
      <c r="CY257" s="364"/>
      <c r="CZ257" s="365"/>
      <c r="DA257" s="365"/>
      <c r="DB257" s="365"/>
      <c r="DC257" s="1304"/>
      <c r="DD257" s="1304"/>
      <c r="DE257" s="1304"/>
      <c r="DF257" s="769"/>
      <c r="DG257" s="769"/>
      <c r="DH257" s="769"/>
      <c r="DI257" s="769"/>
      <c r="DJ257" s="769"/>
      <c r="DK257" s="769"/>
      <c r="DL257" s="769"/>
      <c r="DM257" s="769"/>
    </row>
    <row r="258" spans="1:146">
      <c r="B258" s="453" t="s">
        <v>0</v>
      </c>
      <c r="C258" s="450"/>
      <c r="D258" s="450"/>
      <c r="E258" s="450"/>
      <c r="F258" s="450"/>
      <c r="G258" s="450"/>
      <c r="H258" s="450"/>
      <c r="I258" s="450"/>
      <c r="J258" s="450"/>
      <c r="K258" s="450"/>
      <c r="L258" s="450"/>
      <c r="M258" s="367"/>
      <c r="N258" s="450"/>
      <c r="O258" s="450"/>
      <c r="P258" s="450"/>
      <c r="Q258" s="450"/>
      <c r="R258" s="367">
        <f>R257/M257-1</f>
        <v>1.0961850649350651</v>
      </c>
      <c r="S258" s="367">
        <f>S257/N257-1</f>
        <v>5.9880239520957446E-3</v>
      </c>
      <c r="T258" s="367">
        <f t="shared" ref="T258" si="1162">T257/O257-1</f>
        <v>-6.1784897025171648E-2</v>
      </c>
      <c r="U258" s="367">
        <f t="shared" ref="U258" si="1163">U257/P257-1</f>
        <v>-0.19058130978660781</v>
      </c>
      <c r="V258" s="367">
        <f t="shared" ref="V258" si="1164">V257/Q257-1</f>
        <v>-0.12594268476621417</v>
      </c>
      <c r="W258" s="367">
        <f t="shared" ref="W258" si="1165">W257/R257-1</f>
        <v>-9.6805421103581812E-2</v>
      </c>
      <c r="X258" s="367">
        <f t="shared" ref="X258" si="1166">X257/S257-1</f>
        <v>1.7006802721089009E-3</v>
      </c>
      <c r="Y258" s="367">
        <f t="shared" ref="Y258" si="1167">Y257/T257-1</f>
        <v>4.7967479674796643E-2</v>
      </c>
      <c r="Z258" s="367">
        <f t="shared" ref="Z258" si="1168">Z257/U257-1</f>
        <v>0.10636363636363644</v>
      </c>
      <c r="AA258" s="367">
        <f t="shared" ref="AA258" si="1169">AA257/V257-1</f>
        <v>-0.14150129421915447</v>
      </c>
      <c r="AB258" s="367">
        <f t="shared" ref="AB258" si="1170">AB257/W257-1</f>
        <v>3.0010718113611112E-3</v>
      </c>
      <c r="AC258" s="367">
        <f t="shared" ref="AC258" si="1171">AC257/X257-1</f>
        <v>-0.40662139219015281</v>
      </c>
      <c r="AD258" s="367">
        <f t="shared" ref="AD258" si="1172">AD257/Y257-1</f>
        <v>-0.41582622187742435</v>
      </c>
      <c r="AE258" s="367">
        <f t="shared" ref="AE258" si="1173">AE257/Z257-1</f>
        <v>-0.43960558751027112</v>
      </c>
      <c r="AF258" s="367">
        <f t="shared" ref="AF258" si="1174">AF257/AA257-1</f>
        <v>-0.2301507537688442</v>
      </c>
      <c r="AG258" s="367">
        <f t="shared" ref="AG258" si="1175">AG257/AB257-1</f>
        <v>-0.38020944646291943</v>
      </c>
      <c r="AH258" s="367">
        <f t="shared" ref="AH258" si="1176">AH257/AC257-1</f>
        <v>-7.8683834048640877E-2</v>
      </c>
      <c r="AI258" s="367">
        <f t="shared" ref="AI258" si="1177">AI257/AD257-1</f>
        <v>-0.53386454183266929</v>
      </c>
      <c r="AJ258" s="367">
        <f t="shared" ref="AJ258" si="1178">AJ257/AE257-1</f>
        <v>-0.77419354838709675</v>
      </c>
      <c r="AK258" s="367">
        <f t="shared" ref="AK258" si="1179">AK257/AF257-1</f>
        <v>-0.32637075718015662</v>
      </c>
      <c r="AL258" s="367">
        <f t="shared" ref="AL258" si="1180">AL257/AG257-1</f>
        <v>-0.42586206896551726</v>
      </c>
      <c r="AM258" s="367">
        <f t="shared" ref="AM258" si="1181">AM257/AH257-1</f>
        <v>-0.86645962732919257</v>
      </c>
      <c r="AN258" s="367">
        <f t="shared" ref="AN258" si="1182">AN257/AI257-1</f>
        <v>-0.37891737891737887</v>
      </c>
      <c r="AO258" s="367">
        <f t="shared" ref="AO258" si="1183">AO257/AJ257-1</f>
        <v>2.3441558441558441</v>
      </c>
      <c r="AP258" s="367">
        <f t="shared" ref="AP258" si="1184">AP257/AK257-1</f>
        <v>-0.14922480620155043</v>
      </c>
      <c r="AQ258" s="367">
        <f t="shared" ref="AQ258" si="1185">AQ257/AL257-1</f>
        <v>-0.24444444444444446</v>
      </c>
      <c r="AR258" s="367">
        <f t="shared" ref="AR258" si="1186">AR257/AM257-1</f>
        <v>2.7325581395348837</v>
      </c>
      <c r="AS258" s="367">
        <f t="shared" ref="AS258" si="1187">AS257/AN257-1</f>
        <v>-1.1192660550458715</v>
      </c>
      <c r="AT258" s="367">
        <f t="shared" ref="AT258" si="1188">AT257/AO257-1</f>
        <v>-0.65048543689320382</v>
      </c>
      <c r="AU258" s="367">
        <f t="shared" ref="AU258" si="1189">AU257/AP257-1</f>
        <v>-2.0569476082004554</v>
      </c>
      <c r="AV258" s="367">
        <f t="shared" ref="AV258" si="1190">AV257/AQ257-1</f>
        <v>-0.99125596184419718</v>
      </c>
      <c r="AW258" s="367">
        <f t="shared" ref="AW258" si="1191">AW257/AR257-1</f>
        <v>-0.47352024922118385</v>
      </c>
      <c r="AX258" s="367">
        <f t="shared" ref="AX258" si="1192">AX257/AS257-1</f>
        <v>-15.26923076923077</v>
      </c>
      <c r="AY258" s="367">
        <f t="shared" ref="AY258" si="1193">AY257/AT257-1</f>
        <v>2.2000000000000002</v>
      </c>
      <c r="AZ258" s="367">
        <f t="shared" ref="AZ258" si="1194">AZ257/AU257-1</f>
        <v>-1.5474137931034484</v>
      </c>
      <c r="BA258" s="367">
        <f t="shared" ref="BA258" si="1195">BA257/AV257-1</f>
        <v>123.54545454545455</v>
      </c>
      <c r="BB258" s="367">
        <f t="shared" ref="BB258" si="1196">BB257/AW257-1</f>
        <v>-0.18343195266272194</v>
      </c>
      <c r="BC258" s="367">
        <f t="shared" ref="BC258" si="1197">BC257/AX257-1</f>
        <v>-0.60646900269541781</v>
      </c>
      <c r="BD258" s="367">
        <f t="shared" ref="BD258" si="1198">BD257/AY257-1</f>
        <v>-0.5625</v>
      </c>
      <c r="BE258" s="367">
        <f t="shared" ref="BE258" si="1199">BE257/AZ257-1</f>
        <v>-15.346456692913385</v>
      </c>
      <c r="BF258" s="367">
        <f t="shared" ref="BF258" si="1200">BF257/BA257-1</f>
        <v>-3.2686131386861312</v>
      </c>
      <c r="BG258" s="367">
        <f t="shared" ref="BG258" si="1201">BG257/BB257-1</f>
        <v>3.850724637681159</v>
      </c>
      <c r="BH258" s="367">
        <f t="shared" ref="BH258" si="1202">BH257/BC257-1</f>
        <v>2.7575342465753425</v>
      </c>
      <c r="BI258" s="367">
        <f t="shared" ref="BI258" si="1203">BI257/BD257-1</f>
        <v>1.9007936507936503</v>
      </c>
      <c r="BJ258" s="367">
        <f t="shared" ref="BJ258" si="1204">BJ257/BE257-1</f>
        <v>-1.1794731064763995</v>
      </c>
      <c r="BK258" s="367">
        <f t="shared" ref="BK258" si="1205">BK257/BF257-1</f>
        <v>-1.8375160875160876</v>
      </c>
      <c r="BL258" s="367">
        <f t="shared" ref="BL258" si="1206">BL257/BG257-1</f>
        <v>2.2458485210636394</v>
      </c>
      <c r="BM258" s="367">
        <f t="shared" ref="BM258" si="1207">BM257/BH257-1</f>
        <v>0.79156033539919801</v>
      </c>
      <c r="BN258" s="367">
        <f t="shared" ref="BN258" si="1208">BN257/BI257-1</f>
        <v>0.55330642954856346</v>
      </c>
      <c r="BO258" s="367">
        <f t="shared" ref="BO258" si="1209">BO257/BJ257-1</f>
        <v>-3.5367018348623844</v>
      </c>
      <c r="BP258" s="367">
        <f t="shared" ref="BP258" si="1210">BP257/BK257-1</f>
        <v>1.1173645793315368E-2</v>
      </c>
      <c r="BQ258" s="367">
        <f t="shared" ref="BQ258" si="1211">BQ257/BL257-1</f>
        <v>-0.67826199815811239</v>
      </c>
      <c r="BR258" s="367">
        <f t="shared" ref="BR258" si="1212">BR257/BM257-1</f>
        <v>-0.11541639110749402</v>
      </c>
      <c r="BS258" s="367">
        <f t="shared" ref="BS258" si="1213">BS257/BN257-1</f>
        <v>-0.19158989208845256</v>
      </c>
      <c r="BT258" s="367">
        <f t="shared" ref="BT258" si="1214">BT257/BO257-1</f>
        <v>-1.5089647215827813</v>
      </c>
      <c r="BU258" s="367">
        <f t="shared" ref="BU258" si="1215">BU257/BP257-1</f>
        <v>0.26545039388925473</v>
      </c>
      <c r="BV258" s="367">
        <f t="shared" ref="BV258" si="1216">BV257/BQ257-1</f>
        <v>-0.12292168230903411</v>
      </c>
      <c r="BW258" s="367">
        <f t="shared" ref="BW258" si="1217">BW257/BR257-1</f>
        <v>0.1781374329576404</v>
      </c>
      <c r="BX258" s="367">
        <f t="shared" ref="BX258" si="1218">BX257/BS257-1</f>
        <v>0.15754589437240241</v>
      </c>
      <c r="BY258" s="367">
        <f t="shared" ref="BY258" si="1219">BY257/BT257-1</f>
        <v>0.14966235341211487</v>
      </c>
      <c r="BZ258" s="367">
        <f>BZ257/BU257-1</f>
        <v>0.10205769051208247</v>
      </c>
      <c r="CA258" s="367">
        <f t="shared" ref="CA258:CM258" si="1220">CA257/BV257-1</f>
        <v>0.37817569760557723</v>
      </c>
      <c r="CB258" s="367">
        <f t="shared" si="1220"/>
        <v>0.20948502764847321</v>
      </c>
      <c r="CC258" s="367">
        <f t="shared" si="1220"/>
        <v>7.8787770413857539E-2</v>
      </c>
      <c r="CD258" s="367">
        <f t="shared" si="1220"/>
        <v>0.34651530525524366</v>
      </c>
      <c r="CE258" s="367">
        <f>CE257/BZ257-1</f>
        <v>0.2360686124514535</v>
      </c>
      <c r="CF258" s="367">
        <f t="shared" si="1220"/>
        <v>0.71215673280039726</v>
      </c>
      <c r="CG258" s="367">
        <f t="shared" si="1220"/>
        <v>7.8717467092757287E-2</v>
      </c>
      <c r="CH258" s="367">
        <f t="shared" si="1220"/>
        <v>0.25537032400351523</v>
      </c>
      <c r="CI258" s="367">
        <f t="shared" si="1220"/>
        <v>0.2106978455738282</v>
      </c>
      <c r="CJ258" s="367">
        <f>CJ257/CE257-1</f>
        <v>0.27933775628454471</v>
      </c>
      <c r="CK258" s="367">
        <f t="shared" si="1220"/>
        <v>2.0009939306639968E-3</v>
      </c>
      <c r="CL258" s="367">
        <f t="shared" si="1220"/>
        <v>-1.1154880232508553</v>
      </c>
      <c r="CM258" s="367">
        <f t="shared" si="1220"/>
        <v>-1.2179451719699885</v>
      </c>
      <c r="CN258" s="367"/>
      <c r="CO258" s="367">
        <f t="shared" ref="CO258" si="1221">CO257/CJ257-1</f>
        <v>-0.64089981995963374</v>
      </c>
      <c r="CP258" s="367">
        <f t="shared" ref="CP258" si="1222">CP257/CO257-1</f>
        <v>1.432278353724775</v>
      </c>
      <c r="CQ258" s="367">
        <f t="shared" ref="CQ258" si="1223">CQ257/CP257-1</f>
        <v>0.52050760161562093</v>
      </c>
      <c r="CR258" s="367">
        <f t="shared" ref="CR258" si="1224">CR257/CQ257-1</f>
        <v>0.34403427169640755</v>
      </c>
      <c r="CS258" s="367">
        <f t="shared" ref="CS258" si="1225">CS257/CR257-1</f>
        <v>0.13619264167870626</v>
      </c>
      <c r="CT258" s="367">
        <f t="shared" ref="CT258" si="1226">CT257/CS257-1</f>
        <v>0.11112086595439075</v>
      </c>
      <c r="CU258" s="347"/>
      <c r="CV258" s="1363"/>
      <c r="CW258" s="347"/>
      <c r="CX258" s="347"/>
      <c r="CY258" s="347"/>
      <c r="CZ258" s="354"/>
      <c r="DA258" s="354"/>
      <c r="DB258" s="354"/>
      <c r="DC258" s="882"/>
      <c r="DD258" s="882"/>
      <c r="DE258" s="882"/>
      <c r="DF258" s="759"/>
      <c r="DG258" s="759"/>
      <c r="DH258" s="759"/>
      <c r="DI258" s="759"/>
      <c r="DJ258" s="759"/>
      <c r="DK258" s="759"/>
      <c r="DL258" s="759"/>
      <c r="DM258" s="759"/>
    </row>
    <row r="259" spans="1:146">
      <c r="B259" s="453" t="s">
        <v>797</v>
      </c>
      <c r="C259" s="450"/>
      <c r="D259" s="450"/>
      <c r="E259" s="450"/>
      <c r="F259" s="450"/>
      <c r="G259" s="450"/>
      <c r="H259" s="450"/>
      <c r="I259" s="367"/>
      <c r="J259" s="367"/>
      <c r="K259" s="367"/>
      <c r="L259" s="367"/>
      <c r="M259" s="367">
        <f t="shared" ref="M259:AR259" si="1227">M257/M$236</f>
        <v>0.17976216531699132</v>
      </c>
      <c r="N259" s="367">
        <f t="shared" si="1227"/>
        <v>0.28470530930345833</v>
      </c>
      <c r="O259" s="367">
        <f t="shared" si="1227"/>
        <v>0.30767425486974886</v>
      </c>
      <c r="P259" s="367">
        <f t="shared" si="1227"/>
        <v>0.30594326879783879</v>
      </c>
      <c r="Q259" s="367">
        <f t="shared" si="1227"/>
        <v>0.28509997849924745</v>
      </c>
      <c r="R259" s="367">
        <f t="shared" si="1227"/>
        <v>0.29581901489117984</v>
      </c>
      <c r="S259" s="367">
        <f t="shared" si="1227"/>
        <v>0.26238286479250333</v>
      </c>
      <c r="T259" s="367">
        <f t="shared" si="1227"/>
        <v>0.27015154842960687</v>
      </c>
      <c r="U259" s="367">
        <f t="shared" si="1227"/>
        <v>0.23012552301255229</v>
      </c>
      <c r="V259" s="367">
        <f t="shared" si="1227"/>
        <v>0.23362225357790767</v>
      </c>
      <c r="W259" s="367">
        <f t="shared" si="1227"/>
        <v>0.25544847223743294</v>
      </c>
      <c r="X259" s="367">
        <f t="shared" si="1227"/>
        <v>0.24075209482934803</v>
      </c>
      <c r="Y259" s="367">
        <f t="shared" si="1227"/>
        <v>0.24650984891948746</v>
      </c>
      <c r="Z259" s="367">
        <f t="shared" si="1227"/>
        <v>0.218335127377108</v>
      </c>
      <c r="AA259" s="367">
        <f t="shared" si="1227"/>
        <v>0.18869713635501612</v>
      </c>
      <c r="AB259" s="367">
        <f t="shared" si="1227"/>
        <v>0.22313891935714628</v>
      </c>
      <c r="AC259" s="367">
        <f t="shared" si="1227"/>
        <v>0.12139631816602987</v>
      </c>
      <c r="AD259" s="367">
        <f t="shared" si="1227"/>
        <v>0.12436003303055326</v>
      </c>
      <c r="AE259" s="367">
        <f t="shared" si="1227"/>
        <v>0.10676268002504696</v>
      </c>
      <c r="AF259" s="367">
        <f t="shared" si="1227"/>
        <v>0.12000626664577785</v>
      </c>
      <c r="AG259" s="367">
        <f t="shared" si="1227"/>
        <v>0.13636791121978745</v>
      </c>
      <c r="AH259" s="367">
        <f t="shared" si="1227"/>
        <v>0.11694207372435082</v>
      </c>
      <c r="AI259" s="367">
        <f t="shared" si="1227"/>
        <v>5.8102963085581855E-2</v>
      </c>
      <c r="AJ259" s="367">
        <f t="shared" si="1227"/>
        <v>2.564102564102564E-2</v>
      </c>
      <c r="AK259" s="367">
        <f t="shared" si="1227"/>
        <v>8.7368777514392149E-2</v>
      </c>
      <c r="AL259" s="367">
        <f t="shared" si="1227"/>
        <v>7.0971867007672634E-2</v>
      </c>
      <c r="AM259" s="367">
        <f t="shared" si="1227"/>
        <v>1.5690567414705345E-2</v>
      </c>
      <c r="AN259" s="367">
        <f t="shared" si="1227"/>
        <v>3.8852254500089112E-2</v>
      </c>
      <c r="AO259" s="367">
        <f t="shared" si="1227"/>
        <v>8.8336192109777015E-2</v>
      </c>
      <c r="AP259" s="367">
        <f t="shared" si="1227"/>
        <v>7.3497404989117693E-2</v>
      </c>
      <c r="AQ259" s="367">
        <f t="shared" si="1227"/>
        <v>5.4946494867875083E-2</v>
      </c>
      <c r="AR259" s="367">
        <f t="shared" si="1227"/>
        <v>5.7158119658119656E-2</v>
      </c>
      <c r="AS259" s="367">
        <f t="shared" ref="AS259:BX259" si="1228">AS257/AS$236</f>
        <v>-4.9637266132111493E-3</v>
      </c>
      <c r="AT259" s="367">
        <f t="shared" si="1228"/>
        <v>3.4416826003824091E-2</v>
      </c>
      <c r="AU259" s="367">
        <f t="shared" si="1228"/>
        <v>-8.8263268023587596E-2</v>
      </c>
      <c r="AV259" s="367">
        <f t="shared" si="1228"/>
        <v>5.154397638348719E-4</v>
      </c>
      <c r="AW259" s="367">
        <f t="shared" si="1228"/>
        <v>3.2092669958222561E-2</v>
      </c>
      <c r="AX259" s="367">
        <f t="shared" si="1228"/>
        <v>6.546673725074996E-2</v>
      </c>
      <c r="AY259" s="367">
        <f t="shared" si="1228"/>
        <v>9.6482412060301503E-2</v>
      </c>
      <c r="AZ259" s="367">
        <f t="shared" si="1228"/>
        <v>4.2347449149716575E-2</v>
      </c>
      <c r="BA259" s="367">
        <f t="shared" si="1228"/>
        <v>5.9822715165276624E-2</v>
      </c>
      <c r="BB259" s="367">
        <f t="shared" si="1228"/>
        <v>2.5084683528542463E-2</v>
      </c>
      <c r="BC259" s="367">
        <f t="shared" si="1228"/>
        <v>2.6331560882626708E-2</v>
      </c>
      <c r="BD259" s="367">
        <f t="shared" si="1228"/>
        <v>4.3105144051575645E-2</v>
      </c>
      <c r="BE259" s="367">
        <f t="shared" si="1228"/>
        <v>-0.60265273046009327</v>
      </c>
      <c r="BF259" s="367">
        <f t="shared" si="1228"/>
        <v>-0.13549088767107906</v>
      </c>
      <c r="BG259" s="367">
        <f t="shared" si="1228"/>
        <v>0.11217946569460104</v>
      </c>
      <c r="BH259" s="367">
        <f t="shared" si="1228"/>
        <v>8.7223283497135359E-2</v>
      </c>
      <c r="BI259" s="367">
        <f t="shared" si="1228"/>
        <v>0.11309324251631378</v>
      </c>
      <c r="BJ259" s="367">
        <f t="shared" si="1228"/>
        <v>0.10199100794874875</v>
      </c>
      <c r="BK259" s="367">
        <f t="shared" si="1228"/>
        <v>0.10356962273919411</v>
      </c>
      <c r="BL259" s="367">
        <f t="shared" si="1228"/>
        <v>0.33441903997613726</v>
      </c>
      <c r="BM259" s="367">
        <f t="shared" si="1228"/>
        <v>0.14925568059208424</v>
      </c>
      <c r="BN259" s="367">
        <f t="shared" si="1228"/>
        <v>0.17272110655460277</v>
      </c>
      <c r="BO259" s="367">
        <f t="shared" si="1228"/>
        <v>-0.26113924504922431</v>
      </c>
      <c r="BP259" s="367">
        <f t="shared" si="1228"/>
        <v>0.10119863839937529</v>
      </c>
      <c r="BQ259" s="367">
        <f t="shared" si="1228"/>
        <v>0.11189729170531632</v>
      </c>
      <c r="BR259" s="367">
        <f t="shared" si="1228"/>
        <v>0.12924545804297882</v>
      </c>
      <c r="BS259" s="367">
        <f t="shared" si="1228"/>
        <v>0.13447462743155073</v>
      </c>
      <c r="BT259" s="367">
        <f t="shared" si="1228"/>
        <v>0.12142527521057722</v>
      </c>
      <c r="BU259" s="367">
        <f t="shared" si="1228"/>
        <v>0.12449602957309262</v>
      </c>
      <c r="BV259" s="367">
        <f t="shared" si="1228"/>
        <v>9.0941506148195947E-2</v>
      </c>
      <c r="BW259" s="367">
        <f t="shared" si="1228"/>
        <v>0.13968691925706916</v>
      </c>
      <c r="BX259" s="367">
        <f t="shared" si="1228"/>
        <v>0.14128367417493271</v>
      </c>
      <c r="BY259" s="367">
        <f t="shared" ref="BY259:CT259" si="1229">BY257/BY$236</f>
        <v>0.12863352659491156</v>
      </c>
      <c r="BZ259" s="367">
        <f t="shared" si="1229"/>
        <v>0.125959260028672</v>
      </c>
      <c r="CA259" s="367">
        <f t="shared" si="1229"/>
        <v>0.11196087513932092</v>
      </c>
      <c r="CB259" s="367">
        <f t="shared" si="1229"/>
        <v>0.15076431725004233</v>
      </c>
      <c r="CC259" s="367">
        <f t="shared" ref="CC259:CE259" si="1230">CC257/CC$236</f>
        <v>0.14145548769960584</v>
      </c>
      <c r="CD259" s="367">
        <f t="shared" si="1230"/>
        <v>0.15460043215447911</v>
      </c>
      <c r="CE259" s="367">
        <f t="shared" si="1230"/>
        <v>0.14037344894761261</v>
      </c>
      <c r="CF259" s="367">
        <f t="shared" ref="CF259:CG259" si="1231">CF257/CF$236</f>
        <v>0.17145438913238886</v>
      </c>
      <c r="CG259" s="367">
        <f t="shared" si="1231"/>
        <v>0.15515297715907655</v>
      </c>
      <c r="CH259" s="367">
        <f t="shared" ref="CH259" si="1232">CH257/CH$236</f>
        <v>0.17316536808164418</v>
      </c>
      <c r="CI259" s="367">
        <f t="shared" ref="CI259:CK259" si="1233">CI257/CI$236</f>
        <v>0.17524899265640825</v>
      </c>
      <c r="CJ259" s="367">
        <f t="shared" si="1233"/>
        <v>0.16878149043209598</v>
      </c>
      <c r="CK259" s="367">
        <f t="shared" si="1233"/>
        <v>0.16854390974630565</v>
      </c>
      <c r="CL259" s="367">
        <f t="shared" ref="CL259" si="1234">CL257/CL$236</f>
        <v>-1.470746733497779E-2</v>
      </c>
      <c r="CM259" s="367">
        <f t="shared" ref="CM259" si="1235">CM257/CM$236</f>
        <v>-2.7383986946509415E-2</v>
      </c>
      <c r="CN259" s="367"/>
      <c r="CO259" s="367">
        <f t="shared" si="1229"/>
        <v>4.907593004595364E-2</v>
      </c>
      <c r="CP259" s="367">
        <f t="shared" si="1229"/>
        <v>0.10722957353307246</v>
      </c>
      <c r="CQ259" s="367">
        <f t="shared" si="1229"/>
        <v>0.15623224779252598</v>
      </c>
      <c r="CR259" s="367">
        <f t="shared" si="1229"/>
        <v>0.20122107386212898</v>
      </c>
      <c r="CS259" s="367">
        <f t="shared" si="1229"/>
        <v>0.21909970225700062</v>
      </c>
      <c r="CT259" s="367">
        <f t="shared" si="1229"/>
        <v>0.23331484596342469</v>
      </c>
      <c r="CU259" s="347"/>
      <c r="CV259" s="1363"/>
      <c r="CW259" s="347"/>
      <c r="CX259" s="347"/>
      <c r="CY259" s="347"/>
      <c r="CZ259" s="354"/>
      <c r="DA259" s="354"/>
      <c r="DB259" s="354"/>
      <c r="DC259" s="882"/>
      <c r="DD259" s="882"/>
      <c r="DE259" s="882"/>
      <c r="DF259" s="759"/>
      <c r="DG259" s="759"/>
      <c r="DH259" s="759"/>
      <c r="DI259" s="759"/>
      <c r="DJ259" s="759"/>
      <c r="DK259" s="759"/>
      <c r="DL259" s="759"/>
      <c r="DM259" s="759"/>
    </row>
    <row r="260" spans="1:146">
      <c r="B260" s="407"/>
      <c r="C260" s="450"/>
      <c r="D260" s="450"/>
      <c r="E260" s="450"/>
      <c r="F260" s="450"/>
      <c r="G260" s="450"/>
      <c r="H260" s="450"/>
      <c r="I260" s="450"/>
      <c r="J260" s="450"/>
      <c r="K260" s="450"/>
      <c r="L260" s="450"/>
      <c r="M260" s="450"/>
      <c r="N260" s="450"/>
      <c r="O260" s="450"/>
      <c r="P260" s="450"/>
      <c r="Q260" s="450"/>
      <c r="R260" s="450"/>
      <c r="S260" s="450"/>
      <c r="T260" s="450"/>
      <c r="U260" s="450"/>
      <c r="V260" s="450"/>
      <c r="W260" s="450"/>
      <c r="X260" s="450"/>
      <c r="Y260" s="450"/>
      <c r="Z260" s="450"/>
      <c r="AA260" s="450"/>
      <c r="AB260" s="450"/>
      <c r="AC260" s="450"/>
      <c r="AD260" s="450"/>
      <c r="AE260" s="450"/>
      <c r="AF260" s="450"/>
      <c r="AG260" s="450"/>
      <c r="AH260" s="450"/>
      <c r="AI260" s="450"/>
      <c r="AJ260" s="450"/>
      <c r="AK260" s="450"/>
      <c r="AL260" s="450"/>
      <c r="AM260" s="450"/>
      <c r="AN260" s="450"/>
      <c r="AO260" s="450"/>
      <c r="AP260" s="450"/>
      <c r="AQ260" s="450"/>
      <c r="AR260" s="450"/>
      <c r="AS260" s="450"/>
      <c r="AT260" s="450"/>
      <c r="AU260" s="450"/>
      <c r="AV260" s="450"/>
      <c r="AW260" s="450"/>
      <c r="AX260" s="450"/>
      <c r="AY260" s="451"/>
      <c r="AZ260" s="451"/>
      <c r="BA260" s="450"/>
      <c r="BB260" s="450"/>
      <c r="BC260" s="450"/>
      <c r="BD260" s="450"/>
      <c r="BE260" s="451"/>
      <c r="BF260" s="450"/>
      <c r="BG260" s="450"/>
      <c r="BH260" s="450"/>
      <c r="BI260" s="450"/>
      <c r="BJ260" s="450"/>
      <c r="BK260" s="450"/>
      <c r="BL260" s="450"/>
      <c r="BM260" s="450"/>
      <c r="BN260" s="450"/>
      <c r="BO260" s="450"/>
      <c r="BP260" s="450"/>
      <c r="BQ260" s="450"/>
      <c r="BR260" s="450"/>
      <c r="BS260" s="450"/>
      <c r="BT260" s="450"/>
      <c r="BU260" s="450"/>
      <c r="BV260" s="450"/>
      <c r="BW260" s="450"/>
      <c r="BX260" s="450"/>
      <c r="BY260" s="450"/>
      <c r="BZ260" s="450"/>
      <c r="CA260" s="450"/>
      <c r="CB260" s="450"/>
      <c r="CC260" s="450"/>
      <c r="CD260" s="450"/>
      <c r="CE260" s="450"/>
      <c r="CF260" s="450"/>
      <c r="CG260" s="450"/>
      <c r="CH260" s="450"/>
      <c r="CI260" s="450"/>
      <c r="CJ260" s="450"/>
      <c r="CK260" s="450"/>
      <c r="CL260" s="450"/>
      <c r="CM260" s="450"/>
      <c r="CN260" s="450"/>
      <c r="CO260" s="1076">
        <f>(CO257-CK257)/(SUM(CG257:CI257))-1</f>
        <v>-0.85433750724571544</v>
      </c>
      <c r="CP260" s="450"/>
      <c r="CQ260" s="450"/>
      <c r="CR260" s="450"/>
      <c r="CS260" s="450"/>
      <c r="CT260" s="450"/>
      <c r="CU260" s="347"/>
      <c r="CV260" s="1363"/>
      <c r="CW260" s="347"/>
      <c r="CX260" s="347"/>
      <c r="CY260" s="347"/>
      <c r="CZ260" s="354"/>
      <c r="DA260" s="354"/>
      <c r="DB260" s="354"/>
      <c r="DC260" s="882"/>
      <c r="DD260" s="882"/>
      <c r="DE260" s="882"/>
      <c r="DF260" s="759"/>
      <c r="DG260" s="759"/>
      <c r="DH260" s="759"/>
      <c r="DI260" s="759"/>
      <c r="DJ260" s="759"/>
      <c r="DK260" s="759"/>
      <c r="DL260" s="759"/>
      <c r="DM260" s="759"/>
    </row>
    <row r="261" spans="1:146">
      <c r="B261" s="414" t="s">
        <v>798</v>
      </c>
      <c r="C261" s="450"/>
      <c r="D261" s="450"/>
      <c r="E261" s="450"/>
      <c r="F261" s="450"/>
      <c r="G261" s="450"/>
      <c r="H261" s="450"/>
      <c r="I261" s="450"/>
      <c r="J261" s="450"/>
      <c r="K261" s="450"/>
      <c r="L261" s="450"/>
      <c r="M261" s="450"/>
      <c r="N261" s="450"/>
      <c r="O261" s="450"/>
      <c r="P261" s="450"/>
      <c r="Q261" s="450"/>
      <c r="R261" s="450"/>
      <c r="S261" s="450"/>
      <c r="T261" s="450"/>
      <c r="U261" s="450"/>
      <c r="V261" s="450"/>
      <c r="W261" s="450"/>
      <c r="X261" s="450"/>
      <c r="Y261" s="450"/>
      <c r="Z261" s="450"/>
      <c r="AA261" s="450"/>
      <c r="AB261" s="450"/>
      <c r="AC261" s="450"/>
      <c r="AD261" s="450"/>
      <c r="AE261" s="450"/>
      <c r="AF261" s="450"/>
      <c r="AG261" s="450"/>
      <c r="AH261" s="450"/>
      <c r="AI261" s="450"/>
      <c r="AJ261" s="450"/>
      <c r="AK261" s="450"/>
      <c r="AL261" s="450"/>
      <c r="AM261" s="450"/>
      <c r="AN261" s="450"/>
      <c r="AO261" s="450"/>
      <c r="AP261" s="450"/>
      <c r="AQ261" s="450"/>
      <c r="AR261" s="450"/>
      <c r="AS261" s="450"/>
      <c r="AT261" s="450"/>
      <c r="AU261" s="450"/>
      <c r="AV261" s="450"/>
      <c r="AW261" s="450"/>
      <c r="AX261" s="450"/>
      <c r="AY261" s="451"/>
      <c r="AZ261" s="451"/>
      <c r="BA261" s="450"/>
      <c r="BB261" s="450"/>
      <c r="BC261" s="450"/>
      <c r="BD261" s="450"/>
      <c r="BE261" s="451"/>
      <c r="BF261" s="450"/>
      <c r="BG261" s="450"/>
      <c r="BH261" s="450"/>
      <c r="BI261" s="450"/>
      <c r="BJ261" s="450"/>
      <c r="BK261" s="450"/>
      <c r="BL261" s="450"/>
      <c r="BM261" s="450"/>
      <c r="BN261" s="450"/>
      <c r="BO261" s="450"/>
      <c r="BP261" s="450"/>
      <c r="BQ261" s="450"/>
      <c r="BR261" s="450"/>
      <c r="BS261" s="450"/>
      <c r="BT261" s="450"/>
      <c r="BU261" s="450"/>
      <c r="BV261" s="450"/>
      <c r="BW261" s="450"/>
      <c r="BX261" s="450"/>
      <c r="BY261" s="450"/>
      <c r="BZ261" s="450"/>
      <c r="CA261" s="450"/>
      <c r="CB261" s="450"/>
      <c r="CC261" s="450"/>
      <c r="CD261" s="450"/>
      <c r="CE261" s="450"/>
      <c r="CF261" s="450"/>
      <c r="CG261" s="450"/>
      <c r="CH261" s="450"/>
      <c r="CI261" s="450"/>
      <c r="CJ261" s="450"/>
      <c r="CK261" s="450"/>
      <c r="CL261" s="450"/>
      <c r="CM261" s="450"/>
      <c r="CN261" s="450"/>
      <c r="CO261" s="450"/>
      <c r="CP261" s="450"/>
      <c r="CQ261" s="450"/>
      <c r="CR261" s="450"/>
      <c r="CS261" s="450"/>
      <c r="CT261" s="450"/>
      <c r="CU261" s="347"/>
      <c r="CV261" s="1363"/>
      <c r="CW261" s="347"/>
      <c r="CX261" s="347"/>
      <c r="CY261" s="347"/>
      <c r="CZ261" s="354"/>
      <c r="DA261" s="354"/>
      <c r="DB261" s="354"/>
      <c r="DC261" s="882"/>
      <c r="DD261" s="882"/>
      <c r="DE261" s="882"/>
      <c r="DF261" s="759"/>
      <c r="DG261" s="759"/>
      <c r="DH261" s="759"/>
      <c r="DI261" s="759"/>
      <c r="DJ261" s="759"/>
      <c r="DK261" s="759"/>
      <c r="DL261" s="759"/>
      <c r="DM261" s="759"/>
    </row>
    <row r="262" spans="1:146">
      <c r="B262" s="455" t="s">
        <v>96</v>
      </c>
      <c r="C262" s="832">
        <v>-643</v>
      </c>
      <c r="D262" s="832">
        <v>-196</v>
      </c>
      <c r="E262" s="832">
        <v>-219</v>
      </c>
      <c r="F262" s="832">
        <v>-287</v>
      </c>
      <c r="G262" s="832">
        <v>-392</v>
      </c>
      <c r="H262" s="832">
        <v>-1094</v>
      </c>
      <c r="I262" s="832">
        <v>-366</v>
      </c>
      <c r="J262" s="832">
        <v>-321</v>
      </c>
      <c r="K262" s="832">
        <v>-279</v>
      </c>
      <c r="L262" s="832">
        <v>-252.29999999999995</v>
      </c>
      <c r="M262" s="832">
        <v>-1218.3</v>
      </c>
      <c r="N262" s="832">
        <v>-211</v>
      </c>
      <c r="O262" s="832">
        <v>-205</v>
      </c>
      <c r="P262" s="832">
        <v>-188</v>
      </c>
      <c r="Q262" s="832">
        <v>-176</v>
      </c>
      <c r="R262" s="832">
        <v>-780</v>
      </c>
      <c r="S262" s="832">
        <v>-154</v>
      </c>
      <c r="T262" s="832">
        <v>-151</v>
      </c>
      <c r="U262" s="832">
        <v>-151</v>
      </c>
      <c r="V262" s="832">
        <v>-124</v>
      </c>
      <c r="W262" s="833">
        <v>-580</v>
      </c>
      <c r="X262" s="833">
        <v>-120</v>
      </c>
      <c r="Y262" s="833">
        <v>-138</v>
      </c>
      <c r="Z262" s="833">
        <v>-166</v>
      </c>
      <c r="AA262" s="833">
        <v>-177</v>
      </c>
      <c r="AB262" s="833">
        <v>-601</v>
      </c>
      <c r="AC262" s="833">
        <v>-205</v>
      </c>
      <c r="AD262" s="833">
        <v>-118</v>
      </c>
      <c r="AE262" s="833">
        <v>182</v>
      </c>
      <c r="AF262" s="833">
        <v>-152</v>
      </c>
      <c r="AG262" s="833">
        <v>-293</v>
      </c>
      <c r="AH262" s="833">
        <v>-508</v>
      </c>
      <c r="AI262" s="833">
        <v>-219</v>
      </c>
      <c r="AJ262" s="833">
        <v>-299</v>
      </c>
      <c r="AK262" s="833">
        <v>-320</v>
      </c>
      <c r="AL262" s="833">
        <v>-1346</v>
      </c>
      <c r="AM262" s="833">
        <v>-271</v>
      </c>
      <c r="AN262" s="833">
        <v>-354</v>
      </c>
      <c r="AO262" s="833">
        <v>-338</v>
      </c>
      <c r="AP262" s="833">
        <v>-503</v>
      </c>
      <c r="AQ262" s="833">
        <v>-1466</v>
      </c>
      <c r="AR262" s="833">
        <v>-496</v>
      </c>
      <c r="AS262" s="833">
        <v>-438</v>
      </c>
      <c r="AT262" s="833">
        <v>-355</v>
      </c>
      <c r="AU262" s="833">
        <f>AV262-AT262-AS262-AR262</f>
        <v>-301</v>
      </c>
      <c r="AV262" s="833">
        <v>-1590</v>
      </c>
      <c r="AW262" s="834">
        <f>'[16]Reported Group Highlights'!T54</f>
        <v>-348</v>
      </c>
      <c r="AX262" s="834">
        <f>'[16]Reported Group Highlights'!U54</f>
        <v>-366</v>
      </c>
      <c r="AY262" s="834">
        <f>'[16]Reported Group Highlights'!V54</f>
        <v>-343</v>
      </c>
      <c r="AZ262" s="834">
        <f>'[16]Reported Group Highlights'!W54</f>
        <v>-338</v>
      </c>
      <c r="BA262" s="835">
        <f>SUM(AW262:AZ262)</f>
        <v>-1395</v>
      </c>
      <c r="BB262" s="834">
        <f>'[16]Reported Group Highlights'!X54</f>
        <v>-345</v>
      </c>
      <c r="BC262" s="834">
        <f>'[16]Reported Group Highlights'!Y54</f>
        <v>-382</v>
      </c>
      <c r="BD262" s="834">
        <f>'[16]Reported Group Highlights'!Z54</f>
        <v>-418</v>
      </c>
      <c r="BE262" s="834">
        <f>'[16]Reported Group Highlights'!AA54</f>
        <v>-481</v>
      </c>
      <c r="BF262" s="835">
        <f>SUM(BB262:BE262)</f>
        <v>-1626</v>
      </c>
      <c r="BG262" s="834">
        <f>'[16]Reported Group Highlights'!AB54</f>
        <v>-585.52499999999998</v>
      </c>
      <c r="BH262" s="834">
        <f>'[16]Reported Group Highlights'!AC54</f>
        <v>-445.47500000000002</v>
      </c>
      <c r="BI262" s="834">
        <f>'[16]Reported Group Highlights'!AD54</f>
        <v>-503</v>
      </c>
      <c r="BJ262" s="834">
        <f>'[16]Reported Group Highlights'!AE54</f>
        <v>-535.00000000000011</v>
      </c>
      <c r="BK262" s="835">
        <f>SUM(BG262:BJ262)</f>
        <v>-2069</v>
      </c>
      <c r="BL262" s="834">
        <f>'[16]Reported Group Highlights'!AF54</f>
        <v>-630.81500000000005</v>
      </c>
      <c r="BM262" s="834">
        <f>'[16]Reported Group Highlights'!AG54</f>
        <v>-581.98</v>
      </c>
      <c r="BN262" s="834">
        <f>'[16]Reported Group Highlights'!AH54</f>
        <v>-617.38599999999997</v>
      </c>
      <c r="BO262" s="834">
        <f>'[16]Reported Group Highlights'!AI54</f>
        <v>-655.08600000000024</v>
      </c>
      <c r="BP262" s="835">
        <f>SUM(BL262:BO262)</f>
        <v>-2485.2670000000003</v>
      </c>
      <c r="BQ262" s="834">
        <f>'[16]Reported Group Highlights'!AJ54</f>
        <v>-552</v>
      </c>
      <c r="BR262" s="834">
        <f>'[16]Reported Group Highlights'!AK54</f>
        <v>-583.71600000000012</v>
      </c>
      <c r="BS262" s="834">
        <f>'[16]Reported Group Highlights'!AL54</f>
        <v>-574.07600000000002</v>
      </c>
      <c r="BT262" s="834">
        <f>'[16]Reported Group Highlights'!AM54</f>
        <v>-580.67899999999986</v>
      </c>
      <c r="BU262" s="835">
        <f>SUM(BQ262:BT262)</f>
        <v>-2290.471</v>
      </c>
      <c r="BV262" s="834">
        <f>'[16]Reported Group Highlights'!AN54</f>
        <v>-572.69500000000005</v>
      </c>
      <c r="BW262" s="834">
        <f>'[16]Reported Group Highlights'!AO54</f>
        <v>-590.26300000000003</v>
      </c>
      <c r="BX262" s="834">
        <f>'[16]Reported Group Highlights'!AP54</f>
        <v>-670.8549999999999</v>
      </c>
      <c r="BY262" s="834">
        <f>'[16]Reported Group Highlights'!AQ54</f>
        <v>-831.85400000000038</v>
      </c>
      <c r="BZ262" s="835">
        <f>SUM(BV262:BY262)</f>
        <v>-2665.6670000000004</v>
      </c>
      <c r="CA262" s="834">
        <f>'[16]Reported Group Highlights'!AR54</f>
        <v>-655.048</v>
      </c>
      <c r="CB262" s="834">
        <f>'[16]Reported Group Highlights'!AS54</f>
        <v>-709.16499999999996</v>
      </c>
      <c r="CC262" s="834">
        <f>'[16]Reported Group Highlights'!AT54</f>
        <v>-739.47500000000014</v>
      </c>
      <c r="CD262" s="834">
        <f>'[16]Reported Group Highlights'!AU54</f>
        <v>-736.19499999999971</v>
      </c>
      <c r="CE262" s="835">
        <f>SUM(CA262:CD262)</f>
        <v>-2839.8829999999998</v>
      </c>
      <c r="CF262" s="834">
        <f>'[16]Reported Group Highlights'!AV54</f>
        <v>-742.48500000000001</v>
      </c>
      <c r="CG262" s="834">
        <f>'[16]Reported Group Highlights'!AW54</f>
        <v>-765.21300000000008</v>
      </c>
      <c r="CH262" s="834">
        <f>'[16]Reported Group Highlights'!AX54</f>
        <v>-741.04999999999984</v>
      </c>
      <c r="CI262" s="834">
        <f>'[16]Reported Group Highlights'!AY54</f>
        <v>-783.79800000000034</v>
      </c>
      <c r="CJ262" s="835">
        <f>SUM(CF262:CI262)</f>
        <v>-3032.5460000000003</v>
      </c>
      <c r="CK262" s="834">
        <f>'[16]Reported Group Highlights'!AZ54</f>
        <v>-744.01499999999999</v>
      </c>
      <c r="CL262" s="834">
        <f>'[16]Reported Group Highlights'!BA54</f>
        <v>-1066.453</v>
      </c>
      <c r="CM262" s="834">
        <f>'[16]Reported Group Highlights'!BB54</f>
        <v>-438.28000000000009</v>
      </c>
      <c r="CN262" s="834"/>
      <c r="CO262" s="813">
        <f>'Balance Sheet and Cflow'!V193</f>
        <v>-3085.2438688735665</v>
      </c>
      <c r="CP262" s="813">
        <f>'Balance Sheet and Cflow'!W193</f>
        <v>-4102.6764453690657</v>
      </c>
      <c r="CQ262" s="813">
        <f>'Balance Sheet and Cflow'!X193</f>
        <v>-4815.4847906609348</v>
      </c>
      <c r="CR262" s="813">
        <f>'Balance Sheet and Cflow'!Y193</f>
        <v>-4633.3604535720533</v>
      </c>
      <c r="CS262" s="813">
        <f>'Balance Sheet and Cflow'!Z193</f>
        <v>-4454.8104787029542</v>
      </c>
      <c r="CT262" s="813">
        <f>'Balance Sheet and Cflow'!AA193</f>
        <v>-4276.9060807905635</v>
      </c>
      <c r="CU262" s="429" t="s">
        <v>780</v>
      </c>
      <c r="CV262" s="1374"/>
      <c r="CW262" s="429"/>
      <c r="CX262" s="429"/>
      <c r="CY262" s="429"/>
      <c r="CZ262" s="429"/>
      <c r="DA262" s="429"/>
      <c r="DC262" s="1305"/>
      <c r="DD262" s="1306"/>
      <c r="DE262" s="1306"/>
      <c r="DF262" s="1306"/>
      <c r="DG262" s="1306"/>
      <c r="DH262" s="1306"/>
      <c r="DI262" s="1306"/>
      <c r="DJ262" s="1306"/>
      <c r="DK262" s="1306"/>
      <c r="DL262" s="1306"/>
      <c r="DM262" s="759"/>
    </row>
    <row r="263" spans="1:146">
      <c r="B263" s="455" t="s">
        <v>500</v>
      </c>
      <c r="C263" s="832">
        <v>-204</v>
      </c>
      <c r="D263" s="832">
        <v>209</v>
      </c>
      <c r="E263" s="832">
        <v>9</v>
      </c>
      <c r="F263" s="832">
        <v>-66</v>
      </c>
      <c r="G263" s="832">
        <v>-484</v>
      </c>
      <c r="H263" s="832">
        <v>-332</v>
      </c>
      <c r="I263" s="832">
        <v>-643</v>
      </c>
      <c r="J263" s="832">
        <v>1068</v>
      </c>
      <c r="K263" s="832">
        <v>291</v>
      </c>
      <c r="L263" s="832">
        <v>28.600000000000023</v>
      </c>
      <c r="M263" s="832">
        <v>744.6</v>
      </c>
      <c r="N263" s="832">
        <v>-60</v>
      </c>
      <c r="O263" s="832">
        <v>-36</v>
      </c>
      <c r="P263" s="832">
        <v>-34</v>
      </c>
      <c r="Q263" s="832">
        <v>-37</v>
      </c>
      <c r="R263" s="832">
        <v>-167</v>
      </c>
      <c r="S263" s="832">
        <v>71</v>
      </c>
      <c r="T263" s="832">
        <v>-33</v>
      </c>
      <c r="U263" s="832">
        <v>-8</v>
      </c>
      <c r="V263" s="832"/>
      <c r="W263" s="833">
        <v>-85</v>
      </c>
      <c r="X263" s="833">
        <v>-104</v>
      </c>
      <c r="Y263" s="833">
        <v>-89</v>
      </c>
      <c r="Z263" s="833">
        <v>-20</v>
      </c>
      <c r="AA263" s="833">
        <v>-86</v>
      </c>
      <c r="AB263" s="833">
        <v>-299</v>
      </c>
      <c r="AC263" s="833">
        <v>-26</v>
      </c>
      <c r="AD263" s="833">
        <v>-87</v>
      </c>
      <c r="AE263" s="833">
        <v>-602</v>
      </c>
      <c r="AF263" s="833">
        <v>-322</v>
      </c>
      <c r="AG263" s="833">
        <v>-1037</v>
      </c>
      <c r="AH263" s="833">
        <v>478</v>
      </c>
      <c r="AI263" s="833">
        <v>-1135</v>
      </c>
      <c r="AJ263" s="833">
        <v>-401</v>
      </c>
      <c r="AK263" s="833">
        <v>-287</v>
      </c>
      <c r="AL263" s="833">
        <v>-1345</v>
      </c>
      <c r="AM263" s="833">
        <v>-908</v>
      </c>
      <c r="AN263" s="833">
        <v>-319</v>
      </c>
      <c r="AO263" s="833">
        <v>-1799</v>
      </c>
      <c r="AP263" s="833">
        <v>891</v>
      </c>
      <c r="AQ263" s="833">
        <v>-2135</v>
      </c>
      <c r="AR263" s="833">
        <v>405</v>
      </c>
      <c r="AS263" s="833">
        <v>6</v>
      </c>
      <c r="AT263" s="833">
        <v>20</v>
      </c>
      <c r="AU263" s="833">
        <f>AV263-AT263-AS263-AR263</f>
        <v>-23</v>
      </c>
      <c r="AV263" s="833">
        <v>408</v>
      </c>
      <c r="AW263" s="834">
        <f>'[16]Reported Group Highlights'!T55</f>
        <v>43</v>
      </c>
      <c r="AX263" s="834">
        <f>'[16]Reported Group Highlights'!U55</f>
        <v>20</v>
      </c>
      <c r="AY263" s="834">
        <f>'[16]Reported Group Highlights'!V55</f>
        <v>-29</v>
      </c>
      <c r="AZ263" s="834">
        <f>'[16]Reported Group Highlights'!W55</f>
        <v>36</v>
      </c>
      <c r="BA263" s="835">
        <f>SUM(AW263:AZ263)</f>
        <v>70</v>
      </c>
      <c r="BB263" s="834">
        <f>'[16]Reported Group Highlights'!X55</f>
        <v>-1</v>
      </c>
      <c r="BC263" s="834">
        <f>'[16]Reported Group Highlights'!Y55</f>
        <v>-43</v>
      </c>
      <c r="BD263" s="834">
        <f>'[16]Reported Group Highlights'!Z55</f>
        <v>-60</v>
      </c>
      <c r="BE263" s="834">
        <f>'[16]Reported Group Highlights'!AA55</f>
        <v>4</v>
      </c>
      <c r="BF263" s="835">
        <f>SUM(BB263:BE263)</f>
        <v>-100</v>
      </c>
      <c r="BG263" s="834">
        <f>'[16]Reported Group Highlights'!AB55</f>
        <v>0</v>
      </c>
      <c r="BH263" s="834">
        <f>'[16]Reported Group Highlights'!AC55</f>
        <v>-12</v>
      </c>
      <c r="BI263" s="834">
        <f>'[16]Reported Group Highlights'!AD55</f>
        <v>3</v>
      </c>
      <c r="BJ263" s="834">
        <f>'[16]Reported Group Highlights'!AE55</f>
        <v>-8</v>
      </c>
      <c r="BK263" s="835">
        <f>SUM(BG263:BJ263)</f>
        <v>-17</v>
      </c>
      <c r="BL263" s="834">
        <f>'[16]Reported Group Highlights'!AF55</f>
        <v>43.351999999999997</v>
      </c>
      <c r="BM263" s="834">
        <f>'[16]Reported Group Highlights'!AG55</f>
        <v>-20.298999999999999</v>
      </c>
      <c r="BN263" s="834">
        <f>'[16]Reported Group Highlights'!AH55</f>
        <v>-12.452999999999996</v>
      </c>
      <c r="BO263" s="834">
        <f>'[16]Reported Group Highlights'!AI55</f>
        <v>-2.7169999999999987</v>
      </c>
      <c r="BP263" s="835">
        <f>SUM(BL263:BO263)</f>
        <v>7.8830000000000027</v>
      </c>
      <c r="BQ263" s="834">
        <f>'[16]Reported Group Highlights'!AJ55</f>
        <v>2.234</v>
      </c>
      <c r="BR263" s="834">
        <f>'[16]Reported Group Highlights'!AK55</f>
        <v>-0.20199999999999996</v>
      </c>
      <c r="BS263" s="834">
        <f>'[16]Reported Group Highlights'!AL55</f>
        <v>4.3490000000000002</v>
      </c>
      <c r="BT263" s="834">
        <f>'[16]Reported Group Highlights'!AM55</f>
        <v>3.125</v>
      </c>
      <c r="BU263" s="835">
        <f>SUM(BQ263:BT263)</f>
        <v>9.5060000000000002</v>
      </c>
      <c r="BV263" s="834">
        <f>'[16]Reported Group Highlights'!AN55</f>
        <v>-2.032</v>
      </c>
      <c r="BW263" s="834">
        <f>'[16]Reported Group Highlights'!AO55</f>
        <v>-3.7770000000000001</v>
      </c>
      <c r="BX263" s="834">
        <f>'[16]Reported Group Highlights'!AP55</f>
        <v>5.359</v>
      </c>
      <c r="BY263" s="834">
        <f>'[16]Reported Group Highlights'!AQ55</f>
        <v>-60.844999999999999</v>
      </c>
      <c r="BZ263" s="835">
        <f>SUM(BV263:BY263)</f>
        <v>-61.295000000000002</v>
      </c>
      <c r="CA263" s="513">
        <f>Inputs!AR18</f>
        <v>0</v>
      </c>
      <c r="CB263" s="513">
        <f>Inputs!AS18</f>
        <v>0</v>
      </c>
      <c r="CC263" s="513">
        <f>Inputs!AT18</f>
        <v>0</v>
      </c>
      <c r="CD263" s="513">
        <f>Inputs!AU18</f>
        <v>0</v>
      </c>
      <c r="CE263" s="835">
        <f>SUM(CA263:CD263)</f>
        <v>0</v>
      </c>
      <c r="CF263" s="513">
        <f>Inputs!AV18</f>
        <v>0</v>
      </c>
      <c r="CG263" s="513">
        <f>Inputs!AW18</f>
        <v>0</v>
      </c>
      <c r="CH263" s="513">
        <f>Inputs!AX18</f>
        <v>0</v>
      </c>
      <c r="CI263" s="513">
        <f>Inputs!AY18</f>
        <v>0</v>
      </c>
      <c r="CJ263" s="835">
        <f>SUM(CF263:CI263)</f>
        <v>0</v>
      </c>
      <c r="CK263" s="513">
        <f>Inputs!AZ18</f>
        <v>0</v>
      </c>
      <c r="CL263" s="513">
        <f>Inputs!BA18</f>
        <v>0</v>
      </c>
      <c r="CM263" s="513">
        <f>Inputs!BB18</f>
        <v>0</v>
      </c>
      <c r="CN263" s="513"/>
      <c r="CO263" s="814"/>
      <c r="CP263" s="814"/>
      <c r="CQ263" s="814"/>
      <c r="CR263" s="814"/>
      <c r="CS263" s="814"/>
      <c r="CT263" s="814"/>
      <c r="CU263" s="429"/>
      <c r="CV263" s="1374"/>
      <c r="CW263" s="429"/>
      <c r="CX263" s="429"/>
      <c r="CY263" s="429"/>
      <c r="CZ263" s="429"/>
      <c r="DA263" s="429"/>
      <c r="DC263" s="1305"/>
      <c r="DD263" s="1306"/>
      <c r="DE263" s="1306"/>
      <c r="DF263" s="1306"/>
      <c r="DG263" s="1306"/>
      <c r="DH263" s="1306"/>
      <c r="DI263" s="1306"/>
      <c r="DJ263" s="1306"/>
      <c r="DK263" s="1306"/>
      <c r="DL263" s="1306"/>
      <c r="DM263" s="759"/>
    </row>
    <row r="264" spans="1:146">
      <c r="B264" s="455" t="s">
        <v>532</v>
      </c>
      <c r="C264" s="832"/>
      <c r="D264" s="832"/>
      <c r="E264" s="832"/>
      <c r="F264" s="832"/>
      <c r="G264" s="832"/>
      <c r="H264" s="832"/>
      <c r="I264" s="832"/>
      <c r="J264" s="832"/>
      <c r="K264" s="832"/>
      <c r="L264" s="832"/>
      <c r="M264" s="832"/>
      <c r="N264" s="832"/>
      <c r="O264" s="832"/>
      <c r="P264" s="832"/>
      <c r="Q264" s="832"/>
      <c r="R264" s="832"/>
      <c r="S264" s="832"/>
      <c r="T264" s="832"/>
      <c r="U264" s="832"/>
      <c r="V264" s="832"/>
      <c r="W264" s="833"/>
      <c r="X264" s="833"/>
      <c r="Y264" s="833"/>
      <c r="Z264" s="833"/>
      <c r="AA264" s="833"/>
      <c r="AB264" s="833"/>
      <c r="AC264" s="833">
        <v>0</v>
      </c>
      <c r="AD264" s="833">
        <v>0</v>
      </c>
      <c r="AE264" s="833">
        <v>18</v>
      </c>
      <c r="AF264" s="833">
        <f>24-AE264-AD264-AC264</f>
        <v>6</v>
      </c>
      <c r="AG264" s="833">
        <f>SUM(AC264:AF264)</f>
        <v>24</v>
      </c>
      <c r="AH264" s="833">
        <v>8</v>
      </c>
      <c r="AI264" s="833">
        <f>-44-AH264</f>
        <v>-52</v>
      </c>
      <c r="AJ264" s="833">
        <f>-65-AI264-AH264</f>
        <v>-21</v>
      </c>
      <c r="AK264" s="833">
        <f>-102-AJ264-AI264-AH264</f>
        <v>-37</v>
      </c>
      <c r="AL264" s="833">
        <f>SUM(AH264:AK264)</f>
        <v>-102</v>
      </c>
      <c r="AM264" s="833">
        <v>-12</v>
      </c>
      <c r="AN264" s="833">
        <f>-40-AM264</f>
        <v>-28</v>
      </c>
      <c r="AO264" s="833">
        <f>-75-AN264-AM264</f>
        <v>-35</v>
      </c>
      <c r="AP264" s="833">
        <f>-147-AO264-AN264-AM264</f>
        <v>-72</v>
      </c>
      <c r="AQ264" s="833">
        <f>SUM(AM264:AP264)</f>
        <v>-147</v>
      </c>
      <c r="AR264" s="833">
        <v>-60</v>
      </c>
      <c r="AS264" s="833">
        <f>-108-AR264</f>
        <v>-48</v>
      </c>
      <c r="AT264" s="833">
        <f>-169-AS264-AR264</f>
        <v>-61</v>
      </c>
      <c r="AU264" s="833">
        <f>-255-AT264-AS264-AR264</f>
        <v>-86</v>
      </c>
      <c r="AV264" s="833">
        <f>SUM(AR264:AU264)</f>
        <v>-255</v>
      </c>
      <c r="AW264" s="834">
        <v>-44</v>
      </c>
      <c r="AX264" s="834">
        <f>-94-AW264</f>
        <v>-50</v>
      </c>
      <c r="AY264" s="834">
        <f>-103-AX264-AW264</f>
        <v>-9</v>
      </c>
      <c r="AZ264" s="834">
        <f>-103-AY264-AX264</f>
        <v>-44</v>
      </c>
      <c r="BA264" s="835">
        <f>SUM(AW264:AZ264)</f>
        <v>-147</v>
      </c>
      <c r="BB264" s="834">
        <v>0</v>
      </c>
      <c r="BC264" s="834">
        <v>1</v>
      </c>
      <c r="BD264" s="834">
        <v>1</v>
      </c>
      <c r="BE264" s="834">
        <v>0</v>
      </c>
      <c r="BF264" s="835">
        <f>SUM(BB264:BE264)</f>
        <v>2</v>
      </c>
      <c r="BG264" s="834"/>
      <c r="BH264" s="834"/>
      <c r="BI264" s="834"/>
      <c r="BJ264" s="834"/>
      <c r="BK264" s="835">
        <f>SUM(BG264:BJ264)</f>
        <v>0</v>
      </c>
      <c r="BL264" s="834"/>
      <c r="BM264" s="834"/>
      <c r="BN264" s="834"/>
      <c r="BO264" s="834"/>
      <c r="BP264" s="835">
        <f>SUM(BL264:BO264)</f>
        <v>0</v>
      </c>
      <c r="BQ264" s="834"/>
      <c r="BR264" s="834"/>
      <c r="BS264" s="834"/>
      <c r="BT264" s="834"/>
      <c r="BU264" s="835">
        <f>SUM(BQ264:BT264)</f>
        <v>0</v>
      </c>
      <c r="BV264" s="834"/>
      <c r="BW264" s="834"/>
      <c r="BX264" s="834"/>
      <c r="BY264" s="834"/>
      <c r="BZ264" s="835">
        <f>SUM(BV264:BY264)</f>
        <v>0</v>
      </c>
      <c r="CA264" s="834"/>
      <c r="CB264" s="834"/>
      <c r="CC264" s="834"/>
      <c r="CD264" s="834"/>
      <c r="CE264" s="835">
        <f>SUM(CA264:CD264)</f>
        <v>0</v>
      </c>
      <c r="CF264" s="834"/>
      <c r="CG264" s="834"/>
      <c r="CH264" s="834"/>
      <c r="CI264" s="834"/>
      <c r="CJ264" s="835">
        <f>SUM(CF264:CI264)</f>
        <v>0</v>
      </c>
      <c r="CK264" s="834"/>
      <c r="CL264" s="834"/>
      <c r="CM264" s="834"/>
      <c r="CN264" s="834"/>
      <c r="CO264" s="814">
        <v>0</v>
      </c>
      <c r="CP264" s="814">
        <v>0</v>
      </c>
      <c r="CQ264" s="814">
        <v>0</v>
      </c>
      <c r="CR264" s="814">
        <v>0</v>
      </c>
      <c r="CS264" s="814">
        <v>0</v>
      </c>
      <c r="CT264" s="814">
        <v>0</v>
      </c>
      <c r="CU264" s="429"/>
      <c r="CV264" s="1374"/>
      <c r="CW264" s="429"/>
      <c r="CX264" s="429"/>
      <c r="CY264" s="429"/>
      <c r="CZ264" s="429"/>
      <c r="DA264" s="429"/>
      <c r="DC264" s="1305"/>
      <c r="DD264" s="1306"/>
      <c r="DE264" s="1306"/>
      <c r="DF264" s="1306"/>
      <c r="DG264" s="1306"/>
      <c r="DH264" s="1306"/>
      <c r="DI264" s="1306"/>
      <c r="DJ264" s="1306"/>
      <c r="DK264" s="1306"/>
      <c r="DL264" s="1306"/>
      <c r="DM264" s="759"/>
    </row>
    <row r="265" spans="1:146">
      <c r="B265" s="455" t="s">
        <v>501</v>
      </c>
      <c r="C265" s="832">
        <v>-394</v>
      </c>
      <c r="D265" s="832">
        <v>-43</v>
      </c>
      <c r="E265" s="832">
        <v>-102</v>
      </c>
      <c r="F265" s="832">
        <v>-174</v>
      </c>
      <c r="G265" s="832">
        <v>-82</v>
      </c>
      <c r="H265" s="832">
        <v>-401</v>
      </c>
      <c r="I265" s="832">
        <v>380</v>
      </c>
      <c r="J265" s="832">
        <v>106</v>
      </c>
      <c r="K265" s="832">
        <v>-63</v>
      </c>
      <c r="L265" s="832">
        <v>-63</v>
      </c>
      <c r="M265" s="832">
        <v>360</v>
      </c>
      <c r="N265" s="832">
        <v>-78</v>
      </c>
      <c r="O265" s="832">
        <v>-79</v>
      </c>
      <c r="P265" s="832">
        <v>-187</v>
      </c>
      <c r="Q265" s="832">
        <v>-5</v>
      </c>
      <c r="R265" s="832">
        <v>-349</v>
      </c>
      <c r="S265" s="832">
        <v>-56</v>
      </c>
      <c r="T265" s="832">
        <v>-19</v>
      </c>
      <c r="U265" s="832">
        <v>-36</v>
      </c>
      <c r="V265" s="832">
        <v>-24</v>
      </c>
      <c r="W265" s="833">
        <v>-135</v>
      </c>
      <c r="X265" s="833">
        <v>-36</v>
      </c>
      <c r="Y265" s="833">
        <v>-6</v>
      </c>
      <c r="Z265" s="833">
        <v>-38</v>
      </c>
      <c r="AA265" s="833">
        <v>53</v>
      </c>
      <c r="AB265" s="833">
        <v>-27</v>
      </c>
      <c r="AC265" s="833">
        <v>-24</v>
      </c>
      <c r="AD265" s="833">
        <v>-59</v>
      </c>
      <c r="AE265" s="833">
        <f>-103-AD265-AC265</f>
        <v>-20</v>
      </c>
      <c r="AF265" s="833">
        <f>-205-AE265-AD265-AC265</f>
        <v>-102</v>
      </c>
      <c r="AG265" s="833">
        <f>SUM(AC265:AF265)</f>
        <v>-205</v>
      </c>
      <c r="AH265" s="833">
        <v>-29</v>
      </c>
      <c r="AI265" s="833">
        <f>-62-AH265</f>
        <v>-33</v>
      </c>
      <c r="AJ265" s="833">
        <f>-75-AI265-AH265</f>
        <v>-13</v>
      </c>
      <c r="AK265" s="833">
        <f>58-AJ265-AI265-AH265</f>
        <v>133</v>
      </c>
      <c r="AL265" s="833">
        <f>SUM(AH265:AK265)</f>
        <v>58</v>
      </c>
      <c r="AM265" s="833">
        <v>134</v>
      </c>
      <c r="AN265" s="833">
        <f>340-AM265</f>
        <v>206</v>
      </c>
      <c r="AO265" s="833">
        <f>1936-AN265-AM265</f>
        <v>1596</v>
      </c>
      <c r="AP265" s="833">
        <f>1860-AO265-AN265-AM265</f>
        <v>-76</v>
      </c>
      <c r="AQ265" s="833">
        <f>SUM(AM265:AP265)</f>
        <v>1860</v>
      </c>
      <c r="AR265" s="833">
        <v>73</v>
      </c>
      <c r="AS265" s="833">
        <f>551-AR265</f>
        <v>478</v>
      </c>
      <c r="AT265" s="833">
        <f>676-AS265-AR265</f>
        <v>125</v>
      </c>
      <c r="AU265" s="833">
        <f>1610-AT265-AS265-AR265</f>
        <v>934</v>
      </c>
      <c r="AV265" s="833">
        <f>SUM(AR265:AU265)</f>
        <v>1610</v>
      </c>
      <c r="AW265" s="834">
        <v>107</v>
      </c>
      <c r="AX265" s="834">
        <f>231-AW265</f>
        <v>124</v>
      </c>
      <c r="AY265" s="834">
        <f>202-AX265-AW265</f>
        <v>-29</v>
      </c>
      <c r="AZ265" s="834">
        <f>202-AY265-AX265</f>
        <v>107</v>
      </c>
      <c r="BA265" s="835">
        <f>SUM(AW265:AZ265)</f>
        <v>309</v>
      </c>
      <c r="BB265" s="834">
        <f>'[16]Reported Group Highlights'!X$56</f>
        <v>137</v>
      </c>
      <c r="BC265" s="834">
        <f>'[16]Reported Group Highlights'!Y$56</f>
        <v>196</v>
      </c>
      <c r="BD265" s="834">
        <f>'[16]Reported Group Highlights'!Z$56</f>
        <v>107</v>
      </c>
      <c r="BE265" s="834">
        <f>'[16]Reported Group Highlights'!AA$56</f>
        <v>-1</v>
      </c>
      <c r="BF265" s="835">
        <f>SUM(BB265:BE265)</f>
        <v>439</v>
      </c>
      <c r="BG265" s="834">
        <f>'[16]Reported Group Highlights'!AB$56</f>
        <v>21.4</v>
      </c>
      <c r="BH265" s="834">
        <f>'[16]Reported Group Highlights'!AC$56</f>
        <v>218.6</v>
      </c>
      <c r="BI265" s="834">
        <f>'[16]Reported Group Highlights'!AD$56</f>
        <v>109.00000000000003</v>
      </c>
      <c r="BJ265" s="834">
        <f>'[16]Reported Group Highlights'!AE$56</f>
        <v>277</v>
      </c>
      <c r="BK265" s="835">
        <f>SUM(BG265:BJ265)</f>
        <v>626</v>
      </c>
      <c r="BL265" s="834">
        <f>'[16]Reported Group Highlights'!AF$56</f>
        <v>-39.614000000000033</v>
      </c>
      <c r="BM265" s="834">
        <f>'[16]Reported Group Highlights'!AG$56</f>
        <v>0.97400000000004638</v>
      </c>
      <c r="BN265" s="834">
        <f>'[16]Reported Group Highlights'!AH$56</f>
        <v>30.17200000000048</v>
      </c>
      <c r="BO265" s="834">
        <f>'[16]Reported Group Highlights'!AI$56</f>
        <v>-2.2000000000389264E-2</v>
      </c>
      <c r="BP265" s="835">
        <f>SUM(BL265:BO265)</f>
        <v>-8.4899999999998954</v>
      </c>
      <c r="BQ265" s="834">
        <f>'[16]Reported Group Highlights'!AJ$56</f>
        <v>240.14099999999985</v>
      </c>
      <c r="BR265" s="834">
        <f>'[16]Reported Group Highlights'!AK$56</f>
        <v>167.34600000000069</v>
      </c>
      <c r="BS265" s="834">
        <f>'[16]Reported Group Highlights'!AL$56</f>
        <v>65.61799999999937</v>
      </c>
      <c r="BT265" s="834">
        <f>'[16]Reported Group Highlights'!AM$56</f>
        <v>184.62700000000086</v>
      </c>
      <c r="BU265" s="835">
        <f>SUM(BQ265:BT265)</f>
        <v>657.73200000000077</v>
      </c>
      <c r="BV265" s="834">
        <f>'[16]Reported Group Highlights'!AN$56</f>
        <v>133.81000000000029</v>
      </c>
      <c r="BW265" s="834">
        <f>'[16]Reported Group Highlights'!AO$56</f>
        <v>125.61799999999948</v>
      </c>
      <c r="BX265" s="834">
        <f>'[16]Reported Group Highlights'!AP$56</f>
        <v>68.3100000000004</v>
      </c>
      <c r="BY265" s="834">
        <f>'[16]Reported Group Highlights'!AQ$56</f>
        <v>81.550000000000409</v>
      </c>
      <c r="BZ265" s="835">
        <f>SUM(BV265:BY265)</f>
        <v>409.28800000000058</v>
      </c>
      <c r="CA265" s="834">
        <f>'[16]Reported Group Highlights'!AR$56</f>
        <v>47.819999999999936</v>
      </c>
      <c r="CB265" s="834">
        <f>'[16]Reported Group Highlights'!AS$56</f>
        <v>35.860000000000127</v>
      </c>
      <c r="CC265" s="834">
        <f>'[16]Reported Group Highlights'!AT$56</f>
        <v>40.446000000001277</v>
      </c>
      <c r="CD265" s="834">
        <f>'[16]Reported Group Highlights'!AU$56</f>
        <v>-116.96800000000167</v>
      </c>
      <c r="CE265" s="835">
        <f>SUM(CA265:CD265)</f>
        <v>7.1579999999996744</v>
      </c>
      <c r="CF265" s="834">
        <f>'[16]Reported Group Highlights'!AV$56</f>
        <v>-27.099999999999909</v>
      </c>
      <c r="CG265" s="834">
        <f>'[16]Reported Group Highlights'!AW$56</f>
        <v>89.967999999999847</v>
      </c>
      <c r="CH265" s="834">
        <f>'[16]Reported Group Highlights'!AX$56</f>
        <v>-282.32000000000016</v>
      </c>
      <c r="CI265" s="834">
        <f>'[16]Reported Group Highlights'!AY$56</f>
        <v>-125.44200000000046</v>
      </c>
      <c r="CJ265" s="835">
        <f>SUM(CF265:CI265)</f>
        <v>-344.89400000000069</v>
      </c>
      <c r="CK265" s="834">
        <f>'[16]Reported Group Highlights'!AZ$56</f>
        <v>-182.51</v>
      </c>
      <c r="CL265" s="834">
        <f>'[16]Reported Group Highlights'!BA$56</f>
        <v>-644.10599999999886</v>
      </c>
      <c r="CM265" s="834">
        <f>'[16]Reported Group Highlights'!BB$56</f>
        <v>3847.5749999999985</v>
      </c>
      <c r="CN265" s="834">
        <f>CM265</f>
        <v>3847.5749999999985</v>
      </c>
      <c r="CO265" s="1343">
        <v>-2000</v>
      </c>
      <c r="CP265" s="1343"/>
      <c r="CQ265" s="814"/>
      <c r="CR265" s="814"/>
      <c r="CS265" s="814"/>
      <c r="CT265" s="814"/>
      <c r="CU265" s="429"/>
      <c r="CV265" s="1374"/>
      <c r="CW265" s="429"/>
      <c r="CX265" s="429"/>
      <c r="CY265" s="429"/>
      <c r="CZ265" s="429"/>
      <c r="DA265" s="429"/>
      <c r="DC265" s="1305"/>
      <c r="DD265" s="1306"/>
      <c r="DE265" s="1306"/>
      <c r="DF265" s="1306"/>
      <c r="DG265" s="1306"/>
      <c r="DH265" s="1306"/>
      <c r="DI265" s="1306"/>
      <c r="DJ265" s="1306"/>
      <c r="DK265" s="1306"/>
      <c r="DL265" s="1306"/>
      <c r="DM265" s="759"/>
    </row>
    <row r="266" spans="1:146" s="399" customFormat="1">
      <c r="A266" s="769"/>
      <c r="B266" s="572" t="s">
        <v>799</v>
      </c>
      <c r="C266" s="755">
        <f t="shared" ref="C266:AB266" si="1236">C464+C262+C263+C265</f>
        <v>519</v>
      </c>
      <c r="D266" s="755">
        <f t="shared" si="1236"/>
        <v>467</v>
      </c>
      <c r="E266" s="755">
        <f t="shared" si="1236"/>
        <v>491</v>
      </c>
      <c r="F266" s="755">
        <f t="shared" si="1236"/>
        <v>224</v>
      </c>
      <c r="G266" s="755">
        <f t="shared" si="1236"/>
        <v>-1256</v>
      </c>
      <c r="H266" s="755">
        <f t="shared" si="1236"/>
        <v>-74</v>
      </c>
      <c r="I266" s="755">
        <f t="shared" si="1236"/>
        <v>-404</v>
      </c>
      <c r="J266" s="755">
        <f t="shared" si="1236"/>
        <v>1377</v>
      </c>
      <c r="K266" s="755">
        <f t="shared" si="1236"/>
        <v>694</v>
      </c>
      <c r="L266" s="755">
        <f t="shared" si="1236"/>
        <v>683.30000000000007</v>
      </c>
      <c r="M266" s="755">
        <f t="shared" si="1236"/>
        <v>2350.3000000000002</v>
      </c>
      <c r="N266" s="755">
        <f t="shared" si="1236"/>
        <v>820</v>
      </c>
      <c r="O266" s="755">
        <f t="shared" si="1236"/>
        <v>991</v>
      </c>
      <c r="P266" s="755">
        <f t="shared" si="1236"/>
        <v>950</v>
      </c>
      <c r="Q266" s="755">
        <f t="shared" si="1236"/>
        <v>1108</v>
      </c>
      <c r="R266" s="755">
        <f t="shared" si="1236"/>
        <v>3869</v>
      </c>
      <c r="S266" s="755">
        <f t="shared" si="1236"/>
        <v>1037</v>
      </c>
      <c r="T266" s="755">
        <f t="shared" si="1236"/>
        <v>1027</v>
      </c>
      <c r="U266" s="755">
        <f t="shared" si="1236"/>
        <v>905</v>
      </c>
      <c r="V266" s="755">
        <f t="shared" si="1236"/>
        <v>1011</v>
      </c>
      <c r="W266" s="755">
        <f t="shared" si="1236"/>
        <v>3865</v>
      </c>
      <c r="X266" s="755">
        <f t="shared" si="1236"/>
        <v>918</v>
      </c>
      <c r="Y266" s="755">
        <f t="shared" si="1236"/>
        <v>1056</v>
      </c>
      <c r="Z266" s="755">
        <f t="shared" si="1236"/>
        <v>993</v>
      </c>
      <c r="AA266" s="755">
        <f t="shared" si="1236"/>
        <v>785</v>
      </c>
      <c r="AB266" s="755">
        <f t="shared" si="1236"/>
        <v>3752</v>
      </c>
      <c r="AC266" s="755">
        <f t="shared" ref="AC266:AZ266" si="1237">AC464+AC262+AC263+AC265+AC264</f>
        <v>444</v>
      </c>
      <c r="AD266" s="755">
        <f t="shared" si="1237"/>
        <v>489</v>
      </c>
      <c r="AE266" s="755">
        <f t="shared" si="1237"/>
        <v>260</v>
      </c>
      <c r="AF266" s="755">
        <f t="shared" si="1237"/>
        <v>196</v>
      </c>
      <c r="AG266" s="755">
        <f t="shared" si="1237"/>
        <v>1389</v>
      </c>
      <c r="AH266" s="755">
        <f t="shared" si="1237"/>
        <v>593</v>
      </c>
      <c r="AI266" s="755">
        <f t="shared" si="1237"/>
        <v>-1088</v>
      </c>
      <c r="AJ266" s="755">
        <f t="shared" si="1237"/>
        <v>-580</v>
      </c>
      <c r="AK266" s="755">
        <f t="shared" si="1237"/>
        <v>5</v>
      </c>
      <c r="AL266" s="755">
        <f t="shared" si="1237"/>
        <v>-1070</v>
      </c>
      <c r="AM266" s="755">
        <f t="shared" si="1237"/>
        <v>-971</v>
      </c>
      <c r="AN266" s="755">
        <f t="shared" si="1237"/>
        <v>-277</v>
      </c>
      <c r="AO266" s="755">
        <f t="shared" si="1237"/>
        <v>-61</v>
      </c>
      <c r="AP266" s="755">
        <f t="shared" si="1237"/>
        <v>679</v>
      </c>
      <c r="AQ266" s="755">
        <f t="shared" si="1237"/>
        <v>-630</v>
      </c>
      <c r="AR266" s="755">
        <f t="shared" si="1237"/>
        <v>243</v>
      </c>
      <c r="AS266" s="755">
        <f t="shared" si="1237"/>
        <v>-28</v>
      </c>
      <c r="AT266" s="755">
        <f t="shared" si="1237"/>
        <v>-91</v>
      </c>
      <c r="AU266" s="755">
        <f t="shared" si="1237"/>
        <v>60</v>
      </c>
      <c r="AV266" s="755">
        <f t="shared" si="1237"/>
        <v>184</v>
      </c>
      <c r="AW266" s="755">
        <f t="shared" si="1237"/>
        <v>-73</v>
      </c>
      <c r="AX266" s="755">
        <f t="shared" si="1237"/>
        <v>99</v>
      </c>
      <c r="AY266" s="755">
        <f t="shared" si="1237"/>
        <v>166</v>
      </c>
      <c r="AZ266" s="755">
        <f t="shared" si="1237"/>
        <v>15</v>
      </c>
      <c r="BA266" s="755">
        <f>BA464+SUM(BA262:BA265)</f>
        <v>207</v>
      </c>
      <c r="BB266" s="755">
        <f>BB464+BB262+BB263+BB265+BB264</f>
        <v>-71</v>
      </c>
      <c r="BC266" s="755">
        <f>BC464+BC262+BC263+BC265+BC264</f>
        <v>-82</v>
      </c>
      <c r="BD266" s="755">
        <f>BD464+BD262+BD263+BD265+BD264</f>
        <v>-118</v>
      </c>
      <c r="BE266" s="755">
        <f>BE464+BE262+BE263+BE265+BE264</f>
        <v>-4122</v>
      </c>
      <c r="BF266" s="755">
        <f>BF464+SUM(BF262:BF265)</f>
        <v>-4393</v>
      </c>
      <c r="BG266" s="755">
        <f>BG464+BG262+BG263+BG265+BG264</f>
        <v>105.27500000000001</v>
      </c>
      <c r="BH266" s="755">
        <f>BH464+BH262+BH263+BH265+BH264</f>
        <v>309.72500000000002</v>
      </c>
      <c r="BI266" s="755">
        <f>BI464+BI262+BI263+BI265+BI264</f>
        <v>339.99999999999989</v>
      </c>
      <c r="BJ266" s="755">
        <f>BJ464+BJ262+BJ263+BJ265+BJ264</f>
        <v>388</v>
      </c>
      <c r="BK266" s="755">
        <f>BK464+SUM(BK262:BK265)</f>
        <v>1143</v>
      </c>
      <c r="BL266" s="755">
        <f>BL464+BL262+BL263+BL265+BL264</f>
        <v>1545.6940000000002</v>
      </c>
      <c r="BM266" s="755">
        <f>BM464+BM262+BM263+BM265+BM264</f>
        <v>381.54500000000007</v>
      </c>
      <c r="BN266" s="755">
        <f>BN464+BN262+BN263+BN265+BN264</f>
        <v>535.80000000000018</v>
      </c>
      <c r="BO266" s="755">
        <f>BO464+BO262+BO263+BO265+BO264</f>
        <v>-2316.8280000000004</v>
      </c>
      <c r="BP266" s="755">
        <f>BP464+SUM(BP262:BP265)</f>
        <v>-1880.5620000000004</v>
      </c>
      <c r="BQ266" s="755">
        <f>BQ464+BQ262+BQ263+BQ265+BQ264</f>
        <v>389.43799999999999</v>
      </c>
      <c r="BR266" s="755">
        <f>BR464+BR262+BR263+BR265+BR264</f>
        <v>452.84100000000012</v>
      </c>
      <c r="BS266" s="755">
        <f>BS464+BS262+BS263+BS265+BS264</f>
        <v>413.81400000000002</v>
      </c>
      <c r="BT266" s="755">
        <f>BT464+BT262+BT263+BT265+BT264</f>
        <v>451.44699999999989</v>
      </c>
      <c r="BU266" s="755">
        <f>BU464+SUM(BU262:BU265)</f>
        <v>1707.54</v>
      </c>
      <c r="BV266" s="755">
        <f>BV257+BV262+BV263+BV265+BV264</f>
        <v>172.21600000000007</v>
      </c>
      <c r="BW266" s="755">
        <f t="shared" ref="BW266:CT266" si="1238">BW257+BW262+BW263+BW265+BW264</f>
        <v>555.86599999999999</v>
      </c>
      <c r="BX266" s="755">
        <f t="shared" si="1238"/>
        <v>465.35200000000003</v>
      </c>
      <c r="BY266" s="755">
        <f t="shared" si="1238"/>
        <v>159.59599999999992</v>
      </c>
      <c r="BZ266" s="755">
        <f t="shared" si="1238"/>
        <v>1353.03</v>
      </c>
      <c r="CA266" s="755">
        <f t="shared" si="1238"/>
        <v>237.77700000000004</v>
      </c>
      <c r="CB266" s="755">
        <f t="shared" ref="CB266:CC266" si="1239">CB257+CB262+CB263+CB265+CB264</f>
        <v>565.55600000000004</v>
      </c>
      <c r="CC266" s="755">
        <f t="shared" si="1239"/>
        <v>447.22399999999993</v>
      </c>
      <c r="CD266" s="755">
        <f t="shared" ref="CD266:CE266" si="1240">CD257+CD262+CD263+CD265+CD264</f>
        <v>453.96000000000004</v>
      </c>
      <c r="CE266" s="755">
        <f t="shared" si="1240"/>
        <v>1704.5170000000001</v>
      </c>
      <c r="CF266" s="755">
        <f t="shared" ref="CF266:CG266" si="1241">CF257+CF262+CF263+CF265+CF264</f>
        <v>677.19600000000003</v>
      </c>
      <c r="CG266" s="755">
        <f t="shared" si="1241"/>
        <v>661.13600000000008</v>
      </c>
      <c r="CH266" s="755">
        <f t="shared" ref="CH266:CK266" si="1242">CH257+CH262+CH263+CH265+CH264</f>
        <v>415.60199999999975</v>
      </c>
      <c r="CI266" s="755">
        <f t="shared" si="1242"/>
        <v>673.29100000000005</v>
      </c>
      <c r="CJ266" s="755">
        <f t="shared" si="1242"/>
        <v>2427.2249999999999</v>
      </c>
      <c r="CK266" s="755">
        <f t="shared" si="1242"/>
        <v>523.15099999999995</v>
      </c>
      <c r="CL266" s="755">
        <f t="shared" ref="CL266" si="1243">CL257+CL262+CL263+CL265+CL264</f>
        <v>-1864.895</v>
      </c>
      <c r="CM266" s="755">
        <f t="shared" ref="CM266" si="1244">CM257+CM262+CM263+CM265+CM264</f>
        <v>3095.6779999999999</v>
      </c>
      <c r="CN266" s="755"/>
      <c r="CO266" s="755">
        <f t="shared" si="1238"/>
        <v>-3000.7876222995537</v>
      </c>
      <c r="CP266" s="755">
        <f t="shared" si="1238"/>
        <v>967.30136245929771</v>
      </c>
      <c r="CQ266" s="755">
        <f t="shared" si="1238"/>
        <v>2893.4550061645941</v>
      </c>
      <c r="CR266" s="755">
        <f t="shared" si="1238"/>
        <v>5727.7188318057979</v>
      </c>
      <c r="CS266" s="755">
        <f t="shared" si="1238"/>
        <v>7317.3715651930297</v>
      </c>
      <c r="CT266" s="755">
        <f t="shared" si="1238"/>
        <v>8803.4110259958725</v>
      </c>
      <c r="CU266" s="396"/>
      <c r="CV266" s="1375"/>
      <c r="CW266" s="396"/>
      <c r="CX266" s="396"/>
      <c r="CY266" s="396"/>
      <c r="CZ266" s="396"/>
      <c r="DA266" s="396"/>
      <c r="DC266" s="1305"/>
      <c r="DD266" s="1307"/>
      <c r="DE266" s="1307"/>
      <c r="DF266" s="1307"/>
      <c r="DG266" s="1307"/>
      <c r="DH266" s="1307"/>
      <c r="DI266" s="1307"/>
      <c r="DJ266" s="1307"/>
      <c r="DK266" s="1307"/>
      <c r="DL266" s="1307"/>
      <c r="DM266" s="769"/>
    </row>
    <row r="267" spans="1:146">
      <c r="B267" s="455"/>
      <c r="C267" s="820"/>
      <c r="D267" s="820"/>
      <c r="E267" s="820"/>
      <c r="F267" s="820"/>
      <c r="G267" s="820"/>
      <c r="H267" s="820"/>
      <c r="I267" s="820"/>
      <c r="J267" s="820"/>
      <c r="K267" s="820"/>
      <c r="L267" s="820"/>
      <c r="M267" s="820"/>
      <c r="N267" s="820"/>
      <c r="O267" s="820"/>
      <c r="P267" s="820"/>
      <c r="Q267" s="820"/>
      <c r="R267" s="820"/>
      <c r="S267" s="820"/>
      <c r="T267" s="820"/>
      <c r="U267" s="820"/>
      <c r="V267" s="820"/>
      <c r="W267" s="820"/>
      <c r="X267" s="820"/>
      <c r="Y267" s="820"/>
      <c r="Z267" s="820"/>
      <c r="AA267" s="820"/>
      <c r="AB267" s="820"/>
      <c r="AC267" s="820"/>
      <c r="AD267" s="820"/>
      <c r="AE267" s="820"/>
      <c r="AF267" s="820"/>
      <c r="AG267" s="820"/>
      <c r="AH267" s="820"/>
      <c r="AI267" s="820"/>
      <c r="AJ267" s="820"/>
      <c r="AK267" s="820"/>
      <c r="AL267" s="820"/>
      <c r="AM267" s="820"/>
      <c r="AN267" s="820"/>
      <c r="AO267" s="820"/>
      <c r="AP267" s="820"/>
      <c r="AQ267" s="820"/>
      <c r="AR267" s="820"/>
      <c r="AS267" s="820"/>
      <c r="AT267" s="820"/>
      <c r="AU267" s="820"/>
      <c r="AV267" s="820"/>
      <c r="AW267" s="820"/>
      <c r="AX267" s="820"/>
      <c r="AY267" s="820"/>
      <c r="AZ267" s="820"/>
      <c r="BA267" s="820"/>
      <c r="BB267" s="820"/>
      <c r="BC267" s="820"/>
      <c r="BD267" s="820"/>
      <c r="BE267" s="820"/>
      <c r="BF267" s="820"/>
      <c r="BG267" s="820"/>
      <c r="BH267" s="820"/>
      <c r="BI267" s="820"/>
      <c r="BJ267" s="820"/>
      <c r="BK267" s="820"/>
      <c r="BL267" s="820"/>
      <c r="BM267" s="820"/>
      <c r="BN267" s="820"/>
      <c r="BO267" s="820"/>
      <c r="BP267" s="820"/>
      <c r="BQ267" s="820"/>
      <c r="BR267" s="820"/>
      <c r="BS267" s="820"/>
      <c r="BT267" s="820"/>
      <c r="BU267" s="820">
        <v>419.733</v>
      </c>
      <c r="BV267" s="820"/>
      <c r="BW267" s="820"/>
      <c r="BX267" s="820"/>
      <c r="BY267" s="820"/>
      <c r="BZ267" s="820"/>
      <c r="CA267" s="820"/>
      <c r="CB267" s="820"/>
      <c r="CC267" s="820"/>
      <c r="CD267" s="820"/>
      <c r="CE267" s="820"/>
      <c r="CF267" s="820"/>
      <c r="CG267" s="820"/>
      <c r="CH267" s="820"/>
      <c r="CI267" s="820"/>
      <c r="CJ267" s="820"/>
      <c r="CK267" s="820"/>
      <c r="CL267" s="820"/>
      <c r="CM267" s="820"/>
      <c r="CN267" s="820"/>
      <c r="CO267" s="820"/>
      <c r="CP267" s="820"/>
      <c r="CQ267" s="820"/>
      <c r="CR267" s="820"/>
      <c r="CS267" s="820"/>
      <c r="CT267" s="820"/>
      <c r="CU267" s="429"/>
      <c r="CV267" s="1374"/>
      <c r="CW267" s="429"/>
      <c r="CX267" s="429"/>
      <c r="CY267" s="429"/>
      <c r="CZ267" s="429"/>
      <c r="DA267" s="429"/>
      <c r="DC267" s="1308"/>
      <c r="DD267" s="1309"/>
      <c r="DE267" s="1309"/>
      <c r="DF267" s="1309"/>
      <c r="DG267" s="1309"/>
      <c r="DH267" s="1309"/>
      <c r="DI267" s="1309"/>
      <c r="DJ267" s="1309"/>
      <c r="DK267" s="1309"/>
      <c r="DL267" s="1309"/>
      <c r="DM267" s="759"/>
    </row>
    <row r="268" spans="1:146">
      <c r="B268" s="455" t="s">
        <v>809</v>
      </c>
      <c r="C268" s="836">
        <v>-267</v>
      </c>
      <c r="D268" s="836">
        <v>-146</v>
      </c>
      <c r="E268" s="836">
        <v>-162</v>
      </c>
      <c r="F268" s="836">
        <v>-146</v>
      </c>
      <c r="G268" s="836">
        <v>514</v>
      </c>
      <c r="H268" s="836">
        <v>60</v>
      </c>
      <c r="I268" s="836">
        <v>99</v>
      </c>
      <c r="J268" s="836">
        <v>-366</v>
      </c>
      <c r="K268" s="836">
        <v>-198</v>
      </c>
      <c r="L268" s="836">
        <v>-175.79999999999995</v>
      </c>
      <c r="M268" s="836">
        <v>-640.79999999999995</v>
      </c>
      <c r="N268" s="836">
        <v>-221</v>
      </c>
      <c r="O268" s="836">
        <v>-269</v>
      </c>
      <c r="P268" s="836">
        <v>-189</v>
      </c>
      <c r="Q268" s="836">
        <v>-298</v>
      </c>
      <c r="R268" s="836">
        <v>-977</v>
      </c>
      <c r="S268" s="836">
        <v>-281</v>
      </c>
      <c r="T268" s="836">
        <v>-260</v>
      </c>
      <c r="U268" s="836">
        <v>-244</v>
      </c>
      <c r="V268" s="836">
        <v>-250</v>
      </c>
      <c r="W268" s="837">
        <v>-1035</v>
      </c>
      <c r="X268" s="837">
        <v>-251</v>
      </c>
      <c r="Y268" s="837">
        <v>-262</v>
      </c>
      <c r="Z268" s="837">
        <v>-257</v>
      </c>
      <c r="AA268" s="837">
        <v>-265</v>
      </c>
      <c r="AB268" s="837">
        <v>-1035</v>
      </c>
      <c r="AC268" s="837">
        <v>-128</v>
      </c>
      <c r="AD268" s="837">
        <v>-135</v>
      </c>
      <c r="AE268" s="837">
        <v>-14</v>
      </c>
      <c r="AF268" s="837">
        <v>-80</v>
      </c>
      <c r="AG268" s="837">
        <v>-357</v>
      </c>
      <c r="AH268" s="837">
        <v>-213</v>
      </c>
      <c r="AI268" s="837">
        <v>225</v>
      </c>
      <c r="AJ268" s="837">
        <v>161</v>
      </c>
      <c r="AK268" s="837">
        <v>6</v>
      </c>
      <c r="AL268" s="837">
        <v>179</v>
      </c>
      <c r="AM268" s="837">
        <v>253</v>
      </c>
      <c r="AN268" s="837">
        <v>145</v>
      </c>
      <c r="AO268" s="837">
        <v>404</v>
      </c>
      <c r="AP268" s="837">
        <v>-197</v>
      </c>
      <c r="AQ268" s="837">
        <v>605</v>
      </c>
      <c r="AR268" s="837">
        <v>-72</v>
      </c>
      <c r="AS268" s="837">
        <v>81</v>
      </c>
      <c r="AT268" s="837">
        <v>26</v>
      </c>
      <c r="AU268" s="837">
        <f>AV268-AT268-AS268-AR268</f>
        <v>155</v>
      </c>
      <c r="AV268" s="837">
        <f>-'Balance Sheet and Cflow'!L290</f>
        <v>190</v>
      </c>
      <c r="AW268" s="838">
        <f>'[16]Reported Group Highlights'!T$59</f>
        <v>119</v>
      </c>
      <c r="AX268" s="838">
        <f>'[16]Reported Group Highlights'!U$59</f>
        <v>-2</v>
      </c>
      <c r="AY268" s="838">
        <f>'[16]Reported Group Highlights'!V$59</f>
        <v>-71</v>
      </c>
      <c r="AZ268" s="838">
        <f>'[16]Reported Group Highlights'!W$59</f>
        <v>108</v>
      </c>
      <c r="BA268" s="805">
        <f>SUM(AW268:AZ268)</f>
        <v>154</v>
      </c>
      <c r="BB268" s="838">
        <f>'[16]Reported Group Highlights'!X$59</f>
        <v>87</v>
      </c>
      <c r="BC268" s="838">
        <f>'[16]Reported Group Highlights'!Y$59</f>
        <v>-14</v>
      </c>
      <c r="BD268" s="838">
        <f>'[16]Reported Group Highlights'!Z$59</f>
        <v>56</v>
      </c>
      <c r="BE268" s="838">
        <f>'[16]Reported Group Highlights'!AA$59</f>
        <v>970</v>
      </c>
      <c r="BF268" s="805">
        <f>SUM(BB268:BE268)</f>
        <v>1099</v>
      </c>
      <c r="BG268" s="838">
        <f>'[16]Reported Group Highlights'!AB$59</f>
        <v>-26.7</v>
      </c>
      <c r="BH268" s="838">
        <f>'[16]Reported Group Highlights'!AC$59</f>
        <v>-106.3</v>
      </c>
      <c r="BI268" s="838">
        <f>'[16]Reported Group Highlights'!AD$59</f>
        <v>-124.00000000000001</v>
      </c>
      <c r="BJ268" s="838">
        <f>'[16]Reported Group Highlights'!AE$59</f>
        <v>-175</v>
      </c>
      <c r="BK268" s="805">
        <f>SUM(BG268:BJ268)</f>
        <v>-432</v>
      </c>
      <c r="BL268" s="838">
        <f>'[16]Reported Group Highlights'!AF$59</f>
        <v>-25.69399999999996</v>
      </c>
      <c r="BM268" s="838">
        <f>'[16]Reported Group Highlights'!AG$59</f>
        <v>-157.54500000000002</v>
      </c>
      <c r="BN268" s="838">
        <f>'[16]Reported Group Highlights'!AH$59</f>
        <v>-204.80000000000018</v>
      </c>
      <c r="BO268" s="838">
        <f>'[16]Reported Group Highlights'!AI$59</f>
        <v>613.82800000000043</v>
      </c>
      <c r="BP268" s="805">
        <f>SUM(BL268:BO268)</f>
        <v>225.78900000000027</v>
      </c>
      <c r="BQ268" s="838">
        <f>'[16]Reported Group Highlights'!AJ$59</f>
        <v>-68.437999999999988</v>
      </c>
      <c r="BR268" s="838">
        <f>'[16]Reported Group Highlights'!AK$59</f>
        <v>-57.841000000000008</v>
      </c>
      <c r="BS268" s="838">
        <f>'[16]Reported Group Highlights'!AL$59</f>
        <v>-113.81400000000008</v>
      </c>
      <c r="BT268" s="838">
        <f>'[16]Reported Group Highlights'!AM$59</f>
        <v>-179.63999999999976</v>
      </c>
      <c r="BU268" s="805">
        <f>SUM(BQ268:BT268)</f>
        <v>-419.73299999999983</v>
      </c>
      <c r="BV268" s="838">
        <f>'[16]Reported Group Highlights'!AN$59</f>
        <v>-33.123999999999995</v>
      </c>
      <c r="BW268" s="838">
        <f>'[16]Reported Group Highlights'!AO$59</f>
        <v>-77.946000000000026</v>
      </c>
      <c r="BX268" s="838">
        <f>'[16]Reported Group Highlights'!AP$59</f>
        <v>-93.591999999999871</v>
      </c>
      <c r="BY268" s="838">
        <f>'[16]Reported Group Highlights'!AQ$59</f>
        <v>-27.179999999999978</v>
      </c>
      <c r="BZ268" s="805">
        <f>SUM(BV268:BY268)</f>
        <v>-231.84199999999987</v>
      </c>
      <c r="CA268" s="838">
        <f>'[16]Reported Group Highlights'!AR$59</f>
        <v>-33.601999999999975</v>
      </c>
      <c r="CB268" s="838">
        <f>'[16]Reported Group Highlights'!AS$59</f>
        <v>-112.20700000000005</v>
      </c>
      <c r="CC268" s="838">
        <f>'[16]Reported Group Highlights'!AT$59</f>
        <v>-86.165000000000077</v>
      </c>
      <c r="CD268" s="838">
        <f>'[16]Reported Group Highlights'!AU$59</f>
        <v>-188.09499999999997</v>
      </c>
      <c r="CE268" s="805">
        <f>SUM(CA268:CD268)</f>
        <v>-420.06900000000007</v>
      </c>
      <c r="CF268" s="838">
        <f>'[16]Reported Group Highlights'!AV$59</f>
        <v>-129.76600000000008</v>
      </c>
      <c r="CG268" s="838">
        <f>'[16]Reported Group Highlights'!AW$59</f>
        <v>-171.40100000000007</v>
      </c>
      <c r="CH268" s="838">
        <f>'[16]Reported Group Highlights'!AX$59</f>
        <v>-117.8349999999997</v>
      </c>
      <c r="CI268" s="838">
        <f>'[16]Reported Group Highlights'!AY$59</f>
        <v>-160.5920000000001</v>
      </c>
      <c r="CJ268" s="805">
        <f>SUM(CF268:CI268)</f>
        <v>-579.59399999999994</v>
      </c>
      <c r="CK268" s="838">
        <f>'[16]Reported Group Highlights'!AZ$59</f>
        <v>-134.91899999999993</v>
      </c>
      <c r="CL268" s="838">
        <f>'[16]Reported Group Highlights'!BA$59</f>
        <v>257.89499999999998</v>
      </c>
      <c r="CM268" s="838">
        <f>'[16]Reported Group Highlights'!BB$59</f>
        <v>-4472.5149999999994</v>
      </c>
      <c r="CN268" s="838"/>
      <c r="CO268" s="1511">
        <f>-'Balance Sheet and Cflow'!V290</f>
        <v>716.55429602080062</v>
      </c>
      <c r="CP268" s="1511">
        <f>-'Balance Sheet and Cflow'!W290</f>
        <v>-230.98067376252069</v>
      </c>
      <c r="CQ268" s="1511">
        <f>-'Balance Sheet and Cflow'!X290</f>
        <v>-690.92447582855402</v>
      </c>
      <c r="CR268" s="1511">
        <f>-'Balance Sheet and Cflow'!Y290</f>
        <v>-1367.7147642273173</v>
      </c>
      <c r="CS268" s="1511">
        <f>-'Balance Sheet and Cflow'!Z290</f>
        <v>-1747.3059378329119</v>
      </c>
      <c r="CT268" s="1511">
        <f>-'Balance Sheet and Cflow'!AA290</f>
        <v>-2102.155428607176</v>
      </c>
      <c r="CU268" s="429"/>
      <c r="CV268" s="1374"/>
      <c r="CW268" s="429"/>
      <c r="CX268" s="429"/>
      <c r="CY268" s="429"/>
      <c r="CZ268" s="347"/>
      <c r="DA268" s="347"/>
      <c r="DC268" s="764"/>
      <c r="DD268" s="883"/>
      <c r="DE268" s="883"/>
      <c r="DF268" s="883"/>
      <c r="DG268" s="883"/>
      <c r="DH268" s="883"/>
      <c r="DI268" s="883"/>
      <c r="DJ268" s="883"/>
      <c r="DK268" s="883"/>
      <c r="DL268" s="883"/>
      <c r="DM268" s="759"/>
    </row>
    <row r="269" spans="1:146" s="356" customFormat="1">
      <c r="A269" s="794"/>
      <c r="B269" s="554" t="s">
        <v>98</v>
      </c>
      <c r="C269" s="356">
        <f>C268/C266</f>
        <v>-0.51445086705202314</v>
      </c>
      <c r="D269" s="356">
        <f t="shared" ref="D269:BQ269" si="1245">D268/D266</f>
        <v>-0.31263383297644537</v>
      </c>
      <c r="E269" s="356">
        <f t="shared" si="1245"/>
        <v>-0.32993890020366601</v>
      </c>
      <c r="F269" s="356">
        <f t="shared" si="1245"/>
        <v>-0.6517857142857143</v>
      </c>
      <c r="G269" s="356">
        <f t="shared" si="1245"/>
        <v>-0.40923566878980894</v>
      </c>
      <c r="H269" s="356">
        <f t="shared" si="1245"/>
        <v>-0.81081081081081086</v>
      </c>
      <c r="I269" s="356">
        <f t="shared" si="1245"/>
        <v>-0.24504950495049505</v>
      </c>
      <c r="J269" s="356">
        <f t="shared" si="1245"/>
        <v>-0.26579520697167758</v>
      </c>
      <c r="K269" s="356">
        <f t="shared" si="1245"/>
        <v>-0.28530259365994237</v>
      </c>
      <c r="L269" s="356">
        <f t="shared" si="1245"/>
        <v>-0.25728084296794956</v>
      </c>
      <c r="M269" s="356">
        <f t="shared" si="1245"/>
        <v>-0.27264604518572094</v>
      </c>
      <c r="N269" s="356">
        <f t="shared" si="1245"/>
        <v>-0.26951219512195124</v>
      </c>
      <c r="O269" s="356">
        <f t="shared" si="1245"/>
        <v>-0.27144298688193741</v>
      </c>
      <c r="P269" s="356">
        <f t="shared" si="1245"/>
        <v>-0.19894736842105262</v>
      </c>
      <c r="Q269" s="356">
        <f t="shared" si="1245"/>
        <v>-0.26895306859205775</v>
      </c>
      <c r="R269" s="356">
        <f t="shared" si="1245"/>
        <v>-0.25252003101576637</v>
      </c>
      <c r="S269" s="356">
        <f t="shared" si="1245"/>
        <v>-0.27097396335583412</v>
      </c>
      <c r="T269" s="356">
        <f t="shared" si="1245"/>
        <v>-0.25316455696202533</v>
      </c>
      <c r="U269" s="356">
        <f t="shared" si="1245"/>
        <v>-0.2696132596685083</v>
      </c>
      <c r="V269" s="356">
        <f t="shared" si="1245"/>
        <v>-0.24727992087042533</v>
      </c>
      <c r="W269" s="356">
        <f t="shared" si="1245"/>
        <v>-0.26778783958602848</v>
      </c>
      <c r="X269" s="356">
        <f t="shared" si="1245"/>
        <v>-0.27342047930283225</v>
      </c>
      <c r="Y269" s="356">
        <f t="shared" si="1245"/>
        <v>-0.24810606060606061</v>
      </c>
      <c r="Z269" s="356">
        <f t="shared" si="1245"/>
        <v>-0.25881168177240682</v>
      </c>
      <c r="AA269" s="356">
        <f t="shared" si="1245"/>
        <v>-0.33757961783439489</v>
      </c>
      <c r="AB269" s="356">
        <f t="shared" si="1245"/>
        <v>-0.27585287846481876</v>
      </c>
      <c r="AC269" s="356">
        <f t="shared" si="1245"/>
        <v>-0.28828828828828829</v>
      </c>
      <c r="AD269" s="356">
        <f t="shared" si="1245"/>
        <v>-0.27607361963190186</v>
      </c>
      <c r="AE269" s="356">
        <f t="shared" si="1245"/>
        <v>-5.3846153846153849E-2</v>
      </c>
      <c r="AF269" s="356">
        <f t="shared" si="1245"/>
        <v>-0.40816326530612246</v>
      </c>
      <c r="AG269" s="356">
        <f t="shared" si="1245"/>
        <v>-0.25701943844492442</v>
      </c>
      <c r="AH269" s="356">
        <f t="shared" si="1245"/>
        <v>-0.35919055649241149</v>
      </c>
      <c r="AI269" s="356">
        <f t="shared" si="1245"/>
        <v>-0.20680147058823528</v>
      </c>
      <c r="AJ269" s="356">
        <f t="shared" si="1245"/>
        <v>-0.27758620689655172</v>
      </c>
      <c r="AK269" s="356">
        <f t="shared" si="1245"/>
        <v>1.2</v>
      </c>
      <c r="AL269" s="356">
        <f t="shared" si="1245"/>
        <v>-0.16728971962616823</v>
      </c>
      <c r="AM269" s="356">
        <f t="shared" si="1245"/>
        <v>-0.26055612770339853</v>
      </c>
      <c r="AN269" s="356">
        <f t="shared" si="1245"/>
        <v>-0.52346570397111913</v>
      </c>
      <c r="AO269" s="356">
        <f t="shared" si="1245"/>
        <v>-6.6229508196721314</v>
      </c>
      <c r="AP269" s="356">
        <f t="shared" si="1245"/>
        <v>-0.29013254786450665</v>
      </c>
      <c r="AQ269" s="356">
        <f t="shared" si="1245"/>
        <v>-0.96031746031746035</v>
      </c>
      <c r="AR269" s="356">
        <f t="shared" si="1245"/>
        <v>-0.29629629629629628</v>
      </c>
      <c r="AS269" s="356">
        <f t="shared" si="1245"/>
        <v>-2.8928571428571428</v>
      </c>
      <c r="AT269" s="356">
        <f t="shared" si="1245"/>
        <v>-0.2857142857142857</v>
      </c>
      <c r="AU269" s="356">
        <f t="shared" si="1245"/>
        <v>2.5833333333333335</v>
      </c>
      <c r="AV269" s="356">
        <f t="shared" si="1245"/>
        <v>1.0326086956521738</v>
      </c>
      <c r="AW269" s="356">
        <f>AW268/AW266</f>
        <v>-1.6301369863013699</v>
      </c>
      <c r="AX269" s="356">
        <f>AX268/AX266</f>
        <v>-2.0202020202020204E-2</v>
      </c>
      <c r="AY269" s="356">
        <f>AY268/AY266</f>
        <v>-0.42771084337349397</v>
      </c>
      <c r="AZ269" s="356">
        <f>AZ268/AZ266</f>
        <v>7.2</v>
      </c>
      <c r="BA269" s="356">
        <f t="shared" si="1245"/>
        <v>0.7439613526570048</v>
      </c>
      <c r="BB269" s="356">
        <f t="shared" si="1245"/>
        <v>-1.2253521126760563</v>
      </c>
      <c r="BC269" s="356">
        <f t="shared" ref="BC269:BD269" si="1246">BC268/BC266</f>
        <v>0.17073170731707318</v>
      </c>
      <c r="BD269" s="356">
        <f t="shared" si="1246"/>
        <v>-0.47457627118644069</v>
      </c>
      <c r="BE269" s="356">
        <f t="shared" si="1245"/>
        <v>-0.23532265890344492</v>
      </c>
      <c r="BF269" s="356">
        <f t="shared" si="1245"/>
        <v>-0.25017072615524699</v>
      </c>
      <c r="BG269" s="356">
        <f t="shared" si="1245"/>
        <v>-0.25362146758489668</v>
      </c>
      <c r="BH269" s="356">
        <f t="shared" si="1245"/>
        <v>-0.34320768423601578</v>
      </c>
      <c r="BI269" s="356">
        <f t="shared" si="1245"/>
        <v>-0.36470588235294132</v>
      </c>
      <c r="BJ269" s="356">
        <f t="shared" ref="BJ269" si="1247">BJ268/BJ266</f>
        <v>-0.45103092783505155</v>
      </c>
      <c r="BK269" s="356">
        <f t="shared" si="1245"/>
        <v>-0.37795275590551181</v>
      </c>
      <c r="BL269" s="356">
        <f t="shared" ref="BL269:BM269" si="1248">BL268/BL266</f>
        <v>-1.6622953831741571E-2</v>
      </c>
      <c r="BM269" s="356">
        <f t="shared" si="1248"/>
        <v>-0.41291328676827105</v>
      </c>
      <c r="BN269" s="356">
        <f t="shared" ref="BN269:BP269" si="1249">BN268/BN266</f>
        <v>-0.38223217618514393</v>
      </c>
      <c r="BO269" s="356">
        <f t="shared" si="1249"/>
        <v>-0.26494327589272931</v>
      </c>
      <c r="BP269" s="356">
        <f t="shared" si="1249"/>
        <v>-0.12006464025115908</v>
      </c>
      <c r="BQ269" s="356">
        <f t="shared" si="1245"/>
        <v>-0.1757352903414664</v>
      </c>
      <c r="BR269" s="356">
        <f t="shared" ref="BR269:BS269" si="1250">BR268/BR266</f>
        <v>-0.12772915879966698</v>
      </c>
      <c r="BS269" s="356">
        <f t="shared" si="1250"/>
        <v>-0.27503661065116231</v>
      </c>
      <c r="BT269" s="356">
        <f t="shared" ref="BT269:BU269" si="1251">BT268/BT266</f>
        <v>-0.39792046463925956</v>
      </c>
      <c r="BU269" s="356">
        <f t="shared" si="1251"/>
        <v>-0.24581151832460724</v>
      </c>
      <c r="BV269" s="356">
        <f t="shared" ref="BV269:BW269" si="1252">BV268/BV266</f>
        <v>-0.19233985227853384</v>
      </c>
      <c r="BW269" s="356">
        <f t="shared" si="1252"/>
        <v>-0.1402244425814855</v>
      </c>
      <c r="BX269" s="356">
        <f t="shared" ref="BX269" si="1253">BX268/BX266</f>
        <v>-0.20112087194209946</v>
      </c>
      <c r="BY269" s="356">
        <f t="shared" ref="BY269:CA269" si="1254">BY268/BY266</f>
        <v>-0.17030502017594421</v>
      </c>
      <c r="BZ269" s="356">
        <f t="shared" si="1254"/>
        <v>-0.17135022874585182</v>
      </c>
      <c r="CA269" s="356">
        <f t="shared" si="1254"/>
        <v>-0.14131728468270677</v>
      </c>
      <c r="CB269" s="356">
        <f t="shared" ref="CB269:CC269" si="1255">CB268/CB266</f>
        <v>-0.19840121933106544</v>
      </c>
      <c r="CC269" s="356">
        <f t="shared" si="1255"/>
        <v>-0.19266631486682309</v>
      </c>
      <c r="CD269" s="356">
        <f t="shared" ref="CD269:CE269" si="1256">CD268/CD266</f>
        <v>-0.41434267336329184</v>
      </c>
      <c r="CE269" s="356">
        <f t="shared" si="1256"/>
        <v>-0.24644459398175558</v>
      </c>
      <c r="CF269" s="356">
        <f t="shared" ref="CF269:CG269" si="1257">CF268/CF266</f>
        <v>-0.19162251401366823</v>
      </c>
      <c r="CG269" s="356">
        <f t="shared" si="1257"/>
        <v>-0.25925225672176383</v>
      </c>
      <c r="CH269" s="356">
        <f t="shared" ref="CH269:CK269" si="1258">CH268/CH266</f>
        <v>-0.28352847195152997</v>
      </c>
      <c r="CI269" s="356">
        <f t="shared" si="1258"/>
        <v>-0.23851796622856994</v>
      </c>
      <c r="CJ269" s="356">
        <f t="shared" si="1258"/>
        <v>-0.23878874022803817</v>
      </c>
      <c r="CK269" s="356">
        <f t="shared" si="1258"/>
        <v>-0.25789685960649972</v>
      </c>
      <c r="CL269" s="356">
        <f t="shared" ref="CL269" si="1259">CL268/CL266</f>
        <v>-0.13828928706441918</v>
      </c>
      <c r="CM269" s="356">
        <f t="shared" ref="CM269" si="1260">CM268/CM266</f>
        <v>-1.4447610507294362</v>
      </c>
      <c r="CO269" s="356">
        <f t="shared" ref="CO269:CR269" si="1261">CO268/CO266</f>
        <v>-0.23878874022803823</v>
      </c>
      <c r="CP269" s="356">
        <f t="shared" si="1261"/>
        <v>-0.23878874022803823</v>
      </c>
      <c r="CQ269" s="356">
        <f t="shared" si="1261"/>
        <v>-0.23878874022803823</v>
      </c>
      <c r="CR269" s="356">
        <f t="shared" si="1261"/>
        <v>-0.23878874022803825</v>
      </c>
      <c r="CS269" s="356">
        <f t="shared" ref="CS269:CT269" si="1262">CS268/CS266</f>
        <v>-0.23878874022803823</v>
      </c>
      <c r="CT269" s="356">
        <f t="shared" si="1262"/>
        <v>-0.23878874022803823</v>
      </c>
      <c r="CV269" s="1366"/>
      <c r="DC269" s="1337"/>
      <c r="DD269" s="794"/>
      <c r="DE269" s="794"/>
      <c r="DF269" s="794"/>
      <c r="DG269" s="794"/>
      <c r="DH269" s="794"/>
      <c r="DI269" s="794"/>
      <c r="DJ269" s="794"/>
      <c r="DK269" s="794"/>
      <c r="DL269" s="794"/>
      <c r="DM269" s="794"/>
      <c r="EM269" s="368"/>
    </row>
    <row r="270" spans="1:146">
      <c r="B270" s="456"/>
      <c r="C270" s="531"/>
      <c r="D270" s="531"/>
      <c r="E270" s="531"/>
      <c r="F270" s="531"/>
      <c r="G270" s="531"/>
      <c r="H270" s="531"/>
      <c r="I270" s="531"/>
      <c r="J270" s="531"/>
      <c r="K270" s="531"/>
      <c r="L270" s="531"/>
      <c r="M270" s="531"/>
      <c r="N270" s="531"/>
      <c r="O270" s="531"/>
      <c r="P270" s="531"/>
      <c r="Q270" s="531"/>
      <c r="R270" s="531"/>
      <c r="S270" s="531"/>
      <c r="T270" s="531"/>
      <c r="U270" s="531"/>
      <c r="V270" s="531"/>
      <c r="W270" s="531"/>
      <c r="X270" s="531"/>
      <c r="Y270" s="531"/>
      <c r="Z270" s="531"/>
      <c r="AA270" s="531"/>
      <c r="AB270" s="531"/>
      <c r="AC270" s="531"/>
      <c r="AD270" s="531"/>
      <c r="AE270" s="531"/>
      <c r="AF270" s="531"/>
      <c r="AG270" s="531"/>
      <c r="AH270" s="531"/>
      <c r="AI270" s="531"/>
      <c r="AJ270" s="531"/>
      <c r="AK270" s="531"/>
      <c r="AL270" s="531"/>
      <c r="AM270" s="531"/>
      <c r="AN270" s="531"/>
      <c r="AO270" s="531"/>
      <c r="AP270" s="531"/>
      <c r="AQ270" s="531"/>
      <c r="AR270" s="531"/>
      <c r="AS270" s="531"/>
      <c r="AT270" s="531"/>
      <c r="AU270" s="531"/>
      <c r="AV270" s="531"/>
      <c r="AW270" s="531"/>
      <c r="AX270" s="531"/>
      <c r="AY270" s="531"/>
      <c r="AZ270" s="531"/>
      <c r="BA270" s="531"/>
      <c r="BB270" s="531"/>
      <c r="BC270" s="531"/>
      <c r="BD270" s="531"/>
      <c r="BE270" s="531"/>
      <c r="BF270" s="531"/>
      <c r="BG270" s="531"/>
      <c r="BH270" s="531"/>
      <c r="BI270" s="531"/>
      <c r="BJ270" s="531"/>
      <c r="BK270" s="531"/>
      <c r="BL270" s="531"/>
      <c r="BM270" s="531"/>
      <c r="BN270" s="531"/>
      <c r="BO270" s="531"/>
      <c r="BP270" s="531"/>
      <c r="BQ270" s="531"/>
      <c r="BR270" s="531"/>
      <c r="BS270" s="531"/>
      <c r="BT270" s="531"/>
      <c r="BU270" s="531"/>
      <c r="BV270" s="531"/>
      <c r="BW270" s="531"/>
      <c r="BX270" s="531"/>
      <c r="BY270" s="531"/>
      <c r="BZ270" s="531"/>
      <c r="CA270" s="531"/>
      <c r="CB270" s="531"/>
      <c r="CC270" s="531"/>
      <c r="CD270" s="531"/>
      <c r="CE270" s="531"/>
      <c r="CF270" s="531"/>
      <c r="CG270" s="531"/>
      <c r="CH270" s="531"/>
      <c r="CI270" s="531"/>
      <c r="CJ270" s="531"/>
      <c r="CK270" s="531"/>
      <c r="CL270" s="531"/>
      <c r="CM270" s="531"/>
      <c r="CN270" s="531"/>
      <c r="CO270" s="531"/>
      <c r="CP270" s="531"/>
      <c r="CQ270" s="531"/>
      <c r="CR270" s="531"/>
      <c r="CS270" s="531"/>
      <c r="CT270" s="531"/>
      <c r="CU270" s="347"/>
      <c r="CV270" s="1363"/>
      <c r="CW270" s="347"/>
      <c r="CX270" s="347"/>
      <c r="CY270" s="347"/>
      <c r="CZ270" s="347"/>
      <c r="DA270" s="347"/>
      <c r="DC270" s="1310"/>
      <c r="DD270" s="760"/>
      <c r="DE270" s="760"/>
      <c r="DF270" s="760"/>
      <c r="DG270" s="760"/>
      <c r="DH270" s="760"/>
      <c r="DI270" s="760"/>
      <c r="DJ270" s="760"/>
      <c r="DK270" s="760"/>
      <c r="DL270" s="760"/>
      <c r="DM270" s="759"/>
      <c r="EM270" s="399"/>
    </row>
    <row r="271" spans="1:146">
      <c r="B271" s="414" t="s">
        <v>99</v>
      </c>
      <c r="C271" s="839">
        <f>C266+C268</f>
        <v>252</v>
      </c>
      <c r="D271" s="839">
        <f>D266+D268</f>
        <v>321</v>
      </c>
      <c r="E271" s="839">
        <f t="shared" ref="E271:BQ271" si="1263">E266+E268</f>
        <v>329</v>
      </c>
      <c r="F271" s="839">
        <f t="shared" si="1263"/>
        <v>78</v>
      </c>
      <c r="G271" s="839">
        <f t="shared" si="1263"/>
        <v>-742</v>
      </c>
      <c r="H271" s="839">
        <f t="shared" si="1263"/>
        <v>-14</v>
      </c>
      <c r="I271" s="839">
        <f t="shared" si="1263"/>
        <v>-305</v>
      </c>
      <c r="J271" s="839">
        <f t="shared" si="1263"/>
        <v>1011</v>
      </c>
      <c r="K271" s="839">
        <f t="shared" si="1263"/>
        <v>496</v>
      </c>
      <c r="L271" s="839">
        <f t="shared" si="1263"/>
        <v>507.50000000000011</v>
      </c>
      <c r="M271" s="839">
        <f t="shared" si="1263"/>
        <v>1709.5000000000002</v>
      </c>
      <c r="N271" s="839">
        <f t="shared" si="1263"/>
        <v>599</v>
      </c>
      <c r="O271" s="839">
        <f t="shared" si="1263"/>
        <v>722</v>
      </c>
      <c r="P271" s="839">
        <f t="shared" si="1263"/>
        <v>761</v>
      </c>
      <c r="Q271" s="839">
        <f t="shared" si="1263"/>
        <v>810</v>
      </c>
      <c r="R271" s="839">
        <f t="shared" si="1263"/>
        <v>2892</v>
      </c>
      <c r="S271" s="839">
        <f t="shared" si="1263"/>
        <v>756</v>
      </c>
      <c r="T271" s="839">
        <f t="shared" si="1263"/>
        <v>767</v>
      </c>
      <c r="U271" s="839">
        <f t="shared" si="1263"/>
        <v>661</v>
      </c>
      <c r="V271" s="839">
        <f t="shared" si="1263"/>
        <v>761</v>
      </c>
      <c r="W271" s="839">
        <f t="shared" si="1263"/>
        <v>2830</v>
      </c>
      <c r="X271" s="839">
        <f t="shared" si="1263"/>
        <v>667</v>
      </c>
      <c r="Y271" s="839">
        <f t="shared" si="1263"/>
        <v>794</v>
      </c>
      <c r="Z271" s="839">
        <f t="shared" si="1263"/>
        <v>736</v>
      </c>
      <c r="AA271" s="839">
        <f t="shared" si="1263"/>
        <v>520</v>
      </c>
      <c r="AB271" s="839">
        <f t="shared" si="1263"/>
        <v>2717</v>
      </c>
      <c r="AC271" s="839">
        <f t="shared" si="1263"/>
        <v>316</v>
      </c>
      <c r="AD271" s="839">
        <f t="shared" si="1263"/>
        <v>354</v>
      </c>
      <c r="AE271" s="839">
        <f t="shared" si="1263"/>
        <v>246</v>
      </c>
      <c r="AF271" s="839">
        <f t="shared" si="1263"/>
        <v>116</v>
      </c>
      <c r="AG271" s="839">
        <f t="shared" si="1263"/>
        <v>1032</v>
      </c>
      <c r="AH271" s="839">
        <f t="shared" si="1263"/>
        <v>380</v>
      </c>
      <c r="AI271" s="839">
        <f t="shared" si="1263"/>
        <v>-863</v>
      </c>
      <c r="AJ271" s="839">
        <f t="shared" si="1263"/>
        <v>-419</v>
      </c>
      <c r="AK271" s="839">
        <f t="shared" si="1263"/>
        <v>11</v>
      </c>
      <c r="AL271" s="839">
        <f t="shared" si="1263"/>
        <v>-891</v>
      </c>
      <c r="AM271" s="839">
        <f t="shared" si="1263"/>
        <v>-718</v>
      </c>
      <c r="AN271" s="839">
        <f t="shared" si="1263"/>
        <v>-132</v>
      </c>
      <c r="AO271" s="839">
        <f t="shared" si="1263"/>
        <v>343</v>
      </c>
      <c r="AP271" s="839">
        <f t="shared" si="1263"/>
        <v>482</v>
      </c>
      <c r="AQ271" s="839">
        <f t="shared" si="1263"/>
        <v>-25</v>
      </c>
      <c r="AR271" s="839">
        <f t="shared" si="1263"/>
        <v>171</v>
      </c>
      <c r="AS271" s="839">
        <f t="shared" si="1263"/>
        <v>53</v>
      </c>
      <c r="AT271" s="839">
        <f t="shared" si="1263"/>
        <v>-65</v>
      </c>
      <c r="AU271" s="840">
        <f t="shared" ref="AU271:BG271" si="1264">AU266+AU268</f>
        <v>215</v>
      </c>
      <c r="AV271" s="839">
        <f t="shared" si="1264"/>
        <v>374</v>
      </c>
      <c r="AW271" s="840">
        <f t="shared" si="1264"/>
        <v>46</v>
      </c>
      <c r="AX271" s="840">
        <f t="shared" si="1264"/>
        <v>97</v>
      </c>
      <c r="AY271" s="840">
        <f t="shared" si="1264"/>
        <v>95</v>
      </c>
      <c r="AZ271" s="840">
        <f t="shared" si="1264"/>
        <v>123</v>
      </c>
      <c r="BA271" s="839">
        <f t="shared" si="1264"/>
        <v>361</v>
      </c>
      <c r="BB271" s="840">
        <f t="shared" si="1264"/>
        <v>16</v>
      </c>
      <c r="BC271" s="840">
        <f t="shared" ref="BC271:BD271" si="1265">BC266+BC268</f>
        <v>-96</v>
      </c>
      <c r="BD271" s="840">
        <f t="shared" si="1265"/>
        <v>-62</v>
      </c>
      <c r="BE271" s="840">
        <f t="shared" si="1264"/>
        <v>-3152</v>
      </c>
      <c r="BF271" s="839">
        <f t="shared" si="1263"/>
        <v>-3294</v>
      </c>
      <c r="BG271" s="840">
        <f t="shared" si="1264"/>
        <v>78.575000000000003</v>
      </c>
      <c r="BH271" s="840">
        <f t="shared" ref="BH271:BI271" si="1266">BH266+BH268</f>
        <v>203.42500000000001</v>
      </c>
      <c r="BI271" s="840">
        <f t="shared" si="1266"/>
        <v>215.99999999999989</v>
      </c>
      <c r="BJ271" s="840">
        <f t="shared" ref="BJ271" si="1267">BJ266+BJ268</f>
        <v>213</v>
      </c>
      <c r="BK271" s="839">
        <f t="shared" si="1263"/>
        <v>711</v>
      </c>
      <c r="BL271" s="840">
        <f t="shared" si="1263"/>
        <v>1520.0000000000002</v>
      </c>
      <c r="BM271" s="840">
        <f t="shared" ref="BM271" si="1268">BM266+BM268</f>
        <v>224.00000000000006</v>
      </c>
      <c r="BN271" s="840">
        <f t="shared" ref="BN271:BP271" si="1269">BN266+BN268</f>
        <v>331</v>
      </c>
      <c r="BO271" s="840">
        <f t="shared" si="1269"/>
        <v>-1703</v>
      </c>
      <c r="BP271" s="839">
        <f t="shared" si="1269"/>
        <v>-1654.7730000000001</v>
      </c>
      <c r="BQ271" s="840">
        <f t="shared" si="1263"/>
        <v>321</v>
      </c>
      <c r="BR271" s="840">
        <f t="shared" ref="BR271:BS271" si="1270">BR266+BR268</f>
        <v>395.00000000000011</v>
      </c>
      <c r="BS271" s="840">
        <f t="shared" si="1270"/>
        <v>299.99999999999994</v>
      </c>
      <c r="BT271" s="840">
        <f t="shared" ref="BT271:BU271" si="1271">BT266+BT268</f>
        <v>271.80700000000013</v>
      </c>
      <c r="BU271" s="839">
        <f t="shared" si="1271"/>
        <v>1287.8070000000002</v>
      </c>
      <c r="BV271" s="840">
        <f t="shared" ref="BV271:BW271" si="1272">BV266+BV268</f>
        <v>139.09200000000007</v>
      </c>
      <c r="BW271" s="840">
        <f t="shared" si="1272"/>
        <v>477.91999999999996</v>
      </c>
      <c r="BX271" s="840">
        <f t="shared" ref="BX271" si="1273">BX266+BX268</f>
        <v>371.76000000000016</v>
      </c>
      <c r="BY271" s="840">
        <f t="shared" ref="BY271:CA271" si="1274">BY266+BY268</f>
        <v>132.41599999999994</v>
      </c>
      <c r="BZ271" s="839">
        <f t="shared" si="1274"/>
        <v>1121.1880000000001</v>
      </c>
      <c r="CA271" s="840">
        <f t="shared" si="1274"/>
        <v>204.17500000000007</v>
      </c>
      <c r="CB271" s="840">
        <f t="shared" ref="CB271:CC271" si="1275">CB266+CB268</f>
        <v>453.34899999999999</v>
      </c>
      <c r="CC271" s="840">
        <f t="shared" si="1275"/>
        <v>361.05899999999986</v>
      </c>
      <c r="CD271" s="840">
        <f t="shared" ref="CD271:CE271" si="1276">CD266+CD268</f>
        <v>265.86500000000007</v>
      </c>
      <c r="CE271" s="839">
        <f t="shared" si="1276"/>
        <v>1284.4479999999999</v>
      </c>
      <c r="CF271" s="840">
        <f t="shared" ref="CF271:CG271" si="1277">CF266+CF268</f>
        <v>547.42999999999995</v>
      </c>
      <c r="CG271" s="840">
        <f t="shared" si="1277"/>
        <v>489.73500000000001</v>
      </c>
      <c r="CH271" s="840">
        <f t="shared" ref="CH271:CK271" si="1278">CH266+CH268</f>
        <v>297.76700000000005</v>
      </c>
      <c r="CI271" s="840">
        <f t="shared" si="1278"/>
        <v>512.69899999999996</v>
      </c>
      <c r="CJ271" s="839">
        <f t="shared" si="1278"/>
        <v>1847.6309999999999</v>
      </c>
      <c r="CK271" s="840">
        <f t="shared" si="1278"/>
        <v>388.23200000000003</v>
      </c>
      <c r="CL271" s="840">
        <f t="shared" ref="CL271" si="1279">CL266+CL268</f>
        <v>-1607</v>
      </c>
      <c r="CM271" s="840">
        <f t="shared" ref="CM271" si="1280">CM266+CM268</f>
        <v>-1376.8369999999995</v>
      </c>
      <c r="CN271" s="840"/>
      <c r="CO271" s="839">
        <f t="shared" ref="CO271:CR271" si="1281">CO266+CO268</f>
        <v>-2284.2333262787533</v>
      </c>
      <c r="CP271" s="839">
        <f t="shared" si="1281"/>
        <v>736.32068869677698</v>
      </c>
      <c r="CQ271" s="839">
        <f t="shared" si="1281"/>
        <v>2202.5305303360401</v>
      </c>
      <c r="CR271" s="839">
        <f t="shared" si="1281"/>
        <v>4360.0040675784803</v>
      </c>
      <c r="CS271" s="839">
        <f t="shared" ref="CS271:CT271" si="1282">CS266+CS268</f>
        <v>5570.065627360118</v>
      </c>
      <c r="CT271" s="839">
        <f t="shared" si="1282"/>
        <v>6701.2555973886965</v>
      </c>
      <c r="CU271" s="347"/>
      <c r="CV271" s="1363"/>
      <c r="CW271" s="347"/>
      <c r="CX271" s="347"/>
      <c r="CY271" s="347"/>
      <c r="CZ271" s="347"/>
      <c r="DA271" s="347"/>
      <c r="DC271" s="1310"/>
      <c r="DD271" s="761"/>
      <c r="DE271" s="761"/>
      <c r="DF271" s="761"/>
      <c r="DG271" s="761"/>
      <c r="DH271" s="761"/>
      <c r="DI271" s="761"/>
      <c r="DJ271" s="761"/>
      <c r="DK271" s="761"/>
      <c r="DL271" s="761"/>
      <c r="DM271" s="759"/>
      <c r="EA271" s="399"/>
      <c r="EB271" s="399"/>
      <c r="EN271" s="399"/>
      <c r="EO271" s="399"/>
      <c r="EP271" s="399"/>
    </row>
    <row r="272" spans="1:146">
      <c r="B272" s="407" t="s">
        <v>561</v>
      </c>
      <c r="C272" s="351"/>
      <c r="D272" s="351"/>
      <c r="E272" s="351"/>
      <c r="F272" s="351"/>
      <c r="G272" s="351"/>
      <c r="H272" s="351"/>
      <c r="I272" s="351"/>
      <c r="J272" s="351"/>
      <c r="K272" s="351"/>
      <c r="L272" s="351"/>
      <c r="M272" s="351"/>
      <c r="N272" s="351"/>
      <c r="O272" s="351"/>
      <c r="P272" s="351"/>
      <c r="Q272" s="351"/>
      <c r="R272" s="426">
        <f>R271/M271-1</f>
        <v>0.69172272594325812</v>
      </c>
      <c r="S272" s="426">
        <f t="shared" ref="S272" si="1283">S271/N271-1</f>
        <v>0.26210350584307185</v>
      </c>
      <c r="T272" s="426">
        <f t="shared" ref="T272" si="1284">T271/O271-1</f>
        <v>6.2326869806094143E-2</v>
      </c>
      <c r="U272" s="426">
        <f t="shared" ref="U272" si="1285">U271/P271-1</f>
        <v>-0.13140604467805517</v>
      </c>
      <c r="V272" s="426">
        <f t="shared" ref="V272" si="1286">V271/Q271-1</f>
        <v>-6.0493827160493785E-2</v>
      </c>
      <c r="W272" s="426">
        <f t="shared" ref="W272" si="1287">W271/R271-1</f>
        <v>-2.1438450899031847E-2</v>
      </c>
      <c r="X272" s="426">
        <f t="shared" ref="X272" si="1288">X271/S271-1</f>
        <v>-0.11772486772486768</v>
      </c>
      <c r="Y272" s="426">
        <f t="shared" ref="Y272" si="1289">Y271/T271-1</f>
        <v>3.5202086049543668E-2</v>
      </c>
      <c r="Z272" s="426">
        <f t="shared" ref="Z272" si="1290">Z271/U271-1</f>
        <v>0.11346444780635401</v>
      </c>
      <c r="AA272" s="426">
        <f t="shared" ref="AA272" si="1291">AA271/V271-1</f>
        <v>-0.31668856767411302</v>
      </c>
      <c r="AB272" s="426">
        <f t="shared" ref="AB272" si="1292">AB271/W271-1</f>
        <v>-3.9929328621908122E-2</v>
      </c>
      <c r="AC272" s="426">
        <f t="shared" ref="AC272" si="1293">AC271/X271-1</f>
        <v>-0.52623688155922044</v>
      </c>
      <c r="AD272" s="426">
        <f t="shared" ref="AD272" si="1294">AD271/Y271-1</f>
        <v>-0.55415617128463479</v>
      </c>
      <c r="AE272" s="426">
        <f t="shared" ref="AE272" si="1295">AE271/Z271-1</f>
        <v>-0.66576086956521741</v>
      </c>
      <c r="AF272" s="426">
        <f t="shared" ref="AF272" si="1296">AF271/AA271-1</f>
        <v>-0.77692307692307694</v>
      </c>
      <c r="AG272" s="426">
        <f t="shared" ref="AG272" si="1297">AG271/AB271-1</f>
        <v>-0.62016930437983064</v>
      </c>
      <c r="AH272" s="426">
        <f t="shared" ref="AH272" si="1298">AH271/AC271-1</f>
        <v>0.20253164556962022</v>
      </c>
      <c r="AI272" s="426">
        <f t="shared" ref="AI272" si="1299">AI271/AD271-1</f>
        <v>-3.4378531073446328</v>
      </c>
      <c r="AJ272" s="426">
        <f t="shared" ref="AJ272" si="1300">AJ271/AE271-1</f>
        <v>-2.7032520325203251</v>
      </c>
      <c r="AK272" s="426">
        <f t="shared" ref="AK272" si="1301">AK271/AF271-1</f>
        <v>-0.90517241379310343</v>
      </c>
      <c r="AL272" s="426">
        <f t="shared" ref="AL272" si="1302">AL271/AG271-1</f>
        <v>-1.8633720930232558</v>
      </c>
      <c r="AM272" s="426">
        <f t="shared" ref="AM272" si="1303">AM271/AH271-1</f>
        <v>-2.8894736842105262</v>
      </c>
      <c r="AN272" s="426">
        <f t="shared" ref="AN272" si="1304">AN271/AI271-1</f>
        <v>-0.84704519119351107</v>
      </c>
      <c r="AO272" s="426">
        <f t="shared" ref="AO272" si="1305">AO271/AJ271-1</f>
        <v>-1.8186157517899761</v>
      </c>
      <c r="AP272" s="426">
        <f t="shared" ref="AP272" si="1306">AP271/AK271-1</f>
        <v>42.81818181818182</v>
      </c>
      <c r="AQ272" s="426">
        <f t="shared" ref="AQ272" si="1307">AQ271/AL271-1</f>
        <v>-0.97194163860830529</v>
      </c>
      <c r="AR272" s="426">
        <f t="shared" ref="AR272" si="1308">AR271/AM271-1</f>
        <v>-1.2381615598885793</v>
      </c>
      <c r="AS272" s="426">
        <f t="shared" ref="AS272" si="1309">AS271/AN271-1</f>
        <v>-1.4015151515151514</v>
      </c>
      <c r="AT272" s="426">
        <f t="shared" ref="AT272" si="1310">AT271/AO271-1</f>
        <v>-1.1895043731778425</v>
      </c>
      <c r="AU272" s="426">
        <f t="shared" ref="AU272" si="1311">AU271/AP271-1</f>
        <v>-0.55394190871369298</v>
      </c>
      <c r="AV272" s="426">
        <f t="shared" ref="AV272" si="1312">AV271/AQ271-1</f>
        <v>-15.96</v>
      </c>
      <c r="AW272" s="426">
        <f t="shared" ref="AW272" si="1313">AW271/AR271-1</f>
        <v>-0.73099415204678364</v>
      </c>
      <c r="AX272" s="426">
        <f t="shared" ref="AX272" si="1314">AX271/AS271-1</f>
        <v>0.83018867924528306</v>
      </c>
      <c r="AY272" s="426">
        <f t="shared" ref="AY272" si="1315">AY271/AT271-1</f>
        <v>-2.4615384615384617</v>
      </c>
      <c r="AZ272" s="426">
        <f t="shared" ref="AZ272" si="1316">AZ271/AU271-1</f>
        <v>-0.4279069767441861</v>
      </c>
      <c r="BA272" s="426">
        <f t="shared" ref="BA272" si="1317">BA271/AV271-1</f>
        <v>-3.4759358288770081E-2</v>
      </c>
      <c r="BB272" s="426">
        <f t="shared" ref="BB272" si="1318">BB271/AW271-1</f>
        <v>-0.65217391304347827</v>
      </c>
      <c r="BC272" s="426">
        <f t="shared" ref="BC272" si="1319">BC271/AX271-1</f>
        <v>-1.9896907216494846</v>
      </c>
      <c r="BD272" s="426">
        <f t="shared" ref="BD272" si="1320">BD271/AY271-1</f>
        <v>-1.6526315789473685</v>
      </c>
      <c r="BE272" s="426">
        <f t="shared" ref="BE272" si="1321">BE271/AZ271-1</f>
        <v>-26.626016260162601</v>
      </c>
      <c r="BF272" s="426">
        <f t="shared" ref="BF272" si="1322">BF271/BA271-1</f>
        <v>-10.124653739612189</v>
      </c>
      <c r="BG272" s="426">
        <f t="shared" ref="BG272" si="1323">BG271/BB271-1</f>
        <v>3.9109375000000002</v>
      </c>
      <c r="BH272" s="426">
        <f t="shared" ref="BH272" si="1324">BH271/BC271-1</f>
        <v>-3.1190104166666668</v>
      </c>
      <c r="BI272" s="426">
        <f t="shared" ref="BI272" si="1325">BI271/BD271-1</f>
        <v>-4.4838709677419342</v>
      </c>
      <c r="BJ272" s="426">
        <f t="shared" ref="BJ272" si="1326">BJ271/BE271-1</f>
        <v>-1.0675761421319796</v>
      </c>
      <c r="BK272" s="426">
        <f t="shared" ref="BK272" si="1327">BK271/BF271-1</f>
        <v>-1.215846994535519</v>
      </c>
      <c r="BL272" s="426">
        <f t="shared" ref="BL272" si="1328">BL271/BG271-1</f>
        <v>18.344575246579701</v>
      </c>
      <c r="BM272" s="426">
        <f t="shared" ref="BM272:BV272" si="1329">BM271/BH271-1</f>
        <v>0.10114292736880937</v>
      </c>
      <c r="BN272" s="426">
        <f t="shared" si="1329"/>
        <v>0.53240740740740811</v>
      </c>
      <c r="BO272" s="426">
        <f t="shared" si="1329"/>
        <v>-8.9953051643192481</v>
      </c>
      <c r="BP272" s="426">
        <f t="shared" si="1329"/>
        <v>-3.3273881856540086</v>
      </c>
      <c r="BQ272" s="426">
        <f t="shared" si="1329"/>
        <v>-0.78881578947368425</v>
      </c>
      <c r="BR272" s="426">
        <f t="shared" si="1329"/>
        <v>0.76339285714285721</v>
      </c>
      <c r="BS272" s="426">
        <f t="shared" si="1329"/>
        <v>-9.3655589123867289E-2</v>
      </c>
      <c r="BT272" s="426">
        <f t="shared" si="1329"/>
        <v>-1.159604815032296</v>
      </c>
      <c r="BU272" s="426">
        <f t="shared" si="1329"/>
        <v>-1.7782378610238383</v>
      </c>
      <c r="BV272" s="426">
        <f t="shared" si="1329"/>
        <v>-0.56669158878504655</v>
      </c>
      <c r="BW272" s="426">
        <f t="shared" ref="BW272:CM272" si="1330">BW271/BR271-1</f>
        <v>0.20992405063291097</v>
      </c>
      <c r="BX272" s="426">
        <f t="shared" si="1330"/>
        <v>0.23920000000000075</v>
      </c>
      <c r="BY272" s="426">
        <f t="shared" si="1330"/>
        <v>-0.51283079538054621</v>
      </c>
      <c r="BZ272" s="426">
        <f t="shared" si="1330"/>
        <v>-0.12938196484411102</v>
      </c>
      <c r="CA272" s="426">
        <f t="shared" si="1330"/>
        <v>0.46791332355563209</v>
      </c>
      <c r="CB272" s="426">
        <f t="shared" si="1330"/>
        <v>-5.1412370271175067E-2</v>
      </c>
      <c r="CC272" s="426">
        <f t="shared" si="1330"/>
        <v>-2.8784699806327474E-2</v>
      </c>
      <c r="CD272" s="426">
        <f t="shared" si="1330"/>
        <v>1.0078011720638003</v>
      </c>
      <c r="CE272" s="426">
        <f t="shared" si="1330"/>
        <v>0.14561340292618175</v>
      </c>
      <c r="CF272" s="426">
        <f t="shared" si="1330"/>
        <v>1.6811803599853055</v>
      </c>
      <c r="CG272" s="426">
        <f t="shared" si="1330"/>
        <v>8.0260461586989296E-2</v>
      </c>
      <c r="CH272" s="426">
        <f t="shared" si="1330"/>
        <v>-0.17529545032806226</v>
      </c>
      <c r="CI272" s="426">
        <f t="shared" si="1330"/>
        <v>0.92841855829086128</v>
      </c>
      <c r="CJ272" s="426">
        <f t="shared" si="1330"/>
        <v>0.43846305961782805</v>
      </c>
      <c r="CK272" s="426">
        <f t="shared" si="1330"/>
        <v>-0.29080978389931122</v>
      </c>
      <c r="CL272" s="426">
        <f t="shared" si="1330"/>
        <v>-4.2813664532859601</v>
      </c>
      <c r="CM272" s="426">
        <f t="shared" si="1330"/>
        <v>-5.6238736999063006</v>
      </c>
      <c r="CN272" s="426"/>
      <c r="CO272" s="426">
        <f t="shared" ref="CO272" si="1331">CO271/CJ271-1</f>
        <v>-2.2363038541130527</v>
      </c>
      <c r="CP272" s="426">
        <f t="shared" ref="CP272" si="1332">CP271/CO271-1</f>
        <v>-1.3223491576914859</v>
      </c>
      <c r="CQ272" s="426">
        <f t="shared" ref="CQ272" si="1333">CQ271/CP271-1</f>
        <v>1.9912653062001096</v>
      </c>
      <c r="CR272" s="426">
        <f t="shared" ref="CR272" si="1334">CR271/CQ271-1</f>
        <v>0.9795430789843691</v>
      </c>
      <c r="CS272" s="426">
        <f t="shared" ref="CS272" si="1335">CS271/CR271-1</f>
        <v>0.27753679607315096</v>
      </c>
      <c r="CT272" s="426">
        <f t="shared" ref="CT272" si="1336">CT271/CS271-1</f>
        <v>0.203083777769544</v>
      </c>
      <c r="CU272" s="347"/>
      <c r="CV272" s="1363"/>
      <c r="CW272" s="347"/>
      <c r="CX272" s="347"/>
      <c r="CY272" s="347"/>
      <c r="CZ272" s="347"/>
      <c r="DA272" s="347"/>
      <c r="DC272" s="1310"/>
      <c r="DD272" s="761"/>
      <c r="DE272" s="761"/>
      <c r="DF272" s="761"/>
      <c r="DG272" s="761"/>
      <c r="DH272" s="761"/>
      <c r="DI272" s="761"/>
      <c r="DJ272" s="761"/>
      <c r="DK272" s="761"/>
      <c r="DL272" s="761"/>
      <c r="DM272" s="759"/>
      <c r="EA272" s="399"/>
      <c r="EB272" s="399"/>
      <c r="EN272" s="399"/>
      <c r="EO272" s="399"/>
      <c r="EP272" s="399"/>
    </row>
    <row r="273" spans="1:146">
      <c r="B273" s="453" t="s">
        <v>797</v>
      </c>
      <c r="C273" s="450"/>
      <c r="D273" s="450"/>
      <c r="E273" s="450"/>
      <c r="F273" s="450"/>
      <c r="G273" s="450"/>
      <c r="H273" s="450"/>
      <c r="I273" s="367"/>
      <c r="J273" s="367"/>
      <c r="K273" s="367"/>
      <c r="L273" s="367"/>
      <c r="M273" s="367">
        <f t="shared" ref="M273:BX273" si="1337">M271/M$236</f>
        <v>0.12471729773108632</v>
      </c>
      <c r="N273" s="367">
        <f t="shared" si="1337"/>
        <v>0.14588407208962495</v>
      </c>
      <c r="O273" s="367">
        <f t="shared" si="1337"/>
        <v>0.16944379253696315</v>
      </c>
      <c r="P273" s="367">
        <f t="shared" si="1337"/>
        <v>0.17131922557406573</v>
      </c>
      <c r="Q273" s="367">
        <f t="shared" si="1337"/>
        <v>0.17415609546334121</v>
      </c>
      <c r="R273" s="367">
        <f t="shared" si="1337"/>
        <v>0.16563573883161511</v>
      </c>
      <c r="S273" s="367">
        <f t="shared" si="1337"/>
        <v>0.16867469879518071</v>
      </c>
      <c r="T273" s="367">
        <f t="shared" si="1337"/>
        <v>0.16846035580935648</v>
      </c>
      <c r="U273" s="367">
        <f t="shared" si="1337"/>
        <v>0.13828451882845189</v>
      </c>
      <c r="V273" s="367">
        <f t="shared" si="1337"/>
        <v>0.15339649264261238</v>
      </c>
      <c r="W273" s="367">
        <f t="shared" si="1337"/>
        <v>0.15496659730588105</v>
      </c>
      <c r="X273" s="367">
        <f t="shared" si="1337"/>
        <v>0.13631718781933375</v>
      </c>
      <c r="Y273" s="367">
        <f t="shared" si="1337"/>
        <v>0.15184547714668198</v>
      </c>
      <c r="Z273" s="367">
        <f t="shared" si="1337"/>
        <v>0.1320416218155723</v>
      </c>
      <c r="AA273" s="367">
        <f t="shared" si="1337"/>
        <v>9.8615588848852645E-2</v>
      </c>
      <c r="AB273" s="367">
        <f t="shared" si="1337"/>
        <v>0.12957222566646001</v>
      </c>
      <c r="AC273" s="367">
        <f t="shared" si="1337"/>
        <v>5.4880166724557138E-2</v>
      </c>
      <c r="AD273" s="367">
        <f t="shared" si="1337"/>
        <v>5.8464079273327828E-2</v>
      </c>
      <c r="AE273" s="367">
        <f t="shared" si="1337"/>
        <v>3.8509705698184092E-2</v>
      </c>
      <c r="AF273" s="367">
        <f t="shared" si="1337"/>
        <v>1.8173272755757482E-2</v>
      </c>
      <c r="AG273" s="367">
        <f t="shared" si="1337"/>
        <v>4.8528167027179533E-2</v>
      </c>
      <c r="AH273" s="367">
        <f t="shared" si="1337"/>
        <v>6.9003086980207004E-2</v>
      </c>
      <c r="AI273" s="367">
        <f t="shared" si="1337"/>
        <v>-0.14285714285714285</v>
      </c>
      <c r="AJ273" s="367">
        <f t="shared" si="1337"/>
        <v>-6.976356976356976E-2</v>
      </c>
      <c r="AK273" s="367">
        <f t="shared" si="1337"/>
        <v>1.8625126989502202E-3</v>
      </c>
      <c r="AL273" s="367">
        <f t="shared" si="1337"/>
        <v>-3.7979539641943734E-2</v>
      </c>
      <c r="AM273" s="367">
        <f t="shared" si="1337"/>
        <v>-0.13099799306695858</v>
      </c>
      <c r="AN273" s="367">
        <f t="shared" si="1337"/>
        <v>-2.3525218321154874E-2</v>
      </c>
      <c r="AO273" s="367">
        <f t="shared" si="1337"/>
        <v>5.8833619210977704E-2</v>
      </c>
      <c r="AP273" s="367">
        <f t="shared" si="1337"/>
        <v>8.0696467436798924E-2</v>
      </c>
      <c r="AQ273" s="367">
        <f t="shared" si="1337"/>
        <v>-1.0919414719371041E-3</v>
      </c>
      <c r="AR273" s="367">
        <f t="shared" si="1337"/>
        <v>3.0448717948717948E-2</v>
      </c>
      <c r="AS273" s="367">
        <f t="shared" si="1337"/>
        <v>1.0118365788468881E-2</v>
      </c>
      <c r="AT273" s="367">
        <f t="shared" si="1337"/>
        <v>-1.24282982791587E-2</v>
      </c>
      <c r="AU273" s="367">
        <f t="shared" si="1337"/>
        <v>4.0897850485067527E-2</v>
      </c>
      <c r="AV273" s="367">
        <f t="shared" si="1337"/>
        <v>1.7524951970385644E-2</v>
      </c>
      <c r="AW273" s="367">
        <f t="shared" si="1337"/>
        <v>8.7352829472085083E-3</v>
      </c>
      <c r="AX273" s="367">
        <f t="shared" si="1337"/>
        <v>1.7116640197635435E-2</v>
      </c>
      <c r="AY273" s="367">
        <f t="shared" si="1337"/>
        <v>1.5912897822445562E-2</v>
      </c>
      <c r="AZ273" s="367">
        <f t="shared" si="1337"/>
        <v>2.0506835611870625E-2</v>
      </c>
      <c r="BA273" s="367">
        <f t="shared" si="1337"/>
        <v>1.5763503777127635E-2</v>
      </c>
      <c r="BB273" s="367">
        <f t="shared" si="1337"/>
        <v>2.9083691047585465E-3</v>
      </c>
      <c r="BC273" s="367">
        <f t="shared" si="1337"/>
        <v>-1.7313903046110711E-2</v>
      </c>
      <c r="BD273" s="367">
        <f t="shared" si="1337"/>
        <v>-1.0605233853959088E-2</v>
      </c>
      <c r="BE273" s="367">
        <f t="shared" si="1337"/>
        <v>-0.52128468891608504</v>
      </c>
      <c r="BF273" s="367">
        <f t="shared" si="1337"/>
        <v>-0.14359941569772663</v>
      </c>
      <c r="BG273" s="367">
        <f t="shared" si="1337"/>
        <v>1.3167764441220909E-2</v>
      </c>
      <c r="BH273" s="367">
        <f t="shared" si="1337"/>
        <v>3.2343048569822751E-2</v>
      </c>
      <c r="BI273" s="367">
        <f t="shared" si="1337"/>
        <v>3.3417428705230873E-2</v>
      </c>
      <c r="BJ273" s="367">
        <f t="shared" si="1337"/>
        <v>3.3217254882390641E-2</v>
      </c>
      <c r="BK273" s="367">
        <f t="shared" si="1337"/>
        <v>2.8289666449315024E-2</v>
      </c>
      <c r="BL273" s="367">
        <f t="shared" si="1337"/>
        <v>0.23394869535893506</v>
      </c>
      <c r="BM273" s="367">
        <f t="shared" si="1337"/>
        <v>3.4016658139723127E-2</v>
      </c>
      <c r="BN273" s="367">
        <f t="shared" si="1337"/>
        <v>5.0349932027591762E-2</v>
      </c>
      <c r="BO273" s="367">
        <f t="shared" si="1337"/>
        <v>-0.26806469567495</v>
      </c>
      <c r="BP273" s="367">
        <f t="shared" si="1337"/>
        <v>-6.3622859618914077E-2</v>
      </c>
      <c r="BQ273" s="367">
        <f t="shared" si="1337"/>
        <v>5.1381678957985955E-2</v>
      </c>
      <c r="BR273" s="367">
        <f t="shared" si="1337"/>
        <v>5.8720028256969564E-2</v>
      </c>
      <c r="BS273" s="367">
        <f t="shared" si="1337"/>
        <v>4.3949643084948503E-2</v>
      </c>
      <c r="BT273" s="367">
        <f t="shared" si="1337"/>
        <v>3.9087228857308989E-2</v>
      </c>
      <c r="BU273" s="367">
        <f t="shared" si="1337"/>
        <v>4.8135030023491773E-2</v>
      </c>
      <c r="BV273" s="367">
        <f t="shared" si="1337"/>
        <v>2.063049285092285E-2</v>
      </c>
      <c r="BW273" s="367">
        <f t="shared" si="1337"/>
        <v>6.5176173548199781E-2</v>
      </c>
      <c r="BX273" s="367">
        <f t="shared" si="1337"/>
        <v>4.9432226152168704E-2</v>
      </c>
      <c r="BY273" s="367">
        <f t="shared" ref="BY273:CT273" si="1338">BY271/BY$236</f>
        <v>1.7546458707067052E-2</v>
      </c>
      <c r="BZ273" s="367">
        <f t="shared" si="1338"/>
        <v>3.8473276742833726E-2</v>
      </c>
      <c r="CA273" s="367">
        <f t="shared" si="1338"/>
        <v>2.7052634814670747E-2</v>
      </c>
      <c r="CB273" s="367">
        <f t="shared" si="1338"/>
        <v>5.5170719282461429E-2</v>
      </c>
      <c r="CC273" s="367">
        <f t="shared" si="1338"/>
        <v>4.4557158788968945E-2</v>
      </c>
      <c r="CD273" s="367">
        <f t="shared" si="1338"/>
        <v>3.1445276301274291E-2</v>
      </c>
      <c r="CE273" s="367">
        <f t="shared" si="1338"/>
        <v>3.9738324681351155E-2</v>
      </c>
      <c r="CF273" s="367">
        <f t="shared" si="1338"/>
        <v>6.4874556856043611E-2</v>
      </c>
      <c r="CG273" s="367">
        <f t="shared" ref="CG273:CH273" si="1339">CG271/CG$236</f>
        <v>5.6857919462339215E-2</v>
      </c>
      <c r="CH273" s="367">
        <f t="shared" si="1339"/>
        <v>3.5833172679918E-2</v>
      </c>
      <c r="CI273" s="367">
        <f t="shared" ref="CI273:CK273" si="1340">CI271/CI$236</f>
        <v>5.6776128420832073E-2</v>
      </c>
      <c r="CJ273" s="367">
        <f t="shared" si="1340"/>
        <v>5.3723326660288555E-2</v>
      </c>
      <c r="CK273" s="367">
        <f t="shared" si="1340"/>
        <v>4.513707833241893E-2</v>
      </c>
      <c r="CL273" s="367">
        <f t="shared" ref="CL273" si="1341">CL271/CL$236</f>
        <v>-0.1531392546606698</v>
      </c>
      <c r="CM273" s="367">
        <f t="shared" ref="CM273" si="1342">CM271/CM$236</f>
        <v>-0.12022079936824651</v>
      </c>
      <c r="CN273" s="367"/>
      <c r="CO273" s="367">
        <f t="shared" si="1338"/>
        <v>-5.3779432940048388E-2</v>
      </c>
      <c r="CP273" s="367">
        <f t="shared" si="1338"/>
        <v>1.5573116180236843E-2</v>
      </c>
      <c r="CQ273" s="367">
        <f t="shared" si="1338"/>
        <v>4.4637304824687266E-2</v>
      </c>
      <c r="CR273" s="367">
        <f t="shared" si="1338"/>
        <v>8.46750301157837E-2</v>
      </c>
      <c r="CS273" s="367">
        <f t="shared" si="1338"/>
        <v>0.10366809789008886</v>
      </c>
      <c r="CT273" s="367">
        <f t="shared" si="1338"/>
        <v>0.11953092610079709</v>
      </c>
      <c r="CU273" s="347"/>
      <c r="CV273" s="1363"/>
      <c r="CW273" s="347"/>
      <c r="CX273" s="347"/>
      <c r="CY273" s="347"/>
      <c r="CZ273" s="347"/>
      <c r="DA273" s="347"/>
      <c r="DC273" s="1310"/>
      <c r="DD273" s="761"/>
      <c r="DE273" s="761"/>
      <c r="DF273" s="761"/>
      <c r="DG273" s="761"/>
      <c r="DH273" s="761"/>
      <c r="DI273" s="761"/>
      <c r="DJ273" s="761"/>
      <c r="DK273" s="761"/>
      <c r="DL273" s="761"/>
      <c r="DM273" s="759"/>
      <c r="EA273" s="399"/>
      <c r="EB273" s="399"/>
      <c r="EN273" s="399"/>
      <c r="EO273" s="399"/>
      <c r="EP273" s="399"/>
    </row>
    <row r="274" spans="1:146">
      <c r="B274" s="407"/>
      <c r="C274" s="351"/>
      <c r="D274" s="351"/>
      <c r="E274" s="351"/>
      <c r="F274" s="351"/>
      <c r="G274" s="351"/>
      <c r="H274" s="351"/>
      <c r="I274" s="351"/>
      <c r="J274" s="351"/>
      <c r="K274" s="351"/>
      <c r="L274" s="351"/>
      <c r="M274" s="351"/>
      <c r="N274" s="351"/>
      <c r="O274" s="351"/>
      <c r="P274" s="351"/>
      <c r="Q274" s="351"/>
      <c r="R274" s="426"/>
      <c r="S274" s="426"/>
      <c r="T274" s="426"/>
      <c r="U274" s="426"/>
      <c r="V274" s="426"/>
      <c r="W274" s="426"/>
      <c r="X274" s="426"/>
      <c r="Y274" s="426"/>
      <c r="Z274" s="426"/>
      <c r="AA274" s="426"/>
      <c r="AB274" s="426"/>
      <c r="AC274" s="426"/>
      <c r="AD274" s="426"/>
      <c r="AE274" s="426"/>
      <c r="AF274" s="426"/>
      <c r="AG274" s="426"/>
      <c r="AH274" s="426"/>
      <c r="AI274" s="426"/>
      <c r="AJ274" s="426"/>
      <c r="AK274" s="426"/>
      <c r="AL274" s="426"/>
      <c r="AM274" s="426"/>
      <c r="AN274" s="426"/>
      <c r="AO274" s="426"/>
      <c r="AP274" s="426"/>
      <c r="AQ274" s="426"/>
      <c r="AR274" s="426"/>
      <c r="AS274" s="426"/>
      <c r="AT274" s="426"/>
      <c r="AU274" s="426"/>
      <c r="AV274" s="426"/>
      <c r="AW274" s="426"/>
      <c r="AX274" s="426"/>
      <c r="AY274" s="426"/>
      <c r="AZ274" s="426"/>
      <c r="BA274" s="426"/>
      <c r="BB274" s="426"/>
      <c r="BC274" s="426"/>
      <c r="BD274" s="426"/>
      <c r="BE274" s="426"/>
      <c r="BF274" s="426"/>
      <c r="BG274" s="426"/>
      <c r="BH274" s="426"/>
      <c r="BI274" s="426"/>
      <c r="BJ274" s="426"/>
      <c r="BK274" s="426"/>
      <c r="BL274" s="426"/>
      <c r="BM274" s="426"/>
      <c r="BN274" s="426"/>
      <c r="BO274" s="426"/>
      <c r="BP274" s="426"/>
      <c r="BQ274" s="426"/>
      <c r="BR274" s="426"/>
      <c r="BS274" s="426"/>
      <c r="BT274" s="426"/>
      <c r="BU274" s="426"/>
      <c r="BV274" s="426"/>
      <c r="BW274" s="426"/>
      <c r="BX274" s="426"/>
      <c r="BY274" s="426"/>
      <c r="BZ274" s="426"/>
      <c r="CA274" s="426"/>
      <c r="CB274" s="426"/>
      <c r="CC274" s="426"/>
      <c r="CD274" s="426"/>
      <c r="CE274" s="426"/>
      <c r="CF274" s="426"/>
      <c r="CG274" s="426"/>
      <c r="CH274" s="426"/>
      <c r="CI274" s="426"/>
      <c r="CJ274" s="426"/>
      <c r="CK274" s="426"/>
      <c r="CL274" s="426"/>
      <c r="CM274" s="426"/>
      <c r="CN274" s="426"/>
      <c r="CO274" s="426"/>
      <c r="CP274" s="426"/>
      <c r="CQ274" s="426"/>
      <c r="CR274" s="426"/>
      <c r="CS274" s="426"/>
      <c r="CT274" s="426"/>
      <c r="CU274" s="347"/>
      <c r="CV274" s="1363"/>
      <c r="CW274" s="347"/>
      <c r="CX274" s="347"/>
      <c r="CY274" s="347"/>
      <c r="CZ274" s="347"/>
      <c r="DA274" s="347"/>
      <c r="DC274" s="1310"/>
      <c r="DD274" s="761"/>
      <c r="DE274" s="761"/>
      <c r="DF274" s="761"/>
      <c r="DG274" s="761"/>
      <c r="DH274" s="761"/>
      <c r="DI274" s="761"/>
      <c r="DJ274" s="761"/>
      <c r="DK274" s="761"/>
      <c r="DL274" s="761"/>
      <c r="DM274" s="759"/>
      <c r="EA274" s="399"/>
      <c r="EB274" s="399"/>
      <c r="EN274" s="399"/>
      <c r="EO274" s="399"/>
      <c r="EP274" s="399"/>
    </row>
    <row r="275" spans="1:146">
      <c r="B275" s="407" t="s">
        <v>813</v>
      </c>
      <c r="C275" s="805">
        <f>C277-C271</f>
        <v>0</v>
      </c>
      <c r="D275" s="805">
        <f t="shared" ref="D275:BO275" si="1343">D277-D271</f>
        <v>0</v>
      </c>
      <c r="E275" s="805">
        <f t="shared" si="1343"/>
        <v>0</v>
      </c>
      <c r="F275" s="805">
        <f t="shared" si="1343"/>
        <v>0</v>
      </c>
      <c r="G275" s="805">
        <f t="shared" si="1343"/>
        <v>0</v>
      </c>
      <c r="H275" s="805">
        <f t="shared" si="1343"/>
        <v>0</v>
      </c>
      <c r="I275" s="805">
        <f t="shared" si="1343"/>
        <v>0</v>
      </c>
      <c r="J275" s="805">
        <f t="shared" si="1343"/>
        <v>0</v>
      </c>
      <c r="K275" s="805">
        <f t="shared" si="1343"/>
        <v>0</v>
      </c>
      <c r="L275" s="805">
        <f t="shared" si="1343"/>
        <v>0</v>
      </c>
      <c r="M275" s="805">
        <f t="shared" si="1343"/>
        <v>0</v>
      </c>
      <c r="N275" s="805">
        <f t="shared" si="1343"/>
        <v>0</v>
      </c>
      <c r="O275" s="805">
        <f t="shared" si="1343"/>
        <v>0</v>
      </c>
      <c r="P275" s="805">
        <f t="shared" si="1343"/>
        <v>0</v>
      </c>
      <c r="Q275" s="805">
        <f t="shared" si="1343"/>
        <v>0</v>
      </c>
      <c r="R275" s="805">
        <f t="shared" si="1343"/>
        <v>0</v>
      </c>
      <c r="S275" s="805">
        <f t="shared" si="1343"/>
        <v>0</v>
      </c>
      <c r="T275" s="805">
        <f t="shared" si="1343"/>
        <v>0</v>
      </c>
      <c r="U275" s="805">
        <f t="shared" si="1343"/>
        <v>0</v>
      </c>
      <c r="V275" s="805">
        <f t="shared" si="1343"/>
        <v>0</v>
      </c>
      <c r="W275" s="805">
        <f t="shared" si="1343"/>
        <v>0</v>
      </c>
      <c r="X275" s="805">
        <f t="shared" si="1343"/>
        <v>0</v>
      </c>
      <c r="Y275" s="805">
        <f t="shared" si="1343"/>
        <v>0</v>
      </c>
      <c r="Z275" s="805">
        <f t="shared" si="1343"/>
        <v>0</v>
      </c>
      <c r="AA275" s="805">
        <f t="shared" si="1343"/>
        <v>0</v>
      </c>
      <c r="AB275" s="805">
        <f t="shared" si="1343"/>
        <v>0</v>
      </c>
      <c r="AC275" s="805">
        <f t="shared" si="1343"/>
        <v>0</v>
      </c>
      <c r="AD275" s="805">
        <f t="shared" si="1343"/>
        <v>0</v>
      </c>
      <c r="AE275" s="805">
        <f t="shared" si="1343"/>
        <v>0</v>
      </c>
      <c r="AF275" s="805">
        <f t="shared" si="1343"/>
        <v>0</v>
      </c>
      <c r="AG275" s="805">
        <f t="shared" si="1343"/>
        <v>0</v>
      </c>
      <c r="AH275" s="805">
        <f t="shared" si="1343"/>
        <v>0</v>
      </c>
      <c r="AI275" s="805">
        <f t="shared" si="1343"/>
        <v>0</v>
      </c>
      <c r="AJ275" s="805">
        <f t="shared" si="1343"/>
        <v>0</v>
      </c>
      <c r="AK275" s="805">
        <f t="shared" si="1343"/>
        <v>0</v>
      </c>
      <c r="AL275" s="805">
        <f t="shared" si="1343"/>
        <v>0</v>
      </c>
      <c r="AM275" s="805">
        <f t="shared" si="1343"/>
        <v>684</v>
      </c>
      <c r="AN275" s="805">
        <f t="shared" si="1343"/>
        <v>250</v>
      </c>
      <c r="AO275" s="805">
        <f t="shared" si="1343"/>
        <v>2</v>
      </c>
      <c r="AP275" s="805">
        <f t="shared" si="1343"/>
        <v>-1</v>
      </c>
      <c r="AQ275" s="805">
        <f t="shared" si="1343"/>
        <v>0</v>
      </c>
      <c r="AR275" s="805">
        <f t="shared" si="1343"/>
        <v>0</v>
      </c>
      <c r="AS275" s="805">
        <f t="shared" si="1343"/>
        <v>1</v>
      </c>
      <c r="AT275" s="805">
        <f t="shared" si="1343"/>
        <v>0</v>
      </c>
      <c r="AU275" s="805">
        <f t="shared" si="1343"/>
        <v>-1</v>
      </c>
      <c r="AV275" s="805">
        <f t="shared" si="1343"/>
        <v>-583</v>
      </c>
      <c r="AW275" s="805">
        <f t="shared" si="1343"/>
        <v>0</v>
      </c>
      <c r="AX275" s="805">
        <f t="shared" si="1343"/>
        <v>0</v>
      </c>
      <c r="AY275" s="805">
        <f t="shared" si="1343"/>
        <v>0</v>
      </c>
      <c r="AZ275" s="805">
        <f t="shared" si="1343"/>
        <v>14</v>
      </c>
      <c r="BA275" s="805">
        <f t="shared" si="1343"/>
        <v>14</v>
      </c>
      <c r="BB275" s="805">
        <f t="shared" si="1343"/>
        <v>-1</v>
      </c>
      <c r="BC275" s="805">
        <f t="shared" si="1343"/>
        <v>-1</v>
      </c>
      <c r="BD275" s="805">
        <f t="shared" si="1343"/>
        <v>-2</v>
      </c>
      <c r="BE275" s="805">
        <f t="shared" si="1343"/>
        <v>0</v>
      </c>
      <c r="BF275" s="805">
        <f t="shared" si="1343"/>
        <v>-4</v>
      </c>
      <c r="BG275" s="805">
        <f t="shared" si="1343"/>
        <v>-21.575000000000003</v>
      </c>
      <c r="BH275" s="805">
        <f t="shared" si="1343"/>
        <v>21.574999999999989</v>
      </c>
      <c r="BI275" s="805">
        <f t="shared" si="1343"/>
        <v>0</v>
      </c>
      <c r="BJ275" s="805">
        <f t="shared" si="1343"/>
        <v>1</v>
      </c>
      <c r="BK275" s="805">
        <f t="shared" si="1343"/>
        <v>1</v>
      </c>
      <c r="BL275" s="805">
        <f t="shared" si="1343"/>
        <v>-1462.0000000000002</v>
      </c>
      <c r="BM275" s="805">
        <f t="shared" si="1343"/>
        <v>-100.00000000000006</v>
      </c>
      <c r="BN275" s="805">
        <f t="shared" si="1343"/>
        <v>-273</v>
      </c>
      <c r="BO275" s="805">
        <f t="shared" si="1343"/>
        <v>1827</v>
      </c>
      <c r="BP275" s="805">
        <f t="shared" ref="BP275:CB275" si="1344">BP277-BP271</f>
        <v>2018.7730000000001</v>
      </c>
      <c r="BQ275" s="805">
        <f t="shared" si="1344"/>
        <v>-91</v>
      </c>
      <c r="BR275" s="805">
        <f t="shared" si="1344"/>
        <v>-62.000000000000114</v>
      </c>
      <c r="BS275" s="805">
        <f t="shared" si="1344"/>
        <v>-27.999999999999943</v>
      </c>
      <c r="BT275" s="805">
        <f t="shared" si="1344"/>
        <v>-2.8070000000001301</v>
      </c>
      <c r="BU275" s="805">
        <f t="shared" si="1344"/>
        <v>-183.80700000000024</v>
      </c>
      <c r="BV275" s="805">
        <f t="shared" si="1344"/>
        <v>31.90799999999993</v>
      </c>
      <c r="BW275" s="805">
        <f t="shared" si="1344"/>
        <v>-31.919999999999959</v>
      </c>
      <c r="BX275" s="805">
        <f t="shared" si="1344"/>
        <v>0</v>
      </c>
      <c r="BY275" s="805">
        <f t="shared" si="1344"/>
        <v>0</v>
      </c>
      <c r="BZ275" s="805">
        <f t="shared" si="1344"/>
        <v>-1.1999999999943611E-2</v>
      </c>
      <c r="CA275" s="805">
        <f t="shared" si="1344"/>
        <v>0</v>
      </c>
      <c r="CB275" s="805">
        <f t="shared" si="1344"/>
        <v>0</v>
      </c>
      <c r="CC275" s="805">
        <f t="shared" ref="CC275:CE275" si="1345">CC277-CC271</f>
        <v>0</v>
      </c>
      <c r="CD275" s="805">
        <f t="shared" si="1345"/>
        <v>-3.8650000000000659</v>
      </c>
      <c r="CE275" s="805">
        <f t="shared" si="1345"/>
        <v>-3.8650000000000091</v>
      </c>
      <c r="CF275" s="805">
        <f t="shared" ref="CF275:CG275" si="1346">CF277-CF271</f>
        <v>0</v>
      </c>
      <c r="CG275" s="805">
        <f t="shared" si="1346"/>
        <v>0</v>
      </c>
      <c r="CH275" s="805">
        <f t="shared" ref="CH275:CK275" si="1347">CH277-CH271</f>
        <v>4.2329999999999472</v>
      </c>
      <c r="CI275" s="805">
        <f t="shared" si="1347"/>
        <v>0.30100000000004457</v>
      </c>
      <c r="CJ275" s="805">
        <f t="shared" si="1347"/>
        <v>4.5340000000001055</v>
      </c>
      <c r="CK275" s="805">
        <f t="shared" si="1347"/>
        <v>0</v>
      </c>
      <c r="CL275" s="805">
        <f t="shared" ref="CL275" si="1348">CL277-CL271</f>
        <v>1912</v>
      </c>
      <c r="CM275" s="805">
        <f t="shared" ref="CM275" si="1349">CM277-CM271</f>
        <v>2530.8369999999995</v>
      </c>
      <c r="CN275" s="805"/>
      <c r="CO275" s="1358">
        <f>CO245-CO265</f>
        <v>3500</v>
      </c>
      <c r="CP275" s="1358">
        <f t="shared" ref="CP275:CT275" si="1350">CP245-CP265</f>
        <v>1000</v>
      </c>
      <c r="CQ275" s="1358">
        <f t="shared" si="1350"/>
        <v>750</v>
      </c>
      <c r="CR275" s="1358">
        <f t="shared" si="1350"/>
        <v>0</v>
      </c>
      <c r="CS275" s="1358">
        <f t="shared" si="1350"/>
        <v>0</v>
      </c>
      <c r="CT275" s="1358">
        <f t="shared" si="1350"/>
        <v>0</v>
      </c>
      <c r="CU275" s="347"/>
      <c r="CV275" s="1363"/>
      <c r="CW275" s="347"/>
      <c r="CX275" s="347"/>
      <c r="CY275" s="347"/>
      <c r="CZ275" s="347"/>
      <c r="DA275" s="347"/>
      <c r="DC275" s="1310"/>
      <c r="DD275" s="761"/>
      <c r="DE275" s="761"/>
      <c r="DF275" s="761"/>
      <c r="DG275" s="761"/>
      <c r="DH275" s="761"/>
      <c r="DI275" s="761"/>
      <c r="DJ275" s="761"/>
      <c r="DK275" s="761"/>
      <c r="DL275" s="761"/>
      <c r="DM275" s="759"/>
      <c r="EA275" s="399"/>
      <c r="EB275" s="399"/>
      <c r="EN275" s="399"/>
      <c r="EO275" s="399"/>
      <c r="EP275" s="399"/>
    </row>
    <row r="276" spans="1:146">
      <c r="B276" s="414"/>
      <c r="C276" s="839"/>
      <c r="D276" s="839"/>
      <c r="E276" s="839"/>
      <c r="F276" s="839"/>
      <c r="G276" s="839"/>
      <c r="H276" s="839"/>
      <c r="I276" s="839"/>
      <c r="J276" s="839"/>
      <c r="K276" s="839"/>
      <c r="L276" s="839"/>
      <c r="M276" s="839"/>
      <c r="N276" s="839"/>
      <c r="O276" s="839"/>
      <c r="P276" s="839"/>
      <c r="Q276" s="839"/>
      <c r="R276" s="839"/>
      <c r="S276" s="839"/>
      <c r="T276" s="839"/>
      <c r="U276" s="839"/>
      <c r="V276" s="839"/>
      <c r="W276" s="839"/>
      <c r="X276" s="839"/>
      <c r="Y276" s="839"/>
      <c r="Z276" s="839"/>
      <c r="AA276" s="839"/>
      <c r="AB276" s="839"/>
      <c r="AC276" s="839"/>
      <c r="AD276" s="839"/>
      <c r="AE276" s="839"/>
      <c r="AF276" s="839"/>
      <c r="AG276" s="839"/>
      <c r="AH276" s="839"/>
      <c r="AI276" s="839"/>
      <c r="AJ276" s="839"/>
      <c r="AK276" s="839"/>
      <c r="AL276" s="839"/>
      <c r="AM276" s="839"/>
      <c r="AN276" s="839"/>
      <c r="AO276" s="839"/>
      <c r="AP276" s="839"/>
      <c r="AQ276" s="839"/>
      <c r="AR276" s="839"/>
      <c r="AS276" s="839"/>
      <c r="AT276" s="839"/>
      <c r="AU276" s="840"/>
      <c r="AV276" s="839"/>
      <c r="AW276" s="840"/>
      <c r="AX276" s="840"/>
      <c r="AY276" s="840"/>
      <c r="AZ276" s="840"/>
      <c r="BA276" s="839"/>
      <c r="BB276" s="840"/>
      <c r="BC276" s="840"/>
      <c r="BD276" s="840"/>
      <c r="BE276" s="840"/>
      <c r="BF276" s="839"/>
      <c r="BG276" s="840"/>
      <c r="BH276" s="840"/>
      <c r="BI276" s="840"/>
      <c r="BJ276" s="840"/>
      <c r="BK276" s="839"/>
      <c r="BL276" s="840"/>
      <c r="BM276" s="840"/>
      <c r="BN276" s="840"/>
      <c r="BO276" s="840"/>
      <c r="BP276" s="839"/>
      <c r="BQ276" s="839"/>
      <c r="BR276" s="839"/>
      <c r="BS276" s="839"/>
      <c r="BT276" s="839"/>
      <c r="BU276" s="839"/>
      <c r="BV276" s="839"/>
      <c r="BW276" s="839"/>
      <c r="BX276" s="839"/>
      <c r="BY276" s="839"/>
      <c r="BZ276" s="839"/>
      <c r="CA276" s="839"/>
      <c r="CB276" s="839"/>
      <c r="CC276" s="839"/>
      <c r="CD276" s="839"/>
      <c r="CE276" s="839"/>
      <c r="CF276" s="839"/>
      <c r="CG276" s="839"/>
      <c r="CH276" s="839"/>
      <c r="CI276" s="839"/>
      <c r="CJ276" s="839"/>
      <c r="CK276" s="839"/>
      <c r="CL276" s="839"/>
      <c r="CM276" s="839"/>
      <c r="CN276" s="839"/>
      <c r="CO276" s="839"/>
      <c r="CP276" s="839"/>
      <c r="CQ276" s="839"/>
      <c r="CR276" s="839"/>
      <c r="CS276" s="839"/>
      <c r="CT276" s="839"/>
      <c r="CU276" s="347"/>
      <c r="CV276" s="1363"/>
      <c r="CW276" s="347"/>
      <c r="CX276" s="347"/>
      <c r="CY276" s="347"/>
      <c r="CZ276" s="347"/>
      <c r="DA276" s="347"/>
      <c r="DC276" s="1310"/>
      <c r="DD276" s="761"/>
      <c r="DE276" s="761"/>
      <c r="DF276" s="761"/>
      <c r="DG276" s="761"/>
      <c r="DH276" s="761"/>
      <c r="DI276" s="761"/>
      <c r="DJ276" s="761"/>
      <c r="DK276" s="761"/>
      <c r="DL276" s="761"/>
      <c r="DM276" s="759"/>
      <c r="EA276" s="399"/>
      <c r="EB276" s="399"/>
      <c r="EN276" s="399"/>
      <c r="EO276" s="399"/>
      <c r="EP276" s="399"/>
    </row>
    <row r="277" spans="1:146" s="399" customFormat="1" ht="13.5" thickBot="1">
      <c r="A277" s="769"/>
      <c r="B277" s="571" t="s">
        <v>589</v>
      </c>
      <c r="C277" s="842">
        <v>252</v>
      </c>
      <c r="D277" s="842">
        <v>321</v>
      </c>
      <c r="E277" s="842">
        <v>329</v>
      </c>
      <c r="F277" s="842">
        <v>78</v>
      </c>
      <c r="G277" s="842">
        <v>-742</v>
      </c>
      <c r="H277" s="842">
        <v>-14</v>
      </c>
      <c r="I277" s="842">
        <v>-305</v>
      </c>
      <c r="J277" s="842">
        <v>1011</v>
      </c>
      <c r="K277" s="842">
        <v>496</v>
      </c>
      <c r="L277" s="842">
        <v>507.50000000000011</v>
      </c>
      <c r="M277" s="842">
        <v>1709.5000000000002</v>
      </c>
      <c r="N277" s="842">
        <v>599</v>
      </c>
      <c r="O277" s="842">
        <v>722</v>
      </c>
      <c r="P277" s="842">
        <v>761</v>
      </c>
      <c r="Q277" s="842">
        <v>810</v>
      </c>
      <c r="R277" s="842">
        <v>2892</v>
      </c>
      <c r="S277" s="842">
        <v>756</v>
      </c>
      <c r="T277" s="842">
        <v>767</v>
      </c>
      <c r="U277" s="842">
        <v>661</v>
      </c>
      <c r="V277" s="842">
        <v>761</v>
      </c>
      <c r="W277" s="842">
        <v>2830</v>
      </c>
      <c r="X277" s="842">
        <v>667</v>
      </c>
      <c r="Y277" s="842">
        <v>794</v>
      </c>
      <c r="Z277" s="842">
        <v>736</v>
      </c>
      <c r="AA277" s="842">
        <v>520</v>
      </c>
      <c r="AB277" s="842">
        <v>2717</v>
      </c>
      <c r="AC277" s="842">
        <v>316</v>
      </c>
      <c r="AD277" s="842">
        <v>354</v>
      </c>
      <c r="AE277" s="842">
        <v>246</v>
      </c>
      <c r="AF277" s="842">
        <v>116</v>
      </c>
      <c r="AG277" s="842">
        <v>1032</v>
      </c>
      <c r="AH277" s="842">
        <v>380</v>
      </c>
      <c r="AI277" s="842">
        <v>-863</v>
      </c>
      <c r="AJ277" s="842">
        <v>-419</v>
      </c>
      <c r="AK277" s="842">
        <v>11</v>
      </c>
      <c r="AL277" s="842">
        <v>-891</v>
      </c>
      <c r="AM277" s="842">
        <v>-34</v>
      </c>
      <c r="AN277" s="842">
        <v>118</v>
      </c>
      <c r="AO277" s="842">
        <v>345</v>
      </c>
      <c r="AP277" s="842">
        <v>481</v>
      </c>
      <c r="AQ277" s="842">
        <v>-25</v>
      </c>
      <c r="AR277" s="842">
        <f>'[16]Reported Group Highlights'!P$61</f>
        <v>171</v>
      </c>
      <c r="AS277" s="842">
        <f>'[16]Reported Group Highlights'!Q$61</f>
        <v>54</v>
      </c>
      <c r="AT277" s="842">
        <f>'[16]Reported Group Highlights'!R$61</f>
        <v>-65</v>
      </c>
      <c r="AU277" s="842">
        <f>'[16]Reported Group Highlights'!S$61</f>
        <v>214</v>
      </c>
      <c r="AV277" s="842">
        <v>-209</v>
      </c>
      <c r="AW277" s="843">
        <f>'[16]Reported Group Highlights'!T$61</f>
        <v>46</v>
      </c>
      <c r="AX277" s="843">
        <f>'[16]Reported Group Highlights'!U$61</f>
        <v>97</v>
      </c>
      <c r="AY277" s="843">
        <f>'[16]Reported Group Highlights'!V$61</f>
        <v>95</v>
      </c>
      <c r="AZ277" s="843">
        <f>'[16]Reported Group Highlights'!W$61</f>
        <v>137</v>
      </c>
      <c r="BA277" s="844">
        <f>SUM(AW277:AZ277)</f>
        <v>375</v>
      </c>
      <c r="BB277" s="843">
        <f>'[16]Reported Group Highlights'!X$61</f>
        <v>15</v>
      </c>
      <c r="BC277" s="843">
        <f>'[16]Reported Group Highlights'!Y$61</f>
        <v>-97</v>
      </c>
      <c r="BD277" s="843">
        <f>'[16]Reported Group Highlights'!Z$61</f>
        <v>-64</v>
      </c>
      <c r="BE277" s="843">
        <f>'[16]Reported Group Highlights'!AA$61</f>
        <v>-3152</v>
      </c>
      <c r="BF277" s="844">
        <f>SUM(BB277:BE277)</f>
        <v>-3298</v>
      </c>
      <c r="BG277" s="843">
        <f>'[16]Reported Group Highlights'!AB$61</f>
        <v>57</v>
      </c>
      <c r="BH277" s="843">
        <f>'[16]Reported Group Highlights'!AC$61</f>
        <v>225</v>
      </c>
      <c r="BI277" s="843">
        <f>'[16]Reported Group Highlights'!AD$61</f>
        <v>216</v>
      </c>
      <c r="BJ277" s="843">
        <f>'[16]Reported Group Highlights'!AE$61</f>
        <v>214</v>
      </c>
      <c r="BK277" s="845">
        <f>SUM(BG277:BJ277)</f>
        <v>712</v>
      </c>
      <c r="BL277" s="843">
        <v>58</v>
      </c>
      <c r="BM277" s="843">
        <f>182-BL277</f>
        <v>124</v>
      </c>
      <c r="BN277" s="846">
        <f>182-BM277</f>
        <v>58</v>
      </c>
      <c r="BO277" s="846">
        <f>182-BN277</f>
        <v>124</v>
      </c>
      <c r="BP277" s="845">
        <f>SUM(BL277:BO277)</f>
        <v>364</v>
      </c>
      <c r="BQ277" s="843">
        <f>'[16]Reported Group Highlights'!AJ63</f>
        <v>230</v>
      </c>
      <c r="BR277" s="843">
        <f>'[16]Reported Group Highlights'!AK63</f>
        <v>333</v>
      </c>
      <c r="BS277" s="843">
        <f>'[16]Reported Group Highlights'!AL63</f>
        <v>272</v>
      </c>
      <c r="BT277" s="843">
        <f>'[16]Reported Group Highlights'!AM63</f>
        <v>269</v>
      </c>
      <c r="BU277" s="845">
        <f>SUM(BQ277:BT277)</f>
        <v>1104</v>
      </c>
      <c r="BV277" s="843">
        <f>'[16]Reported Group Highlights'!AN63</f>
        <v>171</v>
      </c>
      <c r="BW277" s="843">
        <f>'[16]Reported Group Highlights'!AO63</f>
        <v>446</v>
      </c>
      <c r="BX277" s="843">
        <f>'[16]Reported Group Highlights'!AP63</f>
        <v>371.7600000000001</v>
      </c>
      <c r="BY277" s="843">
        <f>'[16]Reported Group Highlights'!AQ63</f>
        <v>132.41600000000003</v>
      </c>
      <c r="BZ277" s="845">
        <f>SUM(BV277:BY277)</f>
        <v>1121.1760000000002</v>
      </c>
      <c r="CA277" s="843">
        <f>'[16]Reported Group Highlights'!AR63</f>
        <v>204.17500000000001</v>
      </c>
      <c r="CB277" s="843">
        <f>'[16]Reported Group Highlights'!AS63</f>
        <v>453.34899999999999</v>
      </c>
      <c r="CC277" s="843">
        <f>'[16]Reported Group Highlights'!AT63</f>
        <v>361.05899999999991</v>
      </c>
      <c r="CD277" s="843">
        <f>'[16]Reported Group Highlights'!AU63</f>
        <v>262</v>
      </c>
      <c r="CE277" s="845">
        <f>SUM(CA277:CD277)</f>
        <v>1280.5829999999999</v>
      </c>
      <c r="CF277" s="843">
        <f>'[16]Reported Group Highlights'!AV63</f>
        <v>547.42999999999995</v>
      </c>
      <c r="CG277" s="843">
        <f>'[16]Reported Group Highlights'!AW63</f>
        <v>489.73500000000001</v>
      </c>
      <c r="CH277" s="843">
        <f>'[16]Reported Group Highlights'!AX63</f>
        <v>302</v>
      </c>
      <c r="CI277" s="843">
        <f>'[16]Reported Group Highlights'!AY63</f>
        <v>513</v>
      </c>
      <c r="CJ277" s="845">
        <f>SUM(CF277:CI277)</f>
        <v>1852.165</v>
      </c>
      <c r="CK277" s="843">
        <f>'[16]Reported Group Highlights'!AZ63</f>
        <v>388.23200000000003</v>
      </c>
      <c r="CL277" s="843">
        <f>'[16]Reported Group Highlights'!BA63</f>
        <v>305</v>
      </c>
      <c r="CM277" s="843">
        <f>'[16]Reported Group Highlights'!BB63</f>
        <v>1154</v>
      </c>
      <c r="CN277" s="843"/>
      <c r="CO277" s="845">
        <f>CO271+CO275</f>
        <v>1215.7666737212467</v>
      </c>
      <c r="CP277" s="845">
        <f t="shared" ref="CP277:CT277" si="1351">CP271+CP275</f>
        <v>1736.3206886967769</v>
      </c>
      <c r="CQ277" s="845">
        <f t="shared" si="1351"/>
        <v>2952.5305303360401</v>
      </c>
      <c r="CR277" s="845">
        <f t="shared" si="1351"/>
        <v>4360.0040675784803</v>
      </c>
      <c r="CS277" s="845">
        <f t="shared" si="1351"/>
        <v>5570.065627360118</v>
      </c>
      <c r="CT277" s="845">
        <f t="shared" si="1351"/>
        <v>6701.2555973886965</v>
      </c>
      <c r="CU277" s="364"/>
      <c r="CV277" s="1362"/>
      <c r="CW277" s="364"/>
      <c r="CX277" s="364"/>
      <c r="CY277" s="364"/>
      <c r="CZ277" s="364"/>
      <c r="DA277" s="364"/>
      <c r="DC277" s="1311"/>
      <c r="DD277" s="1312"/>
      <c r="DE277" s="1312"/>
      <c r="DF277" s="1312"/>
      <c r="DG277" s="1312"/>
      <c r="DH277" s="1312"/>
      <c r="DI277" s="1312"/>
      <c r="DJ277" s="1312"/>
      <c r="DK277" s="1312"/>
      <c r="DL277" s="1312"/>
      <c r="DM277" s="769"/>
    </row>
    <row r="278" spans="1:146" ht="13.5" thickTop="1">
      <c r="R278" s="426">
        <f>R277/M277-1</f>
        <v>0.69172272594325812</v>
      </c>
      <c r="S278" s="426">
        <f t="shared" ref="S278" si="1352">S277/N277-1</f>
        <v>0.26210350584307185</v>
      </c>
      <c r="T278" s="426">
        <f t="shared" ref="T278" si="1353">T277/O277-1</f>
        <v>6.2326869806094143E-2</v>
      </c>
      <c r="U278" s="426">
        <f t="shared" ref="U278" si="1354">U277/P277-1</f>
        <v>-0.13140604467805517</v>
      </c>
      <c r="V278" s="426">
        <f t="shared" ref="V278" si="1355">V277/Q277-1</f>
        <v>-6.0493827160493785E-2</v>
      </c>
      <c r="W278" s="426">
        <f t="shared" ref="W278" si="1356">W277/R277-1</f>
        <v>-2.1438450899031847E-2</v>
      </c>
      <c r="X278" s="426">
        <f t="shared" ref="X278" si="1357">X277/S277-1</f>
        <v>-0.11772486772486768</v>
      </c>
      <c r="Y278" s="426">
        <f t="shared" ref="Y278" si="1358">Y277/T277-1</f>
        <v>3.5202086049543668E-2</v>
      </c>
      <c r="Z278" s="426">
        <f t="shared" ref="Z278" si="1359">Z277/U277-1</f>
        <v>0.11346444780635401</v>
      </c>
      <c r="AA278" s="426">
        <f t="shared" ref="AA278" si="1360">AA277/V277-1</f>
        <v>-0.31668856767411302</v>
      </c>
      <c r="AB278" s="426">
        <f t="shared" ref="AB278" si="1361">AB277/W277-1</f>
        <v>-3.9929328621908122E-2</v>
      </c>
      <c r="AC278" s="426">
        <f t="shared" ref="AC278" si="1362">AC277/X277-1</f>
        <v>-0.52623688155922044</v>
      </c>
      <c r="AD278" s="426">
        <f t="shared" ref="AD278" si="1363">AD277/Y277-1</f>
        <v>-0.55415617128463479</v>
      </c>
      <c r="AE278" s="426">
        <f t="shared" ref="AE278" si="1364">AE277/Z277-1</f>
        <v>-0.66576086956521741</v>
      </c>
      <c r="AF278" s="426">
        <f t="shared" ref="AF278" si="1365">AF277/AA277-1</f>
        <v>-0.77692307692307694</v>
      </c>
      <c r="AG278" s="426">
        <f t="shared" ref="AG278" si="1366">AG277/AB277-1</f>
        <v>-0.62016930437983064</v>
      </c>
      <c r="AH278" s="426">
        <f t="shared" ref="AH278" si="1367">AH277/AC277-1</f>
        <v>0.20253164556962022</v>
      </c>
      <c r="AI278" s="426">
        <f t="shared" ref="AI278" si="1368">AI277/AD277-1</f>
        <v>-3.4378531073446328</v>
      </c>
      <c r="AJ278" s="426">
        <f t="shared" ref="AJ278" si="1369">AJ277/AE277-1</f>
        <v>-2.7032520325203251</v>
      </c>
      <c r="AK278" s="426">
        <f t="shared" ref="AK278" si="1370">AK277/AF277-1</f>
        <v>-0.90517241379310343</v>
      </c>
      <c r="AL278" s="426">
        <f t="shared" ref="AL278" si="1371">AL277/AG277-1</f>
        <v>-1.8633720930232558</v>
      </c>
      <c r="AM278" s="426">
        <f t="shared" ref="AM278" si="1372">AM277/AH277-1</f>
        <v>-1.0894736842105264</v>
      </c>
      <c r="AN278" s="426">
        <f t="shared" ref="AN278" si="1373">AN277/AI277-1</f>
        <v>-1.1367323290845888</v>
      </c>
      <c r="AO278" s="426">
        <f t="shared" ref="AO278" si="1374">AO277/AJ277-1</f>
        <v>-1.8233890214797137</v>
      </c>
      <c r="AP278" s="426">
        <f t="shared" ref="AP278" si="1375">AP277/AK277-1</f>
        <v>42.727272727272727</v>
      </c>
      <c r="AQ278" s="426">
        <f t="shared" ref="AQ278" si="1376">AQ277/AL277-1</f>
        <v>-0.97194163860830529</v>
      </c>
      <c r="AR278" s="426">
        <f t="shared" ref="AR278" si="1377">AR277/AM277-1</f>
        <v>-6.0294117647058822</v>
      </c>
      <c r="AS278" s="426">
        <f t="shared" ref="AS278" si="1378">AS277/AN277-1</f>
        <v>-0.5423728813559322</v>
      </c>
      <c r="AT278" s="426">
        <f t="shared" ref="AT278" si="1379">AT277/AO277-1</f>
        <v>-1.1884057971014492</v>
      </c>
      <c r="AU278" s="426">
        <f t="shared" ref="AU278" si="1380">AU277/AP277-1</f>
        <v>-0.55509355509355507</v>
      </c>
      <c r="AV278" s="426">
        <f t="shared" ref="AV278" si="1381">AV277/AQ277-1</f>
        <v>7.3599999999999994</v>
      </c>
      <c r="AW278" s="426">
        <f t="shared" ref="AW278" si="1382">AW277/AR277-1</f>
        <v>-0.73099415204678364</v>
      </c>
      <c r="AX278" s="426">
        <f t="shared" ref="AX278" si="1383">AX277/AS277-1</f>
        <v>0.79629629629629628</v>
      </c>
      <c r="AY278" s="426">
        <f t="shared" ref="AY278" si="1384">AY277/AT277-1</f>
        <v>-2.4615384615384617</v>
      </c>
      <c r="AZ278" s="426">
        <f t="shared" ref="AZ278" si="1385">AZ277/AU277-1</f>
        <v>-0.35981308411214952</v>
      </c>
      <c r="BA278" s="426">
        <f t="shared" ref="BA278" si="1386">BA277/AV277-1</f>
        <v>-2.7942583732057416</v>
      </c>
      <c r="BB278" s="426">
        <f t="shared" ref="BB278" si="1387">BB277/AW277-1</f>
        <v>-0.67391304347826086</v>
      </c>
      <c r="BC278" s="426">
        <f t="shared" ref="BC278" si="1388">BC277/AX277-1</f>
        <v>-2</v>
      </c>
      <c r="BD278" s="426">
        <f t="shared" ref="BD278" si="1389">BD277/AY277-1</f>
        <v>-1.6736842105263157</v>
      </c>
      <c r="BE278" s="426">
        <f t="shared" ref="BE278" si="1390">BE277/AZ277-1</f>
        <v>-24.007299270072991</v>
      </c>
      <c r="BF278" s="426">
        <f t="shared" ref="BF278" si="1391">BF277/BA277-1</f>
        <v>-9.7946666666666662</v>
      </c>
      <c r="BG278" s="426">
        <f t="shared" ref="BG278" si="1392">BG277/BB277-1</f>
        <v>2.8</v>
      </c>
      <c r="BH278" s="426">
        <f t="shared" ref="BH278" si="1393">BH277/BC277-1</f>
        <v>-3.3195876288659796</v>
      </c>
      <c r="BI278" s="426">
        <f t="shared" ref="BI278" si="1394">BI277/BD277-1</f>
        <v>-4.375</v>
      </c>
      <c r="BJ278" s="426">
        <f t="shared" ref="BJ278" si="1395">BJ277/BE277-1</f>
        <v>-1.0678934010152283</v>
      </c>
      <c r="BK278" s="426">
        <f t="shared" ref="BK278" si="1396">BK277/BF277-1</f>
        <v>-1.2158884172225592</v>
      </c>
      <c r="BL278" s="426">
        <f t="shared" ref="BL278" si="1397">BL277/BG277-1</f>
        <v>1.7543859649122862E-2</v>
      </c>
      <c r="BM278" s="426">
        <f t="shared" ref="BM278:BV278" si="1398">BM277/BH277-1</f>
        <v>-0.44888888888888889</v>
      </c>
      <c r="BN278" s="426">
        <f t="shared" si="1398"/>
        <v>-0.7314814814814814</v>
      </c>
      <c r="BO278" s="426">
        <f t="shared" si="1398"/>
        <v>-0.42056074766355145</v>
      </c>
      <c r="BP278" s="426">
        <f t="shared" si="1398"/>
        <v>-0.4887640449438202</v>
      </c>
      <c r="BQ278" s="426">
        <f t="shared" si="1398"/>
        <v>2.9655172413793105</v>
      </c>
      <c r="BR278" s="426">
        <f t="shared" si="1398"/>
        <v>1.685483870967742</v>
      </c>
      <c r="BS278" s="426">
        <f t="shared" si="1398"/>
        <v>3.6896551724137927</v>
      </c>
      <c r="BT278" s="426">
        <f t="shared" si="1398"/>
        <v>1.1693548387096775</v>
      </c>
      <c r="BU278" s="426">
        <f t="shared" si="1398"/>
        <v>2.0329670329670328</v>
      </c>
      <c r="BV278" s="426">
        <f t="shared" si="1398"/>
        <v>-0.25652173913043474</v>
      </c>
      <c r="BW278" s="426">
        <f t="shared" ref="BW278:CM278" si="1399">BW277/BR277-1</f>
        <v>0.33933933933933935</v>
      </c>
      <c r="BX278" s="426">
        <f t="shared" si="1399"/>
        <v>0.36676470588235333</v>
      </c>
      <c r="BY278" s="426">
        <f t="shared" si="1399"/>
        <v>-0.50774721189591077</v>
      </c>
      <c r="BZ278" s="426">
        <f t="shared" si="1399"/>
        <v>1.5557971014492855E-2</v>
      </c>
      <c r="CA278" s="426">
        <f t="shared" si="1399"/>
        <v>0.19400584795321651</v>
      </c>
      <c r="CB278" s="426">
        <f t="shared" si="1399"/>
        <v>1.6477578475336374E-2</v>
      </c>
      <c r="CC278" s="426">
        <f t="shared" si="1399"/>
        <v>-2.8784699806327141E-2</v>
      </c>
      <c r="CD278" s="426">
        <f t="shared" si="1399"/>
        <v>0.97861285645239215</v>
      </c>
      <c r="CE278" s="426">
        <f t="shared" si="1399"/>
        <v>0.14217839126060472</v>
      </c>
      <c r="CF278" s="426">
        <f t="shared" si="1399"/>
        <v>1.6811803599853063</v>
      </c>
      <c r="CG278" s="426">
        <f t="shared" si="1399"/>
        <v>8.0260461586989296E-2</v>
      </c>
      <c r="CH278" s="426">
        <f t="shared" si="1399"/>
        <v>-0.16357160464079257</v>
      </c>
      <c r="CI278" s="426">
        <f t="shared" si="1399"/>
        <v>0.95801526717557262</v>
      </c>
      <c r="CJ278" s="426">
        <f t="shared" ref="CJ278" si="1400">CJ277/CE277-1</f>
        <v>0.44634514123645253</v>
      </c>
      <c r="CK278" s="426">
        <f t="shared" si="1399"/>
        <v>-0.29080978389931122</v>
      </c>
      <c r="CL278" s="426">
        <f t="shared" si="1399"/>
        <v>-0.37721420768374736</v>
      </c>
      <c r="CM278" s="426">
        <f t="shared" si="1399"/>
        <v>2.8211920529801326</v>
      </c>
      <c r="CN278" s="426"/>
      <c r="CO278" s="426">
        <f t="shared" ref="CO278" si="1401">CO277/CJ277-1</f>
        <v>-0.34359699393885168</v>
      </c>
      <c r="CP278" s="426">
        <f t="shared" ref="CP278" si="1402">CP277/CO277-1</f>
        <v>0.42816934057108713</v>
      </c>
      <c r="CQ278" s="426">
        <f t="shared" ref="CQ278" si="1403">CQ277/CP277-1</f>
        <v>0.70045231250000772</v>
      </c>
      <c r="CR278" s="426">
        <f t="shared" ref="CR278" si="1404">CR277/CQ277-1</f>
        <v>0.47670075644645404</v>
      </c>
      <c r="CS278" s="426">
        <f t="shared" ref="CS278" si="1405">CS277/CR277-1</f>
        <v>0.27753679607315096</v>
      </c>
      <c r="CT278" s="426">
        <f t="shared" ref="CT278" si="1406">CT277/CS277-1</f>
        <v>0.203083777769544</v>
      </c>
      <c r="DC278" s="759"/>
      <c r="DD278" s="759"/>
      <c r="DE278" s="759"/>
      <c r="DF278" s="759"/>
      <c r="DG278" s="759"/>
      <c r="DH278" s="759"/>
      <c r="DI278" s="759"/>
      <c r="DJ278" s="759"/>
      <c r="DK278" s="759"/>
      <c r="DL278" s="759"/>
      <c r="DM278" s="759"/>
    </row>
    <row r="279" spans="1:146">
      <c r="B279" s="407"/>
      <c r="C279" s="530"/>
      <c r="D279" s="530"/>
      <c r="E279" s="530"/>
      <c r="F279" s="530"/>
      <c r="G279" s="530"/>
      <c r="H279" s="530"/>
      <c r="I279" s="530"/>
      <c r="J279" s="530"/>
      <c r="K279" s="530"/>
      <c r="L279" s="530"/>
      <c r="M279" s="530"/>
      <c r="N279" s="530"/>
      <c r="O279" s="530"/>
      <c r="P279" s="530"/>
      <c r="Q279" s="530"/>
      <c r="R279" s="353">
        <f>R277/R$236</f>
        <v>0.16563573883161511</v>
      </c>
      <c r="S279" s="353">
        <f t="shared" ref="S279:CD279" si="1407">S277/S$236</f>
        <v>0.16867469879518071</v>
      </c>
      <c r="T279" s="353">
        <f t="shared" si="1407"/>
        <v>0.16846035580935648</v>
      </c>
      <c r="U279" s="353">
        <f t="shared" si="1407"/>
        <v>0.13828451882845189</v>
      </c>
      <c r="V279" s="353">
        <f t="shared" si="1407"/>
        <v>0.15339649264261238</v>
      </c>
      <c r="W279" s="353">
        <f t="shared" si="1407"/>
        <v>0.15496659730588105</v>
      </c>
      <c r="X279" s="353">
        <f t="shared" si="1407"/>
        <v>0.13631718781933375</v>
      </c>
      <c r="Y279" s="353">
        <f t="shared" si="1407"/>
        <v>0.15184547714668198</v>
      </c>
      <c r="Z279" s="353">
        <f t="shared" si="1407"/>
        <v>0.1320416218155723</v>
      </c>
      <c r="AA279" s="353">
        <f t="shared" si="1407"/>
        <v>9.8615588848852645E-2</v>
      </c>
      <c r="AB279" s="353">
        <f t="shared" si="1407"/>
        <v>0.12957222566646001</v>
      </c>
      <c r="AC279" s="353">
        <f t="shared" si="1407"/>
        <v>5.4880166724557138E-2</v>
      </c>
      <c r="AD279" s="353">
        <f t="shared" si="1407"/>
        <v>5.8464079273327828E-2</v>
      </c>
      <c r="AE279" s="353">
        <f t="shared" si="1407"/>
        <v>3.8509705698184092E-2</v>
      </c>
      <c r="AF279" s="353">
        <f t="shared" si="1407"/>
        <v>1.8173272755757482E-2</v>
      </c>
      <c r="AG279" s="353">
        <f t="shared" si="1407"/>
        <v>4.8528167027179533E-2</v>
      </c>
      <c r="AH279" s="353">
        <f t="shared" si="1407"/>
        <v>6.9003086980207004E-2</v>
      </c>
      <c r="AI279" s="353">
        <f t="shared" si="1407"/>
        <v>-0.14285714285714285</v>
      </c>
      <c r="AJ279" s="353">
        <f t="shared" si="1407"/>
        <v>-6.976356976356976E-2</v>
      </c>
      <c r="AK279" s="353">
        <f t="shared" si="1407"/>
        <v>1.8625126989502202E-3</v>
      </c>
      <c r="AL279" s="353">
        <f t="shared" si="1407"/>
        <v>-3.7979539641943734E-2</v>
      </c>
      <c r="AM279" s="353">
        <f t="shared" si="1407"/>
        <v>-6.2032475825579275E-3</v>
      </c>
      <c r="AN279" s="353">
        <f t="shared" si="1407"/>
        <v>2.1030119408305115E-2</v>
      </c>
      <c r="AO279" s="353">
        <f t="shared" si="1407"/>
        <v>5.9176672384219552E-2</v>
      </c>
      <c r="AP279" s="353">
        <f t="shared" si="1407"/>
        <v>8.0529047379876109E-2</v>
      </c>
      <c r="AQ279" s="353">
        <f t="shared" si="1407"/>
        <v>-1.0919414719371041E-3</v>
      </c>
      <c r="AR279" s="353">
        <f t="shared" si="1407"/>
        <v>3.0448717948717948E-2</v>
      </c>
      <c r="AS279" s="353">
        <f t="shared" si="1407"/>
        <v>1.0309278350515464E-2</v>
      </c>
      <c r="AT279" s="353">
        <f t="shared" si="1407"/>
        <v>-1.24282982791587E-2</v>
      </c>
      <c r="AU279" s="353">
        <f t="shared" si="1407"/>
        <v>4.0707627924671863E-2</v>
      </c>
      <c r="AV279" s="353">
        <f t="shared" si="1407"/>
        <v>-9.793355512862565E-3</v>
      </c>
      <c r="AW279" s="353">
        <f t="shared" si="1407"/>
        <v>8.7352829472085083E-3</v>
      </c>
      <c r="AX279" s="353">
        <f t="shared" si="1407"/>
        <v>1.7116640197635435E-2</v>
      </c>
      <c r="AY279" s="353">
        <f t="shared" si="1407"/>
        <v>1.5912897822445562E-2</v>
      </c>
      <c r="AZ279" s="353">
        <f t="shared" si="1407"/>
        <v>2.2840946982327442E-2</v>
      </c>
      <c r="BA279" s="353">
        <f t="shared" si="1407"/>
        <v>1.6374830793415136E-2</v>
      </c>
      <c r="BB279" s="353">
        <f t="shared" si="1407"/>
        <v>2.7265960357111371E-3</v>
      </c>
      <c r="BC279" s="353">
        <f t="shared" si="1407"/>
        <v>-1.7494256202841032E-2</v>
      </c>
      <c r="BD279" s="353">
        <f t="shared" si="1407"/>
        <v>-1.0947338171828736E-2</v>
      </c>
      <c r="BE279" s="353">
        <f t="shared" si="1407"/>
        <v>-0.52128468891608504</v>
      </c>
      <c r="BF279" s="353">
        <f t="shared" si="1407"/>
        <v>-0.14377379264453627</v>
      </c>
      <c r="BG279" s="353">
        <f t="shared" si="1407"/>
        <v>9.5521803773412888E-3</v>
      </c>
      <c r="BH279" s="353">
        <f t="shared" si="1407"/>
        <v>3.5773311678555332E-2</v>
      </c>
      <c r="BI279" s="353">
        <f t="shared" si="1407"/>
        <v>3.3417428705230887E-2</v>
      </c>
      <c r="BJ279" s="353">
        <f t="shared" si="1407"/>
        <v>3.3373204435829099E-2</v>
      </c>
      <c r="BK279" s="353">
        <f t="shared" si="1407"/>
        <v>2.8329455009721938E-2</v>
      </c>
      <c r="BL279" s="353">
        <f t="shared" si="1407"/>
        <v>8.926989691327783E-3</v>
      </c>
      <c r="BM279" s="353">
        <f t="shared" si="1407"/>
        <v>1.8830650041632441E-2</v>
      </c>
      <c r="BN279" s="353">
        <f t="shared" si="1407"/>
        <v>8.8226466996988596E-3</v>
      </c>
      <c r="BO279" s="353">
        <f t="shared" si="1407"/>
        <v>1.9518509843625249E-2</v>
      </c>
      <c r="BP279" s="353">
        <f t="shared" si="1407"/>
        <v>1.3995104404824543E-2</v>
      </c>
      <c r="BQ279" s="353">
        <f t="shared" si="1407"/>
        <v>3.6815533209771864E-2</v>
      </c>
      <c r="BR279" s="353">
        <f t="shared" si="1407"/>
        <v>4.9503213695116094E-2</v>
      </c>
      <c r="BS279" s="353">
        <f t="shared" si="1407"/>
        <v>3.9847676397019985E-2</v>
      </c>
      <c r="BT279" s="353">
        <f t="shared" si="1407"/>
        <v>3.8683567982487989E-2</v>
      </c>
      <c r="BU279" s="353">
        <f t="shared" si="1407"/>
        <v>4.1264780472489208E-2</v>
      </c>
      <c r="BV279" s="353">
        <f t="shared" si="1407"/>
        <v>2.5363171695768311E-2</v>
      </c>
      <c r="BW279" s="353">
        <f t="shared" si="1407"/>
        <v>6.0823094665419117E-2</v>
      </c>
      <c r="BX279" s="353">
        <f t="shared" si="1407"/>
        <v>4.9432226152168697E-2</v>
      </c>
      <c r="BY279" s="353">
        <f t="shared" si="1407"/>
        <v>1.7546458707067062E-2</v>
      </c>
      <c r="BZ279" s="353">
        <f t="shared" si="1407"/>
        <v>3.8472864965931983E-2</v>
      </c>
      <c r="CA279" s="353">
        <f t="shared" si="1407"/>
        <v>2.705263481467074E-2</v>
      </c>
      <c r="CB279" s="353">
        <f t="shared" si="1407"/>
        <v>5.5170719282461429E-2</v>
      </c>
      <c r="CC279" s="353">
        <f t="shared" si="1407"/>
        <v>4.4557158788968952E-2</v>
      </c>
      <c r="CD279" s="353">
        <f t="shared" si="1407"/>
        <v>3.098814206809419E-2</v>
      </c>
      <c r="CE279" s="353">
        <f t="shared" ref="CE279:CF279" si="1408">CE277/CE$236</f>
        <v>3.9618749093321574E-2</v>
      </c>
      <c r="CF279" s="353">
        <f t="shared" si="1408"/>
        <v>6.4874556856043611E-2</v>
      </c>
      <c r="CG279" s="353">
        <f t="shared" ref="CG279:CH279" si="1409">CG277/CG$236</f>
        <v>5.6857919462339215E-2</v>
      </c>
      <c r="CH279" s="353">
        <f t="shared" si="1409"/>
        <v>3.6342570363187436E-2</v>
      </c>
      <c r="CI279" s="353">
        <f t="shared" ref="CI279" si="1410">CI277/CI$236</f>
        <v>5.680946106757933E-2</v>
      </c>
      <c r="CJ279" s="353">
        <f>CJ277/CJ$236</f>
        <v>5.3855161189519635E-2</v>
      </c>
      <c r="CK279" s="353">
        <f t="shared" ref="CK279:CL279" si="1411">CK277/CK$236</f>
        <v>4.513707833241893E-2</v>
      </c>
      <c r="CL279" s="353">
        <f t="shared" si="1411"/>
        <v>2.9065010996580144E-2</v>
      </c>
      <c r="CM279" s="353">
        <f t="shared" ref="CM279" si="1412">CM277/CM$236</f>
        <v>0.10076341823393511</v>
      </c>
      <c r="CN279" s="353"/>
      <c r="CO279" s="353">
        <f t="shared" ref="CO279:CT279" si="1413">CO277/CO$236</f>
        <v>2.8623714376260056E-2</v>
      </c>
      <c r="CP279" s="353">
        <f t="shared" si="1413"/>
        <v>3.6723026021558684E-2</v>
      </c>
      <c r="CQ279" s="353">
        <f t="shared" si="1413"/>
        <v>5.9837084422479134E-2</v>
      </c>
      <c r="CR279" s="353">
        <f t="shared" si="1413"/>
        <v>8.46750301157837E-2</v>
      </c>
      <c r="CS279" s="353">
        <f t="shared" si="1413"/>
        <v>0.10366809789008886</v>
      </c>
      <c r="CT279" s="353">
        <f t="shared" si="1413"/>
        <v>0.11953092610079709</v>
      </c>
      <c r="CU279" s="347"/>
      <c r="CV279" s="1363"/>
      <c r="CW279" s="347"/>
      <c r="CX279" s="347"/>
      <c r="CY279" s="347"/>
      <c r="CZ279" s="347"/>
      <c r="DA279" s="347"/>
      <c r="DC279" s="1311"/>
      <c r="DD279" s="1313"/>
      <c r="DE279" s="1313"/>
      <c r="DF279" s="1313"/>
      <c r="DG279" s="1313"/>
      <c r="DH279" s="1313"/>
      <c r="DI279" s="1313"/>
      <c r="DJ279" s="1313"/>
      <c r="DK279" s="1313"/>
      <c r="DL279" s="1313"/>
      <c r="DM279" s="759"/>
    </row>
    <row r="280" spans="1:146">
      <c r="B280" s="574" t="s">
        <v>769</v>
      </c>
      <c r="C280" s="377"/>
      <c r="D280" s="377"/>
      <c r="E280" s="377"/>
      <c r="F280" s="377"/>
      <c r="G280" s="377"/>
      <c r="H280" s="377"/>
      <c r="I280" s="377"/>
      <c r="J280" s="377"/>
      <c r="K280" s="377"/>
      <c r="L280" s="377"/>
      <c r="M280" s="377"/>
      <c r="N280" s="377"/>
      <c r="O280" s="377"/>
      <c r="P280" s="377"/>
      <c r="Q280" s="377"/>
      <c r="R280" s="377"/>
      <c r="S280" s="377"/>
      <c r="T280" s="377"/>
      <c r="U280" s="377"/>
      <c r="V280" s="377"/>
      <c r="W280" s="377"/>
      <c r="X280" s="377"/>
      <c r="Y280" s="377"/>
      <c r="Z280" s="377"/>
      <c r="AA280" s="377"/>
      <c r="AB280" s="377"/>
      <c r="AC280" s="377"/>
      <c r="AD280" s="377"/>
      <c r="AE280" s="377"/>
      <c r="AF280" s="377"/>
      <c r="AG280" s="377"/>
      <c r="AH280" s="377"/>
      <c r="AI280" s="377"/>
      <c r="AJ280" s="377"/>
      <c r="AK280" s="377"/>
      <c r="AL280" s="377"/>
      <c r="AM280" s="377"/>
      <c r="AN280" s="377"/>
      <c r="AO280" s="377"/>
      <c r="AP280" s="377"/>
      <c r="AQ280" s="377"/>
      <c r="AR280" s="377"/>
      <c r="AS280" s="377"/>
      <c r="AT280" s="377"/>
      <c r="AU280" s="377"/>
      <c r="AV280" s="377"/>
      <c r="AW280" s="377"/>
      <c r="AX280" s="377"/>
      <c r="AY280" s="377"/>
      <c r="AZ280" s="377"/>
      <c r="BA280" s="377"/>
      <c r="BB280" s="377"/>
      <c r="BC280" s="377"/>
      <c r="BD280" s="377"/>
      <c r="BE280" s="377"/>
      <c r="BF280" s="377"/>
      <c r="BG280" s="377"/>
      <c r="BH280" s="377"/>
      <c r="BI280" s="377"/>
      <c r="BJ280" s="377"/>
      <c r="BK280" s="377"/>
      <c r="BL280" s="377"/>
      <c r="BM280" s="377"/>
      <c r="BN280" s="377"/>
      <c r="BO280" s="377"/>
      <c r="BP280" s="377"/>
      <c r="BQ280" s="377"/>
      <c r="BR280" s="377"/>
      <c r="BS280" s="377"/>
      <c r="BT280" s="377"/>
      <c r="BU280" s="377"/>
      <c r="BV280" s="377"/>
      <c r="BW280" s="377"/>
      <c r="BX280" s="377"/>
      <c r="BY280" s="377"/>
      <c r="BZ280" s="377"/>
      <c r="CA280" s="377"/>
      <c r="CB280" s="377"/>
      <c r="CC280" s="377"/>
      <c r="CD280" s="377"/>
      <c r="CE280" s="377"/>
      <c r="CF280" s="377"/>
      <c r="CG280" s="377"/>
      <c r="CH280" s="377"/>
      <c r="CI280" s="377"/>
      <c r="CJ280" s="377"/>
      <c r="CK280" s="377"/>
      <c r="CL280" s="377"/>
      <c r="CM280" s="377"/>
      <c r="CN280" s="377"/>
      <c r="CO280" s="377"/>
      <c r="CP280" s="377"/>
      <c r="CQ280" s="377"/>
      <c r="CR280" s="377"/>
      <c r="CS280" s="377"/>
      <c r="CT280" s="377"/>
      <c r="DC280" s="759"/>
      <c r="DD280" s="759"/>
      <c r="DE280" s="759"/>
      <c r="DF280" s="759"/>
      <c r="DG280" s="759"/>
      <c r="DH280" s="759"/>
      <c r="DI280" s="759"/>
      <c r="DJ280" s="759"/>
      <c r="DK280" s="759"/>
      <c r="DL280" s="759"/>
      <c r="DM280" s="759"/>
    </row>
    <row r="281" spans="1:146">
      <c r="B281" s="399" t="s">
        <v>721</v>
      </c>
      <c r="C281" s="364">
        <f>'Balance Sheet and Cflow'!C310</f>
        <v>709</v>
      </c>
      <c r="D281" s="364">
        <f>'Balance Sheet and Cflow'!D310</f>
        <v>709</v>
      </c>
      <c r="E281" s="364">
        <f>'Balance Sheet and Cflow'!E310</f>
        <v>850.8</v>
      </c>
      <c r="F281" s="364">
        <f>'Balance Sheet and Cflow'!F310</f>
        <v>850.8</v>
      </c>
      <c r="G281" s="364">
        <f>'Balance Sheet and Cflow'!G310</f>
        <v>850.8</v>
      </c>
      <c r="H281" s="756">
        <v>7090</v>
      </c>
      <c r="I281" s="756"/>
      <c r="J281" s="756"/>
      <c r="K281" s="756"/>
      <c r="L281" s="756"/>
      <c r="M281" s="756">
        <v>8058</v>
      </c>
      <c r="N281" s="756"/>
      <c r="O281" s="756"/>
      <c r="P281" s="756"/>
      <c r="Q281" s="756"/>
      <c r="R281" s="756">
        <f>M281</f>
        <v>8058</v>
      </c>
      <c r="S281" s="756">
        <v>775</v>
      </c>
      <c r="T281" s="756">
        <v>775</v>
      </c>
      <c r="U281" s="756">
        <v>7750</v>
      </c>
      <c r="V281" s="756">
        <v>7750</v>
      </c>
      <c r="W281" s="756">
        <f>R281</f>
        <v>8058</v>
      </c>
      <c r="X281" s="756">
        <f>W281</f>
        <v>8058</v>
      </c>
      <c r="Y281" s="756">
        <f t="shared" ref="Y281:AP281" si="1414">X281</f>
        <v>8058</v>
      </c>
      <c r="Z281" s="756">
        <f t="shared" si="1414"/>
        <v>8058</v>
      </c>
      <c r="AA281" s="756">
        <f t="shared" si="1414"/>
        <v>8058</v>
      </c>
      <c r="AB281" s="756">
        <f>W281</f>
        <v>8058</v>
      </c>
      <c r="AC281" s="756">
        <f t="shared" si="1414"/>
        <v>8058</v>
      </c>
      <c r="AD281" s="756">
        <f t="shared" si="1414"/>
        <v>8058</v>
      </c>
      <c r="AE281" s="756">
        <f t="shared" si="1414"/>
        <v>8058</v>
      </c>
      <c r="AF281" s="756">
        <f t="shared" si="1414"/>
        <v>8058</v>
      </c>
      <c r="AG281" s="756">
        <f>AB281</f>
        <v>8058</v>
      </c>
      <c r="AH281" s="756">
        <f t="shared" si="1414"/>
        <v>8058</v>
      </c>
      <c r="AI281" s="756">
        <f t="shared" si="1414"/>
        <v>8058</v>
      </c>
      <c r="AJ281" s="756">
        <f t="shared" si="1414"/>
        <v>8058</v>
      </c>
      <c r="AK281" s="756">
        <f t="shared" si="1414"/>
        <v>8058</v>
      </c>
      <c r="AL281" s="756">
        <f>AG281</f>
        <v>8058</v>
      </c>
      <c r="AM281" s="756">
        <f t="shared" si="1414"/>
        <v>8058</v>
      </c>
      <c r="AN281" s="756">
        <f t="shared" si="1414"/>
        <v>8058</v>
      </c>
      <c r="AO281" s="756">
        <f t="shared" si="1414"/>
        <v>8058</v>
      </c>
      <c r="AP281" s="756">
        <f t="shared" si="1414"/>
        <v>8058</v>
      </c>
      <c r="AQ281" s="756">
        <f>'Balance Sheet and Cflow'!K314</f>
        <v>8541</v>
      </c>
      <c r="AR281" s="756">
        <f>AM281</f>
        <v>8058</v>
      </c>
      <c r="AS281" s="756">
        <f>AN281</f>
        <v>8058</v>
      </c>
      <c r="AT281" s="756">
        <f>'Balance Sheet and Cflow'!$M314</f>
        <v>10688</v>
      </c>
      <c r="AU281" s="756">
        <f>'Balance Sheet and Cflow'!$M314</f>
        <v>10688</v>
      </c>
      <c r="AV281" s="756">
        <f>'Balance Sheet and Cflow'!L314</f>
        <v>10688</v>
      </c>
      <c r="AW281" s="756">
        <f>'Balance Sheet and Cflow'!$M314</f>
        <v>10688</v>
      </c>
      <c r="AX281" s="756">
        <f>'Balance Sheet and Cflow'!$M314</f>
        <v>10688</v>
      </c>
      <c r="AY281" s="756">
        <f>'Balance Sheet and Cflow'!$M314</f>
        <v>10688</v>
      </c>
      <c r="AZ281" s="756">
        <f>'Balance Sheet and Cflow'!$M314</f>
        <v>10688</v>
      </c>
      <c r="BA281" s="756">
        <f>'Balance Sheet and Cflow'!$M314</f>
        <v>10688</v>
      </c>
      <c r="BB281" s="756">
        <f>'Balance Sheet and Cflow'!$N314</f>
        <v>10687.96</v>
      </c>
      <c r="BC281" s="756">
        <f>'Balance Sheet and Cflow'!$N314</f>
        <v>10687.96</v>
      </c>
      <c r="BD281" s="756">
        <f>'Balance Sheet and Cflow'!$N314</f>
        <v>10687.96</v>
      </c>
      <c r="BE281" s="756">
        <f>'Balance Sheet and Cflow'!$N314</f>
        <v>10687.96</v>
      </c>
      <c r="BF281" s="756">
        <f>'Balance Sheet and Cflow'!$N314</f>
        <v>10687.96</v>
      </c>
      <c r="BG281" s="756">
        <f>'Balance Sheet and Cflow'!$O314</f>
        <v>10687.96</v>
      </c>
      <c r="BH281" s="756">
        <f>'Balance Sheet and Cflow'!$O314</f>
        <v>10687.96</v>
      </c>
      <c r="BI281" s="756">
        <f>'Balance Sheet and Cflow'!$O314</f>
        <v>10687.96</v>
      </c>
      <c r="BJ281" s="756">
        <f>'Balance Sheet and Cflow'!$O314</f>
        <v>10687.96</v>
      </c>
      <c r="BK281" s="756">
        <f>'Balance Sheet and Cflow'!$O314</f>
        <v>10687.96</v>
      </c>
      <c r="BL281" s="756">
        <f>'Balance Sheet and Cflow'!$P314</f>
        <v>10706.01</v>
      </c>
      <c r="BM281" s="756">
        <f>'Balance Sheet and Cflow'!$P314</f>
        <v>10706.01</v>
      </c>
      <c r="BN281" s="756">
        <f>'Balance Sheet and Cflow'!$P314</f>
        <v>10706.01</v>
      </c>
      <c r="BO281" s="756">
        <f>'Balance Sheet and Cflow'!$P314</f>
        <v>10706.01</v>
      </c>
      <c r="BP281" s="756">
        <f>'Balance Sheet and Cflow'!$P314</f>
        <v>10706.01</v>
      </c>
      <c r="BQ281" s="756">
        <f>'Balance Sheet and Cflow'!$Q314</f>
        <v>10724.67</v>
      </c>
      <c r="BR281" s="756">
        <f>'Balance Sheet and Cflow'!$Q314</f>
        <v>10724.67</v>
      </c>
      <c r="BS281" s="756">
        <f>'Balance Sheet and Cflow'!$Q314</f>
        <v>10724.67</v>
      </c>
      <c r="BT281" s="756">
        <f>'Balance Sheet and Cflow'!$Q314</f>
        <v>10724.67</v>
      </c>
      <c r="BU281" s="756">
        <f>'Balance Sheet and Cflow'!$Q314</f>
        <v>10724.67</v>
      </c>
      <c r="BV281" s="756">
        <f>'Balance Sheet and Cflow'!$R314</f>
        <v>13128.430665</v>
      </c>
      <c r="BW281" s="756">
        <f>'Balance Sheet and Cflow'!$R314</f>
        <v>13128.430665</v>
      </c>
      <c r="BX281" s="756">
        <f>'Balance Sheet and Cflow'!$R314</f>
        <v>13128.430665</v>
      </c>
      <c r="BY281" s="756">
        <f>'Balance Sheet and Cflow'!$R314</f>
        <v>13128.430665</v>
      </c>
      <c r="BZ281" s="756">
        <f>BY281</f>
        <v>13128.430665</v>
      </c>
      <c r="CA281" s="847">
        <f>'[16]Reported Group Balance Sheet'!AR38</f>
        <v>13071.942865000001</v>
      </c>
      <c r="CB281" s="847">
        <f>'[16]Reported Group Balance Sheet'!AS38</f>
        <v>13071.942865000001</v>
      </c>
      <c r="CC281" s="847">
        <f>'[16]Reported Group Balance Sheet'!AT38</f>
        <v>13071.942865000001</v>
      </c>
      <c r="CD281" s="847">
        <f>'[16]Reported Group Balance Sheet'!AU38</f>
        <v>13071.942865000001</v>
      </c>
      <c r="CE281" s="756">
        <f>CD281</f>
        <v>13071.942865000001</v>
      </c>
      <c r="CF281" s="847">
        <f>'[16]Reported Group Balance Sheet'!AV38</f>
        <v>13071.942865000001</v>
      </c>
      <c r="CG281" s="847">
        <f>'[16]Reported Group Balance Sheet'!AW38</f>
        <v>13071.942865000001</v>
      </c>
      <c r="CH281" s="847">
        <f>'[16]Reported Group Balance Sheet'!AX38</f>
        <v>13071.942865000001</v>
      </c>
      <c r="CI281" s="847">
        <f>'[16]Reported Group Balance Sheet'!AY38</f>
        <v>13071.942865000001</v>
      </c>
      <c r="CJ281" s="756">
        <f>CI281</f>
        <v>13071.942865000001</v>
      </c>
      <c r="CK281" s="847">
        <f>'[16]Reported Group Balance Sheet'!AZ38</f>
        <v>13071.942865000001</v>
      </c>
      <c r="CL281" s="847">
        <f>'[16]Reported Group Balance Sheet'!BA38</f>
        <v>17105.185664000001</v>
      </c>
      <c r="CM281" s="847">
        <f>'[16]Reported Group Balance Sheet'!BB38</f>
        <v>17105.185664000001</v>
      </c>
      <c r="CN281" s="847"/>
      <c r="CO281" s="756">
        <f>'Balance Sheet and Cflow'!V314</f>
        <v>17105</v>
      </c>
      <c r="CP281" s="756">
        <f>'Balance Sheet and Cflow'!W314</f>
        <v>17105</v>
      </c>
      <c r="CQ281" s="756">
        <f>'Balance Sheet and Cflow'!X314</f>
        <v>17105</v>
      </c>
      <c r="CR281" s="756">
        <f>'Balance Sheet and Cflow'!Y314</f>
        <v>17105</v>
      </c>
      <c r="CS281" s="756">
        <f>'Balance Sheet and Cflow'!Z314</f>
        <v>17105</v>
      </c>
      <c r="CT281" s="756">
        <f>'Balance Sheet and Cflow'!AA314</f>
        <v>17105</v>
      </c>
      <c r="DC281" s="759"/>
      <c r="DD281" s="759"/>
      <c r="DE281" s="759"/>
      <c r="DF281" s="759"/>
      <c r="DG281" s="759"/>
      <c r="DH281" s="759"/>
      <c r="DI281" s="759"/>
      <c r="DJ281" s="759"/>
      <c r="DK281" s="759"/>
      <c r="DL281" s="759"/>
      <c r="DM281" s="759"/>
    </row>
    <row r="282" spans="1:146">
      <c r="B282" s="407" t="s">
        <v>711</v>
      </c>
      <c r="C282" s="473">
        <f>C271*1000/'Balance Sheet and Cflow'!$K315</f>
        <v>29.561851134963927</v>
      </c>
      <c r="D282" s="473">
        <f>D271*1000/'Balance Sheet and Cflow'!$K315</f>
        <v>37.656167517156433</v>
      </c>
      <c r="E282" s="473">
        <f>E271*1000/'Balance Sheet and Cflow'!$K315</f>
        <v>38.594638981758457</v>
      </c>
      <c r="F282" s="473">
        <f>F271*1000/'Balance Sheet and Cflow'!$K315</f>
        <v>9.1500967798697879</v>
      </c>
      <c r="G282" s="473">
        <f>G271*1000/'Balance Sheet and Cflow'!$K315</f>
        <v>-87.04322834183823</v>
      </c>
      <c r="H282" s="841">
        <f>H271*1000/'Balance Sheet and Cflow'!$K315</f>
        <v>-1.6423250630535515</v>
      </c>
      <c r="I282" s="841">
        <f>I271*1000/'Balance Sheet and Cflow'!$K315</f>
        <v>-35.77922458795237</v>
      </c>
      <c r="J282" s="841">
        <f>J271*1000/'Balance Sheet and Cflow'!$K315</f>
        <v>118.59933133908147</v>
      </c>
      <c r="K282" s="841">
        <f>K271*1000/'Balance Sheet and Cflow'!$K315</f>
        <v>58.185230805325823</v>
      </c>
      <c r="L282" s="841">
        <f>L271*1000/'Balance Sheet and Cflow'!$K315</f>
        <v>59.534283535691259</v>
      </c>
      <c r="M282" s="841">
        <f>M271*1000/'Balance Sheet and Cflow'!$K315</f>
        <v>200.53962109214621</v>
      </c>
      <c r="N282" s="841">
        <f>N271*1000/'Balance Sheet and Cflow'!$K315</f>
        <v>70.268050912076959</v>
      </c>
      <c r="O282" s="841">
        <f>O271*1000/'Balance Sheet and Cflow'!$K315</f>
        <v>84.697049680333151</v>
      </c>
      <c r="P282" s="841">
        <f>P271*1000/'Balance Sheet and Cflow'!$K315</f>
        <v>89.272098070268058</v>
      </c>
      <c r="Q282" s="841">
        <f>Q271*1000/'Balance Sheet and Cflow'!$K315</f>
        <v>95.020235790955482</v>
      </c>
      <c r="R282" s="841">
        <f>R271*1000/'Balance Sheet and Cflow'!$K315</f>
        <v>339.25743445363366</v>
      </c>
      <c r="S282" s="841">
        <f>S271*1000/'Balance Sheet and Cflow'!$K315</f>
        <v>88.685553404891778</v>
      </c>
      <c r="T282" s="841">
        <f>T271*1000/'Balance Sheet and Cflow'!$K315</f>
        <v>89.975951668719574</v>
      </c>
      <c r="U282" s="841">
        <f>U271*1000/'Balance Sheet and Cflow'!$K315</f>
        <v>77.54120476274268</v>
      </c>
      <c r="V282" s="841">
        <f>V271*1000/'Balance Sheet and Cflow'!$K315</f>
        <v>89.272098070268058</v>
      </c>
      <c r="W282" s="841">
        <f>W271*1000/'Balance Sheet and Cflow'!$K315</f>
        <v>331.98428060296794</v>
      </c>
      <c r="X282" s="841">
        <f>X271*1000/'Balance Sheet and Cflow'!$K315</f>
        <v>78.245058361194211</v>
      </c>
      <c r="Y282" s="841">
        <f>Y271*1000/'Balance Sheet and Cflow'!$K315</f>
        <v>93.143292861751419</v>
      </c>
      <c r="Z282" s="841">
        <f>Z271*1000/'Balance Sheet and Cflow'!$K315</f>
        <v>86.339374743386713</v>
      </c>
      <c r="AA282" s="841">
        <f>AA271*1000/'Balance Sheet and Cflow'!$K315</f>
        <v>61.000645199131917</v>
      </c>
      <c r="AB282" s="841">
        <f>AB271*1000/'Balance Sheet and Cflow'!$K315</f>
        <v>318.72837116546424</v>
      </c>
      <c r="AC282" s="841">
        <f>AC271*1000/'Balance Sheet and Cflow'!$K315</f>
        <v>37.06962285178016</v>
      </c>
      <c r="AD282" s="841">
        <f>AD271*1000/'Balance Sheet and Cflow'!$K315</f>
        <v>41.527362308639802</v>
      </c>
      <c r="AE282" s="841">
        <f>AE271*1000/'Balance Sheet and Cflow'!$K315</f>
        <v>28.857997536512407</v>
      </c>
      <c r="AF282" s="841">
        <f>AF271*1000/'Balance Sheet and Cflow'!$K315</f>
        <v>13.607836236729426</v>
      </c>
      <c r="AG282" s="841">
        <f>AG271*1000/'Balance Sheet and Cflow'!$K315</f>
        <v>121.0628189336618</v>
      </c>
      <c r="AH282" s="841">
        <f>AH271*1000/'Balance Sheet and Cflow'!$K315</f>
        <v>44.577394568596397</v>
      </c>
      <c r="AI282" s="841">
        <f>AI271*1000/'Balance Sheet and Cflow'!$K315</f>
        <v>-101.23760924394392</v>
      </c>
      <c r="AJ282" s="841">
        <f>AJ271*1000/'Balance Sheet and Cflow'!$K315</f>
        <v>-49.152442958531289</v>
      </c>
      <c r="AK282" s="841">
        <f>AK271*1000/'Balance Sheet and Cflow'!$K315</f>
        <v>1.2903982638277904</v>
      </c>
      <c r="AL282" s="841">
        <f>AL271*1000/'Balance Sheet and Cflow'!$K315</f>
        <v>-104.52225937005103</v>
      </c>
      <c r="AM282" s="841">
        <f>AM271*1000/'Balance Sheet and Cflow'!$K315</f>
        <v>-84.227813948032136</v>
      </c>
      <c r="AN282" s="841">
        <f>AN271*1000/'Balance Sheet and Cflow'!$K315</f>
        <v>-15.484779165933485</v>
      </c>
      <c r="AO282" s="841">
        <f>AO271*1000/'Balance Sheet and Cflow'!$K315</f>
        <v>40.236964044812012</v>
      </c>
      <c r="AP282" s="841">
        <f>AP271*1000/'Balance Sheet and Cflow'!$K315</f>
        <v>56.542905742272275</v>
      </c>
      <c r="AQ282" s="841">
        <f>AQ271*1000/'Balance Sheet and Cflow'!$K315</f>
        <v>-2.9327233268813422</v>
      </c>
      <c r="AR282" s="841">
        <f>AR271*1000/'Balance Sheet and Cflow'!$K315</f>
        <v>20.059827555868381</v>
      </c>
      <c r="AS282" s="841">
        <f>AS271*1000/'Balance Sheet and Cflow'!$K315</f>
        <v>6.2173734529884452</v>
      </c>
      <c r="AT282" s="841">
        <f>AT271*1000/'Balance Sheet and Cflow'!$K315</f>
        <v>-7.6250806498914896</v>
      </c>
      <c r="AU282" s="841">
        <f>AU271*1000/'Balance Sheet and Cflow'!$K315</f>
        <v>25.221420611179543</v>
      </c>
      <c r="AV282" s="805">
        <f>AV271*1000/'Balance Sheet and Cflow'!L315</f>
        <v>38.899578761246033</v>
      </c>
      <c r="AW282" s="841">
        <f>AW271*1000/AW281</f>
        <v>4.3038922155688626</v>
      </c>
      <c r="AX282" s="841">
        <f>AX271*1000/AX281</f>
        <v>9.0755988023952092</v>
      </c>
      <c r="AY282" s="841">
        <f>AY271*1000/AY281</f>
        <v>8.8884730538922163</v>
      </c>
      <c r="AZ282" s="848">
        <f>35-AW282-AX282-AY282</f>
        <v>12.732035928143713</v>
      </c>
      <c r="BA282" s="805">
        <f>SUM(AW282:AZ282)</f>
        <v>35</v>
      </c>
      <c r="BB282" s="841">
        <f>BB271*1000/BB281</f>
        <v>1.4970115906122405</v>
      </c>
      <c r="BC282" s="841">
        <f>BC271*1000/BC281</f>
        <v>-8.9820695436734432</v>
      </c>
      <c r="BD282" s="841">
        <f>BD271*1000/BD281</f>
        <v>-5.8009199136224314</v>
      </c>
      <c r="BE282" s="848">
        <f>-308-BB282-BC282-BD282</f>
        <v>-294.7140221333164</v>
      </c>
      <c r="BF282" s="805">
        <f>SUM(BB282:BE282)</f>
        <v>-308.00000000000006</v>
      </c>
      <c r="BG282" s="849">
        <v>5</v>
      </c>
      <c r="BH282" s="849">
        <f>26-BG282</f>
        <v>21</v>
      </c>
      <c r="BI282" s="849">
        <f>47-BG282-BH282</f>
        <v>21</v>
      </c>
      <c r="BJ282" s="849">
        <f>67-BG282-BH282-BI282</f>
        <v>20</v>
      </c>
      <c r="BK282" s="805">
        <f>SUM(BG282:BJ282)</f>
        <v>67</v>
      </c>
      <c r="BL282" s="849">
        <v>142</v>
      </c>
      <c r="BM282" s="849">
        <v>21</v>
      </c>
      <c r="BN282" s="849">
        <f>194-BL282-BM282</f>
        <v>31</v>
      </c>
      <c r="BO282" s="849">
        <f>35-BL282-BM282-BN282</f>
        <v>-159</v>
      </c>
      <c r="BP282" s="805">
        <f>SUM(BL282:BO282)</f>
        <v>35</v>
      </c>
      <c r="BQ282" s="849">
        <v>21</v>
      </c>
      <c r="BR282" s="849">
        <f>67-BQ282</f>
        <v>46</v>
      </c>
      <c r="BS282" s="849">
        <f>BS271*1000/BS281</f>
        <v>27.972888676294929</v>
      </c>
      <c r="BT282" s="849">
        <f>BT271*1000/BT281</f>
        <v>25.344089841459002</v>
      </c>
      <c r="BU282" s="805">
        <f>SUM(BQ282:BT282)</f>
        <v>120.31697851775394</v>
      </c>
      <c r="BV282" s="849">
        <f>BV271*1000/BV281</f>
        <v>10.594716424927705</v>
      </c>
      <c r="BW282" s="849">
        <f t="shared" ref="BW282:CB282" si="1415">BW271*1000/BW281</f>
        <v>36.403437104948139</v>
      </c>
      <c r="BX282" s="849">
        <f t="shared" si="1415"/>
        <v>28.317169773467374</v>
      </c>
      <c r="BY282" s="849">
        <f t="shared" si="1415"/>
        <v>10.086201723486798</v>
      </c>
      <c r="BZ282" s="805">
        <f>SUM(BV282:BY282)</f>
        <v>85.401525026830015</v>
      </c>
      <c r="CA282" s="805">
        <f t="shared" si="1415"/>
        <v>15.619330814754141</v>
      </c>
      <c r="CB282" s="805">
        <f t="shared" si="1415"/>
        <v>34.681072636404913</v>
      </c>
      <c r="CC282" s="805">
        <f t="shared" ref="CC282:CD282" si="1416">CC271*1000/CC281</f>
        <v>27.620913258941165</v>
      </c>
      <c r="CD282" s="805">
        <f t="shared" si="1416"/>
        <v>20.338598687716956</v>
      </c>
      <c r="CE282" s="805">
        <f>SUM(CA282:CD282)</f>
        <v>98.259915397817181</v>
      </c>
      <c r="CF282" s="805">
        <f t="shared" ref="CF282:CG282" si="1417">CF271*1000/CF281</f>
        <v>41.878243016632091</v>
      </c>
      <c r="CG282" s="805">
        <f t="shared" si="1417"/>
        <v>37.464591534534676</v>
      </c>
      <c r="CH282" s="805">
        <f t="shared" ref="CH282:CI282" si="1418">CH271*1000/CH281</f>
        <v>22.779092830742727</v>
      </c>
      <c r="CI282" s="805">
        <f t="shared" si="1418"/>
        <v>39.221331159023535</v>
      </c>
      <c r="CJ282" s="805">
        <f>SUM(CF282:CI282)</f>
        <v>141.34325854093302</v>
      </c>
      <c r="CK282" s="805">
        <f t="shared" ref="CK282:CL282" si="1419">CK271*1000/CK281</f>
        <v>29.699640214882471</v>
      </c>
      <c r="CL282" s="805">
        <f t="shared" si="1419"/>
        <v>-93.948117931402066</v>
      </c>
      <c r="CM282" s="805">
        <f t="shared" ref="CM282" si="1420">CM271*1000/CM281</f>
        <v>-80.492373894410562</v>
      </c>
      <c r="CN282" s="805"/>
      <c r="CO282" s="805">
        <f t="shared" ref="CO282:CT282" si="1421">CO271*1000/CO281</f>
        <v>-133.5418489493571</v>
      </c>
      <c r="CP282" s="805">
        <f t="shared" si="1421"/>
        <v>43.047102525388894</v>
      </c>
      <c r="CQ282" s="805">
        <f t="shared" si="1421"/>
        <v>128.76530431663491</v>
      </c>
      <c r="CR282" s="805">
        <f t="shared" si="1421"/>
        <v>254.89646697331077</v>
      </c>
      <c r="CS282" s="805">
        <f t="shared" si="1421"/>
        <v>325.63961574744917</v>
      </c>
      <c r="CT282" s="805">
        <f t="shared" si="1421"/>
        <v>391.77173910486391</v>
      </c>
      <c r="CU282" s="347"/>
      <c r="CV282" s="1363"/>
      <c r="CW282" s="347"/>
      <c r="CX282" s="347"/>
      <c r="CY282" s="347"/>
      <c r="CZ282" s="347"/>
      <c r="DA282" s="347"/>
      <c r="DC282" s="764"/>
      <c r="DD282" s="883"/>
      <c r="DE282" s="883"/>
      <c r="DF282" s="883"/>
      <c r="DG282" s="883"/>
      <c r="DH282" s="883"/>
      <c r="DI282" s="883"/>
      <c r="DJ282" s="883"/>
      <c r="DK282" s="883"/>
      <c r="DL282" s="883"/>
      <c r="DM282" s="759"/>
    </row>
    <row r="283" spans="1:146">
      <c r="B283" s="407" t="s">
        <v>1497</v>
      </c>
      <c r="C283" s="805">
        <f>C277*1000/C281</f>
        <v>355.43018335684064</v>
      </c>
      <c r="D283" s="805">
        <f t="shared" ref="D283:BO283" si="1422">D277*1000/D281</f>
        <v>452.75035260930889</v>
      </c>
      <c r="E283" s="805">
        <f t="shared" si="1422"/>
        <v>386.69487541137755</v>
      </c>
      <c r="F283" s="805">
        <f t="shared" si="1422"/>
        <v>91.67842031029619</v>
      </c>
      <c r="G283" s="805">
        <f t="shared" si="1422"/>
        <v>-872.12035731076639</v>
      </c>
      <c r="H283" s="805">
        <f t="shared" si="1422"/>
        <v>-1.9746121297602257</v>
      </c>
      <c r="I283" s="805" t="e">
        <f t="shared" si="1422"/>
        <v>#DIV/0!</v>
      </c>
      <c r="J283" s="805" t="e">
        <f t="shared" si="1422"/>
        <v>#DIV/0!</v>
      </c>
      <c r="K283" s="805" t="e">
        <f t="shared" si="1422"/>
        <v>#DIV/0!</v>
      </c>
      <c r="L283" s="805" t="e">
        <f t="shared" si="1422"/>
        <v>#DIV/0!</v>
      </c>
      <c r="M283" s="805">
        <f t="shared" si="1422"/>
        <v>212.14941672871683</v>
      </c>
      <c r="N283" s="805" t="e">
        <f t="shared" si="1422"/>
        <v>#DIV/0!</v>
      </c>
      <c r="O283" s="805" t="e">
        <f t="shared" si="1422"/>
        <v>#DIV/0!</v>
      </c>
      <c r="P283" s="805" t="e">
        <f t="shared" si="1422"/>
        <v>#DIV/0!</v>
      </c>
      <c r="Q283" s="805" t="e">
        <f t="shared" si="1422"/>
        <v>#DIV/0!</v>
      </c>
      <c r="R283" s="805">
        <f t="shared" si="1422"/>
        <v>358.89798957557707</v>
      </c>
      <c r="S283" s="805">
        <f t="shared" si="1422"/>
        <v>975.48387096774195</v>
      </c>
      <c r="T283" s="805">
        <f t="shared" si="1422"/>
        <v>989.67741935483866</v>
      </c>
      <c r="U283" s="805">
        <f t="shared" si="1422"/>
        <v>85.290322580645167</v>
      </c>
      <c r="V283" s="805">
        <f t="shared" si="1422"/>
        <v>98.193548387096769</v>
      </c>
      <c r="W283" s="805">
        <f t="shared" si="1422"/>
        <v>351.20377264829983</v>
      </c>
      <c r="X283" s="805">
        <f t="shared" si="1422"/>
        <v>82.774882104740627</v>
      </c>
      <c r="Y283" s="805">
        <f t="shared" si="1422"/>
        <v>98.535616778356911</v>
      </c>
      <c r="Z283" s="805">
        <f t="shared" si="1422"/>
        <v>91.33780094316208</v>
      </c>
      <c r="AA283" s="805">
        <f t="shared" si="1422"/>
        <v>64.532141970712331</v>
      </c>
      <c r="AB283" s="805">
        <f t="shared" si="1422"/>
        <v>337.18044179697193</v>
      </c>
      <c r="AC283" s="805">
        <f t="shared" si="1422"/>
        <v>39.215686274509807</v>
      </c>
      <c r="AD283" s="805">
        <f t="shared" si="1422"/>
        <v>43.931496649292626</v>
      </c>
      <c r="AE283" s="805">
        <f t="shared" si="1422"/>
        <v>30.528667163067759</v>
      </c>
      <c r="AF283" s="805">
        <f t="shared" si="1422"/>
        <v>14.395631670389674</v>
      </c>
      <c r="AG283" s="805">
        <f t="shared" si="1422"/>
        <v>128.07148175725987</v>
      </c>
      <c r="AH283" s="805">
        <f t="shared" si="1422"/>
        <v>47.158103747828243</v>
      </c>
      <c r="AI283" s="805">
        <f t="shared" si="1422"/>
        <v>-107.09853561677836</v>
      </c>
      <c r="AJ283" s="805">
        <f t="shared" si="1422"/>
        <v>-51.998014395631671</v>
      </c>
      <c r="AK283" s="805">
        <f t="shared" si="1422"/>
        <v>1.3651030032266072</v>
      </c>
      <c r="AL283" s="805">
        <f t="shared" si="1422"/>
        <v>-110.57334326135518</v>
      </c>
      <c r="AM283" s="805">
        <f t="shared" si="1422"/>
        <v>-4.2194092827004219</v>
      </c>
      <c r="AN283" s="805">
        <f t="shared" si="1422"/>
        <v>14.643832216430877</v>
      </c>
      <c r="AO283" s="805">
        <f t="shared" si="1422"/>
        <v>42.814594192107222</v>
      </c>
      <c r="AP283" s="805">
        <f t="shared" si="1422"/>
        <v>59.69223132290891</v>
      </c>
      <c r="AQ283" s="805">
        <f t="shared" si="1422"/>
        <v>-2.9270577215782696</v>
      </c>
      <c r="AR283" s="805">
        <f t="shared" si="1422"/>
        <v>21.221146686522712</v>
      </c>
      <c r="AS283" s="805">
        <f t="shared" si="1422"/>
        <v>6.7014147431124345</v>
      </c>
      <c r="AT283" s="805">
        <f t="shared" si="1422"/>
        <v>-6.081586826347305</v>
      </c>
      <c r="AU283" s="805">
        <f t="shared" si="1422"/>
        <v>20.022455089820358</v>
      </c>
      <c r="AV283" s="805">
        <f t="shared" si="1422"/>
        <v>-19.554640718562876</v>
      </c>
      <c r="AW283" s="805">
        <f t="shared" si="1422"/>
        <v>4.3038922155688626</v>
      </c>
      <c r="AX283" s="805">
        <f t="shared" si="1422"/>
        <v>9.0755988023952092</v>
      </c>
      <c r="AY283" s="805">
        <f t="shared" si="1422"/>
        <v>8.8884730538922163</v>
      </c>
      <c r="AZ283" s="805">
        <f t="shared" si="1422"/>
        <v>12.81811377245509</v>
      </c>
      <c r="BA283" s="805">
        <f t="shared" si="1422"/>
        <v>35.086077844311376</v>
      </c>
      <c r="BB283" s="805">
        <f t="shared" si="1422"/>
        <v>1.4034483661989754</v>
      </c>
      <c r="BC283" s="805">
        <f t="shared" si="1422"/>
        <v>-9.0756327680867077</v>
      </c>
      <c r="BD283" s="805">
        <f t="shared" si="1422"/>
        <v>-5.9880463624489622</v>
      </c>
      <c r="BE283" s="805">
        <f t="shared" si="1422"/>
        <v>-294.91128335061137</v>
      </c>
      <c r="BF283" s="805">
        <f t="shared" si="1422"/>
        <v>-308.57151411494806</v>
      </c>
      <c r="BG283" s="805">
        <f t="shared" si="1422"/>
        <v>5.3331037915561064</v>
      </c>
      <c r="BH283" s="805">
        <f t="shared" si="1422"/>
        <v>21.05172549298463</v>
      </c>
      <c r="BI283" s="805">
        <f t="shared" si="1422"/>
        <v>20.209656473265245</v>
      </c>
      <c r="BJ283" s="805">
        <f t="shared" si="1422"/>
        <v>20.022530024438716</v>
      </c>
      <c r="BK283" s="805">
        <f t="shared" si="1422"/>
        <v>66.617015782244692</v>
      </c>
      <c r="BL283" s="805">
        <f t="shared" si="1422"/>
        <v>5.4175178241006687</v>
      </c>
      <c r="BM283" s="805">
        <f t="shared" si="1422"/>
        <v>11.582279486008327</v>
      </c>
      <c r="BN283" s="805">
        <f t="shared" si="1422"/>
        <v>5.4175178241006687</v>
      </c>
      <c r="BO283" s="805">
        <f t="shared" si="1422"/>
        <v>11.582279486008327</v>
      </c>
      <c r="BP283" s="805">
        <f t="shared" ref="BP283:CL283" si="1423">BP277*1000/BP281</f>
        <v>33.999594620217991</v>
      </c>
      <c r="BQ283" s="805">
        <f t="shared" si="1423"/>
        <v>21.445881318492784</v>
      </c>
      <c r="BR283" s="805">
        <f t="shared" si="1423"/>
        <v>31.049906430687379</v>
      </c>
      <c r="BS283" s="805">
        <f t="shared" si="1423"/>
        <v>25.362085733174073</v>
      </c>
      <c r="BT283" s="805">
        <f t="shared" si="1423"/>
        <v>25.082356846411123</v>
      </c>
      <c r="BU283" s="805">
        <f t="shared" si="1423"/>
        <v>102.94023032876537</v>
      </c>
      <c r="BV283" s="805">
        <f t="shared" si="1423"/>
        <v>13.025166858357323</v>
      </c>
      <c r="BW283" s="805">
        <f t="shared" si="1423"/>
        <v>33.972072624721442</v>
      </c>
      <c r="BX283" s="805">
        <f t="shared" si="1423"/>
        <v>28.31716977346737</v>
      </c>
      <c r="BY283" s="805">
        <f t="shared" si="1423"/>
        <v>10.086201723486806</v>
      </c>
      <c r="BZ283" s="805">
        <f t="shared" si="1423"/>
        <v>85.400610980032951</v>
      </c>
      <c r="CA283" s="805">
        <f t="shared" si="1423"/>
        <v>15.619330814754138</v>
      </c>
      <c r="CB283" s="805">
        <f t="shared" si="1423"/>
        <v>34.681072636404913</v>
      </c>
      <c r="CC283" s="805">
        <f t="shared" si="1423"/>
        <v>27.620913258941165</v>
      </c>
      <c r="CD283" s="805">
        <f t="shared" si="1423"/>
        <v>20.042927260759566</v>
      </c>
      <c r="CE283" s="805">
        <f t="shared" si="1423"/>
        <v>97.964243970859769</v>
      </c>
      <c r="CF283" s="805">
        <f t="shared" si="1423"/>
        <v>41.878243016632091</v>
      </c>
      <c r="CG283" s="805">
        <f t="shared" si="1423"/>
        <v>37.464591534534676</v>
      </c>
      <c r="CH283" s="805">
        <f t="shared" si="1423"/>
        <v>23.102916155532018</v>
      </c>
      <c r="CI283" s="805">
        <f t="shared" si="1423"/>
        <v>39.244357575456704</v>
      </c>
      <c r="CJ283" s="805">
        <f t="shared" si="1423"/>
        <v>141.69010828215548</v>
      </c>
      <c r="CK283" s="805">
        <f t="shared" si="1423"/>
        <v>29.699640214882471</v>
      </c>
      <c r="CL283" s="805">
        <f t="shared" si="1423"/>
        <v>17.830850011871579</v>
      </c>
      <c r="CM283" s="805">
        <f t="shared" ref="CM283" si="1424">CM277*1000/CM281</f>
        <v>67.464921028523946</v>
      </c>
      <c r="CN283" s="805"/>
      <c r="CO283" s="805">
        <f t="shared" ref="CO283:CT283" si="1425">CO277*1000/CO281</f>
        <v>71.076683643452014</v>
      </c>
      <c r="CP283" s="805">
        <f t="shared" si="1425"/>
        <v>101.50954040904864</v>
      </c>
      <c r="CQ283" s="805">
        <f t="shared" si="1425"/>
        <v>172.61213272937971</v>
      </c>
      <c r="CR283" s="805">
        <f t="shared" si="1425"/>
        <v>254.89646697331077</v>
      </c>
      <c r="CS283" s="805">
        <f t="shared" si="1425"/>
        <v>325.63961574744917</v>
      </c>
      <c r="CT283" s="805">
        <f t="shared" si="1425"/>
        <v>391.77173910486391</v>
      </c>
      <c r="CU283" s="347"/>
      <c r="CV283" s="1363"/>
      <c r="CW283" s="347"/>
      <c r="CX283" s="347"/>
      <c r="CY283" s="347"/>
      <c r="CZ283" s="347"/>
      <c r="DA283" s="347"/>
      <c r="DC283" s="764"/>
      <c r="DD283" s="883"/>
      <c r="DE283" s="883"/>
      <c r="DF283" s="883"/>
      <c r="DG283" s="883"/>
      <c r="DH283" s="883"/>
      <c r="DI283" s="883"/>
      <c r="DJ283" s="883"/>
      <c r="DK283" s="883"/>
      <c r="DL283" s="883"/>
      <c r="DM283" s="759"/>
    </row>
    <row r="284" spans="1:146" s="411" customFormat="1">
      <c r="A284" s="886"/>
      <c r="B284" s="533" t="s">
        <v>722</v>
      </c>
      <c r="C284" s="1012">
        <v>9.4700000000000006</v>
      </c>
      <c r="D284" s="473"/>
      <c r="E284" s="473"/>
      <c r="F284" s="473"/>
      <c r="G284" s="473"/>
      <c r="H284" s="1013">
        <v>20</v>
      </c>
      <c r="I284" s="841"/>
      <c r="J284" s="841"/>
      <c r="K284" s="841"/>
      <c r="L284" s="841"/>
      <c r="M284" s="1013">
        <v>0</v>
      </c>
      <c r="N284" s="841"/>
      <c r="O284" s="841"/>
      <c r="P284" s="841"/>
      <c r="Q284" s="841"/>
      <c r="R284" s="1013">
        <v>107</v>
      </c>
      <c r="S284" s="841"/>
      <c r="T284" s="841"/>
      <c r="U284" s="841"/>
      <c r="V284" s="841"/>
      <c r="W284" s="1013">
        <v>129.88</v>
      </c>
      <c r="X284" s="841"/>
      <c r="Y284" s="841"/>
      <c r="Z284" s="841"/>
      <c r="AA284" s="841"/>
      <c r="AB284" s="1013">
        <v>135</v>
      </c>
      <c r="AC284" s="841"/>
      <c r="AD284" s="841"/>
      <c r="AE284" s="841"/>
      <c r="AF284" s="841"/>
      <c r="AG284" s="1013">
        <v>65</v>
      </c>
      <c r="AH284" s="841"/>
      <c r="AI284" s="841"/>
      <c r="AJ284" s="841"/>
      <c r="AK284" s="841"/>
      <c r="AL284" s="1013">
        <v>0</v>
      </c>
      <c r="AM284" s="841"/>
      <c r="AN284" s="841"/>
      <c r="AO284" s="841"/>
      <c r="AP284" s="841"/>
      <c r="AQ284" s="1013">
        <v>0</v>
      </c>
      <c r="AR284" s="841"/>
      <c r="AS284" s="841"/>
      <c r="AT284" s="841"/>
      <c r="AU284" s="841"/>
      <c r="AV284" s="1013">
        <v>0</v>
      </c>
      <c r="AW284" s="841"/>
      <c r="AX284" s="841"/>
      <c r="AY284" s="841"/>
      <c r="AZ284" s="841"/>
      <c r="BA284" s="1013">
        <v>0</v>
      </c>
      <c r="BB284" s="841"/>
      <c r="BC284" s="841"/>
      <c r="BD284" s="841"/>
      <c r="BE284" s="841"/>
      <c r="BF284" s="1013">
        <v>0</v>
      </c>
      <c r="BG284" s="820"/>
      <c r="BH284" s="820"/>
      <c r="BI284" s="820"/>
      <c r="BJ284" s="820"/>
      <c r="BK284" s="1013">
        <v>20</v>
      </c>
      <c r="BL284" s="820"/>
      <c r="BM284" s="820"/>
      <c r="BN284" s="820"/>
      <c r="BO284" s="820"/>
      <c r="BP284" s="1013">
        <v>31.7</v>
      </c>
      <c r="BQ284" s="820"/>
      <c r="BR284" s="820"/>
      <c r="BS284" s="820"/>
      <c r="BT284" s="820"/>
      <c r="BU284" s="1013">
        <v>51</v>
      </c>
      <c r="BV284" s="820"/>
      <c r="BW284" s="820"/>
      <c r="BX284" s="820"/>
      <c r="BY284" s="820"/>
      <c r="BZ284" s="1013">
        <v>42</v>
      </c>
      <c r="CA284" s="820"/>
      <c r="CB284" s="820"/>
      <c r="CC284" s="820"/>
      <c r="CD284" s="820"/>
      <c r="CE284" s="1013">
        <v>48.6</v>
      </c>
      <c r="CF284" s="820"/>
      <c r="CG284" s="820"/>
      <c r="CH284" s="820"/>
      <c r="CI284" s="820"/>
      <c r="CJ284" s="1013">
        <v>85.7</v>
      </c>
      <c r="CK284" s="820"/>
      <c r="CL284" s="820"/>
      <c r="CM284" s="820"/>
      <c r="CN284" s="820"/>
      <c r="CO284" s="820">
        <f>MAX(0,CO282*CO285)</f>
        <v>0</v>
      </c>
      <c r="CP284" s="820">
        <f t="shared" ref="CP284:CT284" si="1426">MAX(0,CP282*CP285)</f>
        <v>0</v>
      </c>
      <c r="CQ284" s="820">
        <f t="shared" si="1426"/>
        <v>64.382652158317455</v>
      </c>
      <c r="CR284" s="820">
        <f t="shared" si="1426"/>
        <v>127.44823348665538</v>
      </c>
      <c r="CS284" s="820">
        <f t="shared" si="1426"/>
        <v>162.81980787372459</v>
      </c>
      <c r="CT284" s="820">
        <f t="shared" si="1426"/>
        <v>195.88586955243196</v>
      </c>
      <c r="CV284" s="1376"/>
      <c r="DC284" s="1314"/>
      <c r="DD284" s="1315"/>
      <c r="DE284" s="1315"/>
      <c r="DF284" s="1315"/>
      <c r="DG284" s="1315"/>
      <c r="DH284" s="1315"/>
      <c r="DI284" s="1315"/>
      <c r="DJ284" s="1316"/>
      <c r="DK284" s="1316"/>
      <c r="DL284" s="1316"/>
      <c r="DM284" s="886"/>
    </row>
    <row r="285" spans="1:146" s="356" customFormat="1">
      <c r="A285" s="794"/>
      <c r="B285" s="554" t="s">
        <v>278</v>
      </c>
      <c r="C285" s="353">
        <f t="shared" ref="C285:AH285" si="1427">C284/C282</f>
        <v>0.32034529761904762</v>
      </c>
      <c r="D285" s="353">
        <f t="shared" si="1427"/>
        <v>0</v>
      </c>
      <c r="E285" s="353">
        <f t="shared" si="1427"/>
        <v>0</v>
      </c>
      <c r="F285" s="353">
        <f t="shared" si="1427"/>
        <v>0</v>
      </c>
      <c r="G285" s="353">
        <f t="shared" si="1427"/>
        <v>0</v>
      </c>
      <c r="H285" s="353">
        <f t="shared" si="1427"/>
        <v>-12.177857142857142</v>
      </c>
      <c r="I285" s="353">
        <f t="shared" si="1427"/>
        <v>0</v>
      </c>
      <c r="J285" s="353">
        <f t="shared" si="1427"/>
        <v>0</v>
      </c>
      <c r="K285" s="353">
        <f t="shared" si="1427"/>
        <v>0</v>
      </c>
      <c r="L285" s="353">
        <f t="shared" si="1427"/>
        <v>0</v>
      </c>
      <c r="M285" s="353">
        <f t="shared" si="1427"/>
        <v>0</v>
      </c>
      <c r="N285" s="353">
        <f t="shared" si="1427"/>
        <v>0</v>
      </c>
      <c r="O285" s="353">
        <f t="shared" si="1427"/>
        <v>0</v>
      </c>
      <c r="P285" s="353">
        <f t="shared" si="1427"/>
        <v>0</v>
      </c>
      <c r="Q285" s="353">
        <f t="shared" si="1427"/>
        <v>0</v>
      </c>
      <c r="R285" s="353">
        <f t="shared" si="1427"/>
        <v>0.31539470954356846</v>
      </c>
      <c r="S285" s="353">
        <f t="shared" si="1427"/>
        <v>0</v>
      </c>
      <c r="T285" s="353">
        <f t="shared" si="1427"/>
        <v>0</v>
      </c>
      <c r="U285" s="353">
        <f t="shared" si="1427"/>
        <v>0</v>
      </c>
      <c r="V285" s="353">
        <f t="shared" si="1427"/>
        <v>0</v>
      </c>
      <c r="W285" s="353">
        <f t="shared" si="1427"/>
        <v>0.3912233427561837</v>
      </c>
      <c r="X285" s="353">
        <f t="shared" si="1427"/>
        <v>0</v>
      </c>
      <c r="Y285" s="353">
        <f t="shared" si="1427"/>
        <v>0</v>
      </c>
      <c r="Z285" s="353">
        <f t="shared" si="1427"/>
        <v>0</v>
      </c>
      <c r="AA285" s="353">
        <f t="shared" si="1427"/>
        <v>0</v>
      </c>
      <c r="AB285" s="353">
        <f t="shared" si="1427"/>
        <v>0.42355815237394184</v>
      </c>
      <c r="AC285" s="353">
        <f t="shared" si="1427"/>
        <v>0</v>
      </c>
      <c r="AD285" s="353">
        <f t="shared" si="1427"/>
        <v>0</v>
      </c>
      <c r="AE285" s="353">
        <f t="shared" si="1427"/>
        <v>0</v>
      </c>
      <c r="AF285" s="353">
        <f t="shared" si="1427"/>
        <v>0</v>
      </c>
      <c r="AG285" s="353">
        <f t="shared" si="1427"/>
        <v>0.53691133720930229</v>
      </c>
      <c r="AH285" s="353">
        <f t="shared" si="1427"/>
        <v>0</v>
      </c>
      <c r="AI285" s="353">
        <f t="shared" ref="AI285:BN285" si="1428">AI284/AI282</f>
        <v>0</v>
      </c>
      <c r="AJ285" s="353">
        <f t="shared" si="1428"/>
        <v>0</v>
      </c>
      <c r="AK285" s="353">
        <f t="shared" si="1428"/>
        <v>0</v>
      </c>
      <c r="AL285" s="353">
        <f t="shared" si="1428"/>
        <v>0</v>
      </c>
      <c r="AM285" s="353">
        <f t="shared" si="1428"/>
        <v>0</v>
      </c>
      <c r="AN285" s="353">
        <f t="shared" si="1428"/>
        <v>0</v>
      </c>
      <c r="AO285" s="353">
        <f t="shared" si="1428"/>
        <v>0</v>
      </c>
      <c r="AP285" s="353">
        <f t="shared" si="1428"/>
        <v>0</v>
      </c>
      <c r="AQ285" s="353">
        <f t="shared" si="1428"/>
        <v>0</v>
      </c>
      <c r="AR285" s="353">
        <f t="shared" si="1428"/>
        <v>0</v>
      </c>
      <c r="AS285" s="353">
        <f t="shared" si="1428"/>
        <v>0</v>
      </c>
      <c r="AT285" s="353">
        <f t="shared" si="1428"/>
        <v>0</v>
      </c>
      <c r="AU285" s="353">
        <f t="shared" si="1428"/>
        <v>0</v>
      </c>
      <c r="AV285" s="353">
        <f t="shared" si="1428"/>
        <v>0</v>
      </c>
      <c r="AW285" s="353">
        <f t="shared" si="1428"/>
        <v>0</v>
      </c>
      <c r="AX285" s="353">
        <f t="shared" si="1428"/>
        <v>0</v>
      </c>
      <c r="AY285" s="353">
        <f t="shared" si="1428"/>
        <v>0</v>
      </c>
      <c r="AZ285" s="353">
        <f t="shared" si="1428"/>
        <v>0</v>
      </c>
      <c r="BA285" s="353">
        <f t="shared" si="1428"/>
        <v>0</v>
      </c>
      <c r="BB285" s="353">
        <f t="shared" si="1428"/>
        <v>0</v>
      </c>
      <c r="BC285" s="353">
        <f t="shared" si="1428"/>
        <v>0</v>
      </c>
      <c r="BD285" s="353">
        <f t="shared" si="1428"/>
        <v>0</v>
      </c>
      <c r="BE285" s="353">
        <f t="shared" si="1428"/>
        <v>0</v>
      </c>
      <c r="BF285" s="353">
        <f t="shared" si="1428"/>
        <v>0</v>
      </c>
      <c r="BG285" s="353">
        <f t="shared" si="1428"/>
        <v>0</v>
      </c>
      <c r="BH285" s="353">
        <f t="shared" si="1428"/>
        <v>0</v>
      </c>
      <c r="BI285" s="353">
        <f t="shared" si="1428"/>
        <v>0</v>
      </c>
      <c r="BJ285" s="353">
        <f t="shared" si="1428"/>
        <v>0</v>
      </c>
      <c r="BK285" s="353">
        <f t="shared" si="1428"/>
        <v>0.29850746268656714</v>
      </c>
      <c r="BL285" s="353">
        <f t="shared" si="1428"/>
        <v>0</v>
      </c>
      <c r="BM285" s="353">
        <f t="shared" si="1428"/>
        <v>0</v>
      </c>
      <c r="BN285" s="353">
        <f t="shared" si="1428"/>
        <v>0</v>
      </c>
      <c r="BO285" s="353">
        <f t="shared" ref="BO285:BZ285" si="1429">BO284/BO282</f>
        <v>0</v>
      </c>
      <c r="BP285" s="353">
        <f t="shared" si="1429"/>
        <v>0.90571428571428569</v>
      </c>
      <c r="BQ285" s="353">
        <f t="shared" si="1429"/>
        <v>0</v>
      </c>
      <c r="BR285" s="353">
        <f t="shared" si="1429"/>
        <v>0</v>
      </c>
      <c r="BS285" s="353">
        <f t="shared" si="1429"/>
        <v>0</v>
      </c>
      <c r="BT285" s="353">
        <f t="shared" si="1429"/>
        <v>0</v>
      </c>
      <c r="BU285" s="353">
        <f t="shared" si="1429"/>
        <v>0.42388032535636239</v>
      </c>
      <c r="BV285" s="353">
        <f t="shared" si="1429"/>
        <v>0</v>
      </c>
      <c r="BW285" s="353">
        <f t="shared" si="1429"/>
        <v>0</v>
      </c>
      <c r="BX285" s="353">
        <f t="shared" si="1429"/>
        <v>0</v>
      </c>
      <c r="BY285" s="353">
        <f t="shared" si="1429"/>
        <v>0</v>
      </c>
      <c r="BZ285" s="353">
        <f t="shared" si="1429"/>
        <v>0.49179449648943796</v>
      </c>
      <c r="CA285" s="353">
        <f t="shared" ref="CA285:CG285" si="1430">CA284/CA282</f>
        <v>0</v>
      </c>
      <c r="CB285" s="353">
        <f t="shared" si="1430"/>
        <v>0</v>
      </c>
      <c r="CC285" s="353">
        <f t="shared" si="1430"/>
        <v>0</v>
      </c>
      <c r="CD285" s="353">
        <f t="shared" si="1430"/>
        <v>0</v>
      </c>
      <c r="CE285" s="353">
        <f t="shared" si="1430"/>
        <v>0.49460657281493686</v>
      </c>
      <c r="CF285" s="353">
        <f t="shared" si="1430"/>
        <v>0</v>
      </c>
      <c r="CG285" s="353">
        <f t="shared" si="1430"/>
        <v>0</v>
      </c>
      <c r="CH285" s="353">
        <f t="shared" ref="CH285:CK285" si="1431">CH284/CH282</f>
        <v>0</v>
      </c>
      <c r="CI285" s="353">
        <f t="shared" si="1431"/>
        <v>0</v>
      </c>
      <c r="CJ285" s="353">
        <f t="shared" si="1431"/>
        <v>0.60632534501234292</v>
      </c>
      <c r="CK285" s="353">
        <f t="shared" si="1431"/>
        <v>0</v>
      </c>
      <c r="CL285" s="353">
        <f t="shared" ref="CL285" si="1432">CL284/CL282</f>
        <v>0</v>
      </c>
      <c r="CM285" s="353">
        <f t="shared" ref="CM285" si="1433">CM284/CM282</f>
        <v>0</v>
      </c>
      <c r="CN285" s="353"/>
      <c r="CO285" s="228">
        <v>0</v>
      </c>
      <c r="CP285" s="228">
        <v>0</v>
      </c>
      <c r="CQ285" s="228">
        <v>0.5</v>
      </c>
      <c r="CR285" s="228">
        <v>0.5</v>
      </c>
      <c r="CS285" s="228">
        <v>0.5</v>
      </c>
      <c r="CT285" s="228">
        <v>0.5</v>
      </c>
      <c r="CV285" s="1366"/>
      <c r="DC285" s="1317"/>
      <c r="DD285" s="883"/>
      <c r="DE285" s="883"/>
      <c r="DF285" s="883"/>
      <c r="DG285" s="883"/>
      <c r="DH285" s="883"/>
      <c r="DI285" s="883"/>
      <c r="DJ285" s="883"/>
      <c r="DK285" s="883"/>
      <c r="DL285" s="883"/>
      <c r="DM285" s="794"/>
    </row>
    <row r="286" spans="1:146">
      <c r="B286" s="457"/>
      <c r="C286" s="431"/>
      <c r="D286" s="431"/>
      <c r="E286" s="431"/>
      <c r="F286" s="431"/>
      <c r="G286" s="431"/>
      <c r="H286" s="431"/>
      <c r="I286" s="431"/>
      <c r="J286" s="431"/>
      <c r="K286" s="431"/>
      <c r="L286" s="431"/>
      <c r="M286" s="431"/>
      <c r="N286" s="431"/>
      <c r="O286" s="431"/>
      <c r="P286" s="431"/>
      <c r="Q286" s="431"/>
      <c r="R286" s="431"/>
      <c r="S286" s="431"/>
      <c r="T286" s="431"/>
      <c r="U286" s="431"/>
      <c r="V286" s="431"/>
      <c r="W286" s="431"/>
      <c r="X286" s="431"/>
      <c r="Y286" s="431"/>
      <c r="Z286" s="431"/>
      <c r="AA286" s="431"/>
      <c r="AB286" s="431"/>
      <c r="AC286" s="431"/>
      <c r="AD286" s="431"/>
      <c r="AE286" s="431"/>
      <c r="AF286" s="431"/>
      <c r="AG286" s="431"/>
      <c r="AH286" s="431"/>
      <c r="AI286" s="431"/>
      <c r="AJ286" s="431"/>
      <c r="AK286" s="431"/>
      <c r="AL286" s="431"/>
      <c r="AM286" s="431"/>
      <c r="AN286" s="431"/>
      <c r="AO286" s="431"/>
      <c r="AP286" s="431"/>
      <c r="AQ286" s="431"/>
      <c r="AR286" s="431"/>
      <c r="AS286" s="431"/>
      <c r="AT286" s="431"/>
      <c r="AU286" s="431"/>
      <c r="AV286" s="431"/>
      <c r="AW286" s="431"/>
      <c r="AX286" s="431"/>
      <c r="AY286" s="458"/>
      <c r="AZ286" s="458"/>
      <c r="BA286" s="431"/>
      <c r="BB286" s="431"/>
      <c r="BC286" s="431"/>
      <c r="BD286" s="431"/>
      <c r="BE286" s="458"/>
      <c r="BF286" s="431"/>
      <c r="BG286" s="431"/>
      <c r="BH286" s="431"/>
      <c r="BI286" s="431"/>
      <c r="BJ286" s="431"/>
      <c r="BK286" s="431"/>
      <c r="BL286" s="431"/>
      <c r="BM286" s="431"/>
      <c r="BN286" s="431"/>
      <c r="BO286" s="431"/>
      <c r="BP286" s="431"/>
      <c r="BQ286" s="431"/>
      <c r="BR286" s="431"/>
      <c r="BS286" s="431"/>
      <c r="BT286" s="431"/>
      <c r="BU286" s="431"/>
      <c r="BV286" s="431"/>
      <c r="BW286" s="431"/>
      <c r="BX286" s="431"/>
      <c r="BY286" s="431"/>
      <c r="BZ286" s="431"/>
      <c r="CA286" s="431"/>
      <c r="CB286" s="431"/>
      <c r="CC286" s="431"/>
      <c r="CD286" s="431"/>
      <c r="CE286" s="431"/>
      <c r="CF286" s="431"/>
      <c r="CG286" s="431"/>
      <c r="CH286" s="431"/>
      <c r="CI286" s="431"/>
      <c r="CJ286" s="431"/>
      <c r="CK286" s="431"/>
      <c r="CL286" s="431"/>
      <c r="CM286" s="431"/>
      <c r="CN286" s="431"/>
      <c r="CO286" s="431"/>
      <c r="CP286" s="431"/>
      <c r="CQ286" s="431"/>
      <c r="CR286" s="431"/>
      <c r="CS286" s="431"/>
      <c r="CT286" s="431"/>
      <c r="CU286" s="347"/>
      <c r="CV286" s="1363"/>
      <c r="CW286" s="347"/>
      <c r="CX286" s="347"/>
      <c r="CZ286" s="354"/>
      <c r="DA286" s="354"/>
      <c r="DB286" s="354"/>
      <c r="DC286" s="882"/>
      <c r="DD286" s="882"/>
      <c r="DE286" s="882"/>
      <c r="DF286" s="759"/>
      <c r="DG286" s="759"/>
      <c r="DH286" s="759"/>
      <c r="DI286" s="759"/>
      <c r="DJ286" s="759"/>
      <c r="DK286" s="759"/>
      <c r="DL286" s="759"/>
      <c r="DM286" s="759"/>
    </row>
    <row r="287" spans="1:146">
      <c r="A287" s="759" t="s">
        <v>615</v>
      </c>
      <c r="B287" s="350" t="s">
        <v>254</v>
      </c>
      <c r="C287" s="1325">
        <f t="shared" ref="C287:AH287" si="1434">C2</f>
        <v>2007</v>
      </c>
      <c r="D287" s="1325" t="str">
        <f t="shared" si="1434"/>
        <v>Q1</v>
      </c>
      <c r="E287" s="1325" t="str">
        <f t="shared" si="1434"/>
        <v>Q2</v>
      </c>
      <c r="F287" s="1325" t="str">
        <f t="shared" si="1434"/>
        <v>Q3</v>
      </c>
      <c r="G287" s="1325" t="str">
        <f t="shared" si="1434"/>
        <v>Q4</v>
      </c>
      <c r="H287" s="1325">
        <f t="shared" si="1434"/>
        <v>2008</v>
      </c>
      <c r="I287" s="1325" t="str">
        <f t="shared" si="1434"/>
        <v>Q1</v>
      </c>
      <c r="J287" s="1325" t="str">
        <f t="shared" si="1434"/>
        <v>Q2</v>
      </c>
      <c r="K287" s="1325" t="str">
        <f t="shared" si="1434"/>
        <v>Q3</v>
      </c>
      <c r="L287" s="1325" t="str">
        <f t="shared" si="1434"/>
        <v>Q4</v>
      </c>
      <c r="M287" s="1325">
        <f t="shared" si="1434"/>
        <v>2009</v>
      </c>
      <c r="N287" s="1325" t="str">
        <f t="shared" si="1434"/>
        <v>Q1</v>
      </c>
      <c r="O287" s="1325" t="str">
        <f t="shared" si="1434"/>
        <v>Q2</v>
      </c>
      <c r="P287" s="1325" t="str">
        <f t="shared" si="1434"/>
        <v>Q3</v>
      </c>
      <c r="Q287" s="1325" t="str">
        <f t="shared" si="1434"/>
        <v>Q4</v>
      </c>
      <c r="R287" s="1325">
        <f t="shared" si="1434"/>
        <v>2010</v>
      </c>
      <c r="S287" s="1325" t="str">
        <f t="shared" si="1434"/>
        <v>Q1</v>
      </c>
      <c r="T287" s="1325" t="str">
        <f t="shared" si="1434"/>
        <v>Q2</v>
      </c>
      <c r="U287" s="1325" t="str">
        <f t="shared" si="1434"/>
        <v>Q3</v>
      </c>
      <c r="V287" s="1325" t="str">
        <f t="shared" si="1434"/>
        <v>Q4</v>
      </c>
      <c r="W287" s="1325">
        <f t="shared" si="1434"/>
        <v>2011</v>
      </c>
      <c r="X287" s="1325" t="str">
        <f t="shared" si="1434"/>
        <v>Q1</v>
      </c>
      <c r="Y287" s="1325" t="str">
        <f t="shared" si="1434"/>
        <v>Q2</v>
      </c>
      <c r="Z287" s="1325" t="str">
        <f t="shared" si="1434"/>
        <v>Q3</v>
      </c>
      <c r="AA287" s="1325" t="str">
        <f t="shared" si="1434"/>
        <v>Q4</v>
      </c>
      <c r="AB287" s="1325">
        <f t="shared" si="1434"/>
        <v>2012</v>
      </c>
      <c r="AC287" s="1325" t="str">
        <f t="shared" si="1434"/>
        <v>Q1</v>
      </c>
      <c r="AD287" s="1325" t="str">
        <f t="shared" si="1434"/>
        <v>Q2</v>
      </c>
      <c r="AE287" s="1325" t="str">
        <f t="shared" si="1434"/>
        <v>Q3</v>
      </c>
      <c r="AF287" s="1325" t="str">
        <f t="shared" si="1434"/>
        <v>Q4</v>
      </c>
      <c r="AG287" s="1325">
        <f t="shared" si="1434"/>
        <v>2013</v>
      </c>
      <c r="AH287" s="1325" t="str">
        <f t="shared" si="1434"/>
        <v>Q1</v>
      </c>
      <c r="AI287" s="1325" t="str">
        <f t="shared" ref="AI287:BN287" si="1435">AI2</f>
        <v>Q2</v>
      </c>
      <c r="AJ287" s="1325" t="str">
        <f t="shared" si="1435"/>
        <v>Q3</v>
      </c>
      <c r="AK287" s="1325" t="str">
        <f t="shared" si="1435"/>
        <v>Q4</v>
      </c>
      <c r="AL287" s="1325">
        <f t="shared" si="1435"/>
        <v>2014</v>
      </c>
      <c r="AM287" s="1325" t="str">
        <f t="shared" si="1435"/>
        <v>Q1</v>
      </c>
      <c r="AN287" s="1325" t="str">
        <f t="shared" si="1435"/>
        <v>Q2</v>
      </c>
      <c r="AO287" s="1325" t="str">
        <f t="shared" si="1435"/>
        <v>Q3</v>
      </c>
      <c r="AP287" s="1325" t="str">
        <f t="shared" si="1435"/>
        <v>Q4</v>
      </c>
      <c r="AQ287" s="1325">
        <f t="shared" si="1435"/>
        <v>2015</v>
      </c>
      <c r="AR287" s="1325" t="str">
        <f t="shared" si="1435"/>
        <v>Q1</v>
      </c>
      <c r="AS287" s="1325" t="str">
        <f t="shared" si="1435"/>
        <v>Q2</v>
      </c>
      <c r="AT287" s="1325" t="str">
        <f t="shared" si="1435"/>
        <v>Q3</v>
      </c>
      <c r="AU287" s="1325" t="str">
        <f t="shared" si="1435"/>
        <v>Q4</v>
      </c>
      <c r="AV287" s="1325">
        <f t="shared" si="1435"/>
        <v>2016</v>
      </c>
      <c r="AW287" s="1325" t="str">
        <f t="shared" si="1435"/>
        <v>Q1</v>
      </c>
      <c r="AX287" s="1325" t="str">
        <f t="shared" si="1435"/>
        <v>Q2</v>
      </c>
      <c r="AY287" s="1325" t="str">
        <f t="shared" si="1435"/>
        <v>Q3</v>
      </c>
      <c r="AZ287" s="1325" t="str">
        <f t="shared" si="1435"/>
        <v>Q4</v>
      </c>
      <c r="BA287" s="1325">
        <f t="shared" si="1435"/>
        <v>2017</v>
      </c>
      <c r="BB287" s="1325" t="str">
        <f t="shared" si="1435"/>
        <v>Q1</v>
      </c>
      <c r="BC287" s="1325" t="str">
        <f t="shared" si="1435"/>
        <v>Q2</v>
      </c>
      <c r="BD287" s="1325" t="str">
        <f t="shared" si="1435"/>
        <v>Q3</v>
      </c>
      <c r="BE287" s="1325" t="str">
        <f t="shared" si="1435"/>
        <v>Q4</v>
      </c>
      <c r="BF287" s="1325">
        <f t="shared" si="1435"/>
        <v>2018</v>
      </c>
      <c r="BG287" s="1325" t="str">
        <f t="shared" si="1435"/>
        <v>Q1</v>
      </c>
      <c r="BH287" s="1325" t="str">
        <f t="shared" si="1435"/>
        <v>Q2</v>
      </c>
      <c r="BI287" s="1325" t="str">
        <f t="shared" si="1435"/>
        <v>Q3</v>
      </c>
      <c r="BJ287" s="1325" t="str">
        <f t="shared" si="1435"/>
        <v>Q4</v>
      </c>
      <c r="BK287" s="1325">
        <f t="shared" si="1435"/>
        <v>2019</v>
      </c>
      <c r="BL287" s="1325" t="str">
        <f t="shared" si="1435"/>
        <v>Q1</v>
      </c>
      <c r="BM287" s="1325" t="str">
        <f t="shared" si="1435"/>
        <v>Q2</v>
      </c>
      <c r="BN287" s="1325" t="str">
        <f t="shared" si="1435"/>
        <v>Q3</v>
      </c>
      <c r="BO287" s="1325" t="str">
        <f t="shared" ref="BO287:CL287" si="1436">BO2</f>
        <v>Q4</v>
      </c>
      <c r="BP287" s="1325">
        <f t="shared" si="1436"/>
        <v>2020</v>
      </c>
      <c r="BQ287" s="1325" t="str">
        <f t="shared" si="1436"/>
        <v>Q1</v>
      </c>
      <c r="BR287" s="1325" t="str">
        <f t="shared" si="1436"/>
        <v>Q2</v>
      </c>
      <c r="BS287" s="1325" t="str">
        <f t="shared" si="1436"/>
        <v>Q3</v>
      </c>
      <c r="BT287" s="1325" t="str">
        <f t="shared" si="1436"/>
        <v>Q4</v>
      </c>
      <c r="BU287" s="1325">
        <f t="shared" si="1436"/>
        <v>2021</v>
      </c>
      <c r="BV287" s="1325" t="str">
        <f t="shared" si="1436"/>
        <v>Q1</v>
      </c>
      <c r="BW287" s="1325" t="str">
        <f t="shared" si="1436"/>
        <v>Q2</v>
      </c>
      <c r="BX287" s="1325" t="str">
        <f t="shared" si="1436"/>
        <v>Q3</v>
      </c>
      <c r="BY287" s="1325" t="str">
        <f t="shared" si="1436"/>
        <v>Q4</v>
      </c>
      <c r="BZ287" s="1325">
        <f t="shared" si="1436"/>
        <v>2022</v>
      </c>
      <c r="CA287" s="1325" t="str">
        <f t="shared" si="1436"/>
        <v>Q1</v>
      </c>
      <c r="CB287" s="1325" t="str">
        <f t="shared" si="1436"/>
        <v>Q2</v>
      </c>
      <c r="CC287" s="1325" t="str">
        <f t="shared" si="1436"/>
        <v>Q3</v>
      </c>
      <c r="CD287" s="1325" t="str">
        <f t="shared" si="1436"/>
        <v>Q4</v>
      </c>
      <c r="CE287" s="1325">
        <f t="shared" si="1436"/>
        <v>2023</v>
      </c>
      <c r="CF287" s="1325" t="str">
        <f t="shared" si="1436"/>
        <v>Q1</v>
      </c>
      <c r="CG287" s="1325" t="str">
        <f t="shared" si="1436"/>
        <v>Q2</v>
      </c>
      <c r="CH287" s="1325" t="str">
        <f t="shared" si="1436"/>
        <v>Q3</v>
      </c>
      <c r="CI287" s="1325" t="str">
        <f t="shared" si="1436"/>
        <v>Q4</v>
      </c>
      <c r="CJ287" s="1325">
        <f t="shared" si="1436"/>
        <v>2024</v>
      </c>
      <c r="CK287" s="1325" t="str">
        <f t="shared" si="1436"/>
        <v>Q1</v>
      </c>
      <c r="CL287" s="1325" t="str">
        <f t="shared" si="1436"/>
        <v>Q2</v>
      </c>
      <c r="CM287" s="1325" t="str">
        <f t="shared" ref="CM287" si="1437">CM2</f>
        <v>Q3</v>
      </c>
      <c r="CN287" s="1325"/>
      <c r="CO287" s="1325">
        <f t="shared" ref="CO287:CT287" si="1438">CO2</f>
        <v>2025</v>
      </c>
      <c r="CP287" s="1325">
        <f t="shared" si="1438"/>
        <v>2026</v>
      </c>
      <c r="CQ287" s="1325">
        <f t="shared" si="1438"/>
        <v>2027</v>
      </c>
      <c r="CR287" s="1325">
        <f t="shared" si="1438"/>
        <v>2028</v>
      </c>
      <c r="CS287" s="1325">
        <f t="shared" si="1438"/>
        <v>2029</v>
      </c>
      <c r="CT287" s="1325">
        <f t="shared" si="1438"/>
        <v>2030</v>
      </c>
      <c r="CU287" s="347"/>
      <c r="CV287" s="1363"/>
      <c r="CW287" s="347"/>
      <c r="CX287" s="347"/>
      <c r="CZ287" s="354"/>
      <c r="DA287" s="354"/>
      <c r="DB287" s="354"/>
      <c r="DC287" s="354"/>
      <c r="DD287" s="354"/>
      <c r="DE287" s="354"/>
    </row>
    <row r="288" spans="1:146">
      <c r="B288" s="385"/>
      <c r="C288" s="398"/>
      <c r="D288" s="398"/>
      <c r="E288" s="398"/>
      <c r="F288" s="398"/>
      <c r="G288" s="398"/>
      <c r="H288" s="398"/>
      <c r="I288" s="398"/>
      <c r="J288" s="398"/>
      <c r="K288" s="398"/>
      <c r="L288" s="398"/>
      <c r="M288" s="398"/>
      <c r="N288" s="398"/>
      <c r="O288" s="398"/>
      <c r="P288" s="398"/>
      <c r="Q288" s="398"/>
      <c r="R288" s="398"/>
      <c r="S288" s="398"/>
      <c r="T288" s="398"/>
      <c r="U288" s="398"/>
      <c r="V288" s="398"/>
      <c r="W288" s="398"/>
      <c r="X288" s="398"/>
      <c r="Y288" s="398"/>
      <c r="Z288" s="398"/>
      <c r="AA288" s="398"/>
      <c r="AB288" s="398"/>
      <c r="AC288" s="603"/>
      <c r="AD288" s="603"/>
      <c r="AE288" s="603"/>
      <c r="AF288" s="603"/>
      <c r="AG288" s="603"/>
      <c r="AH288" s="603"/>
      <c r="AI288" s="603"/>
      <c r="AJ288" s="603"/>
      <c r="AK288" s="603"/>
      <c r="AL288" s="603"/>
      <c r="AM288" s="603"/>
      <c r="AN288" s="603"/>
      <c r="AO288" s="603"/>
      <c r="AP288" s="603"/>
      <c r="AQ288" s="603"/>
      <c r="AR288" s="603"/>
      <c r="AS288" s="603"/>
      <c r="AT288" s="603"/>
      <c r="AU288" s="603"/>
      <c r="AV288" s="603"/>
      <c r="AW288" s="603"/>
      <c r="AX288" s="603"/>
      <c r="AY288" s="603"/>
      <c r="AZ288" s="603"/>
      <c r="BA288" s="603"/>
      <c r="BB288" s="603"/>
      <c r="BC288" s="603"/>
      <c r="BD288" s="603"/>
      <c r="BE288" s="603"/>
      <c r="BF288" s="603"/>
      <c r="BG288" s="603"/>
      <c r="BH288" s="603"/>
      <c r="BI288" s="603"/>
      <c r="BJ288" s="603"/>
      <c r="BK288" s="603"/>
      <c r="BL288" s="603"/>
      <c r="BM288" s="603"/>
      <c r="BN288" s="603"/>
      <c r="BO288" s="603"/>
      <c r="BP288" s="603"/>
      <c r="BQ288" s="603"/>
      <c r="BR288" s="603"/>
      <c r="BS288" s="603"/>
      <c r="BT288" s="603"/>
      <c r="BU288" s="603"/>
      <c r="BV288" s="603"/>
      <c r="BW288" s="603"/>
      <c r="BX288" s="603"/>
      <c r="BY288" s="603"/>
      <c r="BZ288" s="603"/>
      <c r="CA288" s="603"/>
      <c r="CB288" s="603"/>
      <c r="CC288" s="603"/>
      <c r="CD288" s="603"/>
      <c r="CE288" s="603"/>
      <c r="CF288" s="603"/>
      <c r="CG288" s="603"/>
      <c r="CH288" s="603"/>
      <c r="CI288" s="603"/>
      <c r="CJ288" s="398"/>
      <c r="CK288" s="603"/>
      <c r="CL288" s="603"/>
      <c r="CM288" s="603"/>
      <c r="CN288" s="603"/>
      <c r="CO288" s="398"/>
      <c r="CP288" s="398"/>
      <c r="CQ288" s="398"/>
      <c r="CR288" s="398"/>
      <c r="CS288" s="398"/>
      <c r="CT288" s="398"/>
      <c r="CU288" s="347"/>
      <c r="CV288" s="1363"/>
      <c r="CW288" s="347"/>
      <c r="CX288" s="347"/>
      <c r="CZ288" s="354"/>
      <c r="DA288" s="354"/>
      <c r="DB288" s="354"/>
      <c r="DC288" s="354"/>
      <c r="DD288" s="354"/>
      <c r="DE288" s="354"/>
    </row>
    <row r="289" spans="1:109">
      <c r="B289" s="1357" t="s">
        <v>834</v>
      </c>
      <c r="C289" s="850"/>
      <c r="D289" s="850"/>
      <c r="E289" s="850"/>
      <c r="F289" s="850"/>
      <c r="G289" s="850"/>
      <c r="H289" s="850"/>
      <c r="I289" s="850"/>
      <c r="J289" s="850"/>
      <c r="K289" s="850"/>
      <c r="L289" s="850"/>
      <c r="M289" s="850"/>
      <c r="N289" s="850"/>
      <c r="O289" s="850"/>
      <c r="P289" s="850"/>
      <c r="Q289" s="850"/>
      <c r="R289" s="850"/>
      <c r="S289" s="850"/>
      <c r="T289" s="850"/>
      <c r="U289" s="850"/>
      <c r="V289" s="850"/>
      <c r="W289" s="850"/>
      <c r="X289" s="850"/>
      <c r="Y289" s="850"/>
      <c r="Z289" s="850"/>
      <c r="AA289" s="850"/>
      <c r="AB289" s="850"/>
      <c r="AC289" s="850"/>
      <c r="AD289" s="850"/>
      <c r="AE289" s="850"/>
      <c r="AF289" s="850"/>
      <c r="AG289" s="850"/>
      <c r="AH289" s="850"/>
      <c r="AI289" s="850"/>
      <c r="AJ289" s="850"/>
      <c r="AK289" s="850"/>
      <c r="AL289" s="850"/>
      <c r="AM289" s="850"/>
      <c r="AN289" s="850"/>
      <c r="AO289" s="850"/>
      <c r="AP289" s="850"/>
      <c r="AQ289" s="850"/>
      <c r="AR289" s="850"/>
      <c r="AS289" s="850"/>
      <c r="AT289" s="850"/>
      <c r="AU289" s="850"/>
      <c r="AV289" s="850"/>
      <c r="AW289" s="850"/>
      <c r="AX289" s="850"/>
      <c r="AY289" s="850"/>
      <c r="AZ289" s="850"/>
      <c r="BA289" s="850"/>
      <c r="BB289" s="850"/>
      <c r="BC289" s="850"/>
      <c r="BD289" s="850"/>
      <c r="BE289" s="850"/>
      <c r="BF289" s="850"/>
      <c r="BG289" s="850"/>
      <c r="BH289" s="850"/>
      <c r="BI289" s="850"/>
      <c r="BJ289" s="850"/>
      <c r="BK289" s="850"/>
      <c r="BL289" s="850"/>
      <c r="BM289" s="850"/>
      <c r="BN289" s="850"/>
      <c r="BO289" s="850"/>
      <c r="BP289" s="850"/>
      <c r="BQ289" s="850"/>
      <c r="BR289" s="850"/>
      <c r="BS289" s="850"/>
      <c r="BT289" s="850"/>
      <c r="BU289" s="850"/>
      <c r="BV289" s="850">
        <f>BV307-BV310+BV311</f>
        <v>6215.5330000000004</v>
      </c>
      <c r="BW289" s="850">
        <f t="shared" ref="BW289:CA289" si="1439">BW307-BW310+BW311</f>
        <v>6506.2809999999999</v>
      </c>
      <c r="BX289" s="850">
        <f t="shared" si="1439"/>
        <v>6753.4779999999992</v>
      </c>
      <c r="BY289" s="850">
        <f t="shared" si="1439"/>
        <v>6725.0720000000001</v>
      </c>
      <c r="BZ289" s="850">
        <f t="shared" si="1439"/>
        <v>26200.364000000001</v>
      </c>
      <c r="CA289" s="850">
        <f t="shared" si="1439"/>
        <v>6909.32</v>
      </c>
      <c r="CB289" s="850">
        <f>CB307-CB310+CB311</f>
        <v>7433.9279999999999</v>
      </c>
      <c r="CC289" s="850">
        <f>CC307-CC310+CC311</f>
        <v>7124.3410000000022</v>
      </c>
      <c r="CD289" s="850">
        <f>CD307-CD310+CD311</f>
        <v>7494.1859999999961</v>
      </c>
      <c r="CE289" s="850">
        <f t="shared" ref="CE289" si="1440">CE307-CE310+CE311</f>
        <v>28961.774999999998</v>
      </c>
      <c r="CF289" s="850">
        <f>CF307-CF310+CF311</f>
        <v>7850.5889999999999</v>
      </c>
      <c r="CG289" s="850">
        <f>CG307-CG310+CG311</f>
        <v>8096.7340000000004</v>
      </c>
      <c r="CH289" s="850">
        <f>CH307-CH310+CH311</f>
        <v>7406.1290000000008</v>
      </c>
      <c r="CI289" s="850">
        <f>CI307-CI310+CI311</f>
        <v>7983.5466000000015</v>
      </c>
      <c r="CJ289" s="850">
        <f t="shared" ref="CJ289" si="1441">CJ307-CJ310+CJ311</f>
        <v>31336.998600000006</v>
      </c>
      <c r="CK289" s="850">
        <f>CK307-CK310+CK311</f>
        <v>7690.0509999999995</v>
      </c>
      <c r="CL289" s="850">
        <f>CL307-CL310+CL311</f>
        <v>9149.4450000000015</v>
      </c>
      <c r="CM289" s="850">
        <f>CM307-CM310+CM311</f>
        <v>9622.4189999999999</v>
      </c>
      <c r="CN289" s="850"/>
      <c r="CO289" s="850"/>
      <c r="CP289" s="850"/>
      <c r="CQ289" s="850"/>
      <c r="CR289" s="850"/>
      <c r="CS289" s="850"/>
      <c r="CT289" s="850"/>
      <c r="CU289" s="347"/>
      <c r="CV289" s="1363"/>
      <c r="CW289" s="347"/>
      <c r="CX289" s="347"/>
      <c r="CZ289" s="354"/>
      <c r="DA289" s="354"/>
      <c r="DB289" s="354"/>
      <c r="DC289" s="354"/>
      <c r="DD289" s="354"/>
      <c r="DE289" s="354"/>
    </row>
    <row r="290" spans="1:109">
      <c r="B290" s="596" t="s">
        <v>835</v>
      </c>
      <c r="C290" s="851"/>
      <c r="D290" s="851"/>
      <c r="E290" s="851"/>
      <c r="F290" s="851"/>
      <c r="G290" s="851"/>
      <c r="H290" s="851"/>
      <c r="I290" s="851"/>
      <c r="J290" s="851"/>
      <c r="K290" s="851"/>
      <c r="L290" s="851"/>
      <c r="M290" s="851"/>
      <c r="N290" s="851"/>
      <c r="O290" s="851"/>
      <c r="P290" s="851"/>
      <c r="Q290" s="851"/>
      <c r="R290" s="851"/>
      <c r="S290" s="851"/>
      <c r="T290" s="851"/>
      <c r="U290" s="851"/>
      <c r="V290" s="851"/>
      <c r="W290" s="851"/>
      <c r="X290" s="851"/>
      <c r="Y290" s="851"/>
      <c r="Z290" s="851"/>
      <c r="AA290" s="851"/>
      <c r="AB290" s="851"/>
      <c r="AC290" s="852">
        <f>'[16]Reported Group Highlights'!D$21</f>
        <v>4612</v>
      </c>
      <c r="AD290" s="852">
        <f>'[16]Reported Group Highlights'!E$21</f>
        <v>4907</v>
      </c>
      <c r="AE290" s="852">
        <f>'[16]Reported Group Highlights'!F$21</f>
        <v>5215</v>
      </c>
      <c r="AF290" s="852">
        <f>'[16]Reported Group Highlights'!G$21</f>
        <v>5218</v>
      </c>
      <c r="AG290" s="853">
        <f>SUM(AC290:AF290)</f>
        <v>19952</v>
      </c>
      <c r="AH290" s="852">
        <f>'[16]Reported Group Highlights'!H$21</f>
        <v>4244</v>
      </c>
      <c r="AI290" s="852">
        <f>'[16]Reported Group Highlights'!I$21</f>
        <v>4908</v>
      </c>
      <c r="AJ290" s="852">
        <f>'[16]Reported Group Highlights'!J$21</f>
        <v>4903</v>
      </c>
      <c r="AK290" s="852">
        <f>'[16]Reported Group Highlights'!K$21</f>
        <v>4853</v>
      </c>
      <c r="AL290" s="853">
        <f>SUM(AH290:AK290)</f>
        <v>18908</v>
      </c>
      <c r="AM290" s="852">
        <f>'[16]Reported Group Highlights'!L$21</f>
        <v>4542</v>
      </c>
      <c r="AN290" s="852">
        <f>'[16]Reported Group Highlights'!M$21</f>
        <v>4685</v>
      </c>
      <c r="AO290" s="852">
        <f>'[16]Reported Group Highlights'!N$21</f>
        <v>4934</v>
      </c>
      <c r="AP290" s="852">
        <f>'[16]Reported Group Highlights'!O$21</f>
        <v>5032</v>
      </c>
      <c r="AQ290" s="853">
        <f>SUM(AM290:AP290)</f>
        <v>19193</v>
      </c>
      <c r="AR290" s="852">
        <f>'[16]Reported Group Highlights'!P$21</f>
        <v>4781</v>
      </c>
      <c r="AS290" s="852">
        <f>'[16]Reported Group Highlights'!Q$21</f>
        <v>4469</v>
      </c>
      <c r="AT290" s="852">
        <f>'[16]Reported Group Highlights'!R$21</f>
        <v>4539</v>
      </c>
      <c r="AU290" s="852">
        <f>'[16]Reported Group Highlights'!S$21</f>
        <v>4585</v>
      </c>
      <c r="AV290" s="853">
        <f>SUM(AR290:AU290)</f>
        <v>18374</v>
      </c>
      <c r="AW290" s="852">
        <f>'[16]Reported Group Highlights'!T$21</f>
        <v>4599</v>
      </c>
      <c r="AX290" s="852">
        <f>'[16]Reported Group Highlights'!U$21</f>
        <v>5027</v>
      </c>
      <c r="AY290" s="852">
        <f>'[16]Reported Group Highlights'!V$21</f>
        <v>5280</v>
      </c>
      <c r="AZ290" s="852">
        <f>'[16]Reported Group Highlights'!W$21</f>
        <v>5355</v>
      </c>
      <c r="BA290" s="854">
        <f>SUM(AW290:AZ290)</f>
        <v>20261</v>
      </c>
      <c r="BB290" s="852">
        <f>'[16]Reported Group Highlights'!X$21</f>
        <v>4810</v>
      </c>
      <c r="BC290" s="852">
        <f>'[16]Reported Group Highlights'!Y$21</f>
        <v>4783</v>
      </c>
      <c r="BD290" s="852">
        <f>'[16]Reported Group Highlights'!Z$21</f>
        <v>4998</v>
      </c>
      <c r="BE290" s="852">
        <f>'[16]Reported Group Highlights'!AA$21</f>
        <v>5292</v>
      </c>
      <c r="BF290" s="854">
        <f>SUM(BB290:BE290)</f>
        <v>19883</v>
      </c>
      <c r="BG290" s="852">
        <f>'[16]Reported Group Highlights'!AB$21</f>
        <v>5387</v>
      </c>
      <c r="BH290" s="852">
        <f>'[16]Reported Group Highlights'!AC$21</f>
        <v>5678</v>
      </c>
      <c r="BI290" s="852">
        <f>'[16]Reported Group Highlights'!AD$21</f>
        <v>5917</v>
      </c>
      <c r="BJ290" s="852">
        <f>'[16]Reported Group Highlights'!AE$21</f>
        <v>5861</v>
      </c>
      <c r="BK290" s="854">
        <f>SUM(BG290:BJ290)</f>
        <v>22843</v>
      </c>
      <c r="BL290" s="852">
        <f>'[16]Reported Group Highlights'!AF$21</f>
        <v>5980</v>
      </c>
      <c r="BM290" s="852">
        <f>'[16]Reported Group Highlights'!AG$21</f>
        <v>6158</v>
      </c>
      <c r="BN290" s="852">
        <f>'[16]Reported Group Highlights'!AH$21</f>
        <v>6131</v>
      </c>
      <c r="BO290" s="852">
        <f>'[16]Reported Group Highlights'!AI$21</f>
        <v>5861</v>
      </c>
      <c r="BP290" s="854">
        <f>SUM(BL290:BO290)</f>
        <v>24130</v>
      </c>
      <c r="BQ290" s="852">
        <f>'[16]Reported Group Highlights'!AJ$21</f>
        <v>5652</v>
      </c>
      <c r="BR290" s="852">
        <f>'[16]Reported Group Highlights'!AK$21</f>
        <v>6151</v>
      </c>
      <c r="BS290" s="852">
        <f>'[16]Reported Group Highlights'!AL$21</f>
        <v>6290</v>
      </c>
      <c r="BT290" s="852">
        <f>'[16]Reported Group Highlights'!AM$21</f>
        <v>6415</v>
      </c>
      <c r="BU290" s="854">
        <f>SUM(BQ290:BT290)</f>
        <v>24508</v>
      </c>
      <c r="BV290" s="852">
        <f>'[16]Reported Group Highlights'!AN$21</f>
        <v>6224</v>
      </c>
      <c r="BW290" s="852">
        <f>'[16]Reported Group Highlights'!AO$21</f>
        <v>6643</v>
      </c>
      <c r="BX290" s="852">
        <f>'[16]Reported Group Highlights'!AP$21</f>
        <v>6846</v>
      </c>
      <c r="BY290" s="852">
        <f>'[16]Reported Group Highlights'!AQ$21</f>
        <v>6836</v>
      </c>
      <c r="BZ290" s="854">
        <f>SUM(BV290:BY290)</f>
        <v>26549</v>
      </c>
      <c r="CA290" s="852">
        <f>'[16]Reported Group Highlights'!AR$21</f>
        <v>6910</v>
      </c>
      <c r="CB290" s="852">
        <f>'[16]Reported Group Highlights'!AS$21</f>
        <v>7501</v>
      </c>
      <c r="CC290" s="852">
        <f>'[16]Reported Group Highlights'!AT$21</f>
        <v>7311</v>
      </c>
      <c r="CD290" s="852">
        <f>'[16]Reported Group Highlights'!AU$21</f>
        <v>7680</v>
      </c>
      <c r="CE290" s="854">
        <f>SUM(CA290:CD290)</f>
        <v>29402</v>
      </c>
      <c r="CF290" s="852">
        <f>'[16]Reported Group Highlights'!AV$21</f>
        <v>7823</v>
      </c>
      <c r="CG290" s="852">
        <f>'[16]Reported Group Highlights'!AW$21</f>
        <v>8015.4740000000002</v>
      </c>
      <c r="CH290" s="852">
        <f>'[16]Reported Group Highlights'!AX$21</f>
        <v>7539</v>
      </c>
      <c r="CI290" s="852">
        <f>'[16]Reported Group Highlights'!AY$21</f>
        <v>8201</v>
      </c>
      <c r="CJ290" s="854">
        <f>SUM(CF290:CI290)</f>
        <v>31578.474000000002</v>
      </c>
      <c r="CK290" s="852">
        <f>'[16]Reported Group Highlights'!AZ$21</f>
        <v>7887</v>
      </c>
      <c r="CL290" s="852">
        <f>'[16]Reported Group Highlights'!BA$21</f>
        <v>9579</v>
      </c>
      <c r="CM290" s="852">
        <f>'[16]Reported Group Highlights'!BB$21</f>
        <v>10292</v>
      </c>
      <c r="CN290" s="852"/>
      <c r="CO290" s="851">
        <f t="shared" ref="CO290:CT290" si="1442">CO307-CO310+CO311</f>
        <v>37221.398591966368</v>
      </c>
      <c r="CP290" s="851">
        <f>CP307-CP310+CP311</f>
        <v>41459.597463978644</v>
      </c>
      <c r="CQ290" s="851">
        <f t="shared" si="1442"/>
        <v>43253.569136634302</v>
      </c>
      <c r="CR290" s="851">
        <f t="shared" si="1442"/>
        <v>45122.297079598582</v>
      </c>
      <c r="CS290" s="851">
        <f t="shared" si="1442"/>
        <v>47068.874235069161</v>
      </c>
      <c r="CT290" s="851">
        <f t="shared" si="1442"/>
        <v>49096.521772284206</v>
      </c>
      <c r="CU290" s="347"/>
      <c r="CV290" s="1363"/>
      <c r="CW290" s="347"/>
      <c r="CX290" s="347"/>
      <c r="CZ290" s="354"/>
      <c r="DA290" s="354"/>
      <c r="DB290" s="354"/>
      <c r="DC290" s="354"/>
      <c r="DD290" s="354"/>
      <c r="DE290" s="354"/>
    </row>
    <row r="291" spans="1:109">
      <c r="B291" s="596" t="s">
        <v>501</v>
      </c>
      <c r="C291" s="851"/>
      <c r="D291" s="851"/>
      <c r="E291" s="851"/>
      <c r="F291" s="851"/>
      <c r="G291" s="851"/>
      <c r="H291" s="851"/>
      <c r="I291" s="851"/>
      <c r="J291" s="851"/>
      <c r="K291" s="851"/>
      <c r="L291" s="851"/>
      <c r="M291" s="851"/>
      <c r="N291" s="851"/>
      <c r="O291" s="851"/>
      <c r="P291" s="851"/>
      <c r="Q291" s="851"/>
      <c r="R291" s="851"/>
      <c r="S291" s="851"/>
      <c r="T291" s="851"/>
      <c r="U291" s="851"/>
      <c r="V291" s="851"/>
      <c r="W291" s="851"/>
      <c r="X291" s="851"/>
      <c r="Y291" s="851"/>
      <c r="Z291" s="851"/>
      <c r="AA291" s="851"/>
      <c r="AB291" s="851"/>
      <c r="AC291" s="852">
        <f>'[16]Reported Group Highlights'!D$22</f>
        <v>1171</v>
      </c>
      <c r="AD291" s="852">
        <f>'[16]Reported Group Highlights'!E$22</f>
        <v>1176</v>
      </c>
      <c r="AE291" s="852">
        <f>'[16]Reported Group Highlights'!F$22</f>
        <v>1195</v>
      </c>
      <c r="AF291" s="852">
        <f>'[16]Reported Group Highlights'!G$22</f>
        <v>1175</v>
      </c>
      <c r="AG291" s="853">
        <f>SUM(AC291:AF291)</f>
        <v>4717</v>
      </c>
      <c r="AH291" s="852">
        <f>'[16]Reported Group Highlights'!H$22</f>
        <v>1277</v>
      </c>
      <c r="AI291" s="852">
        <f>'[16]Reported Group Highlights'!I$22</f>
        <v>1167</v>
      </c>
      <c r="AJ291" s="852">
        <f>'[16]Reported Group Highlights'!J$22</f>
        <v>1150</v>
      </c>
      <c r="AK291" s="852">
        <f>'[16]Reported Group Highlights'!K$22</f>
        <v>1067</v>
      </c>
      <c r="AL291" s="853">
        <f>SUM(AH291:AK291)</f>
        <v>4661</v>
      </c>
      <c r="AM291" s="852">
        <f>'[16]Reported Group Highlights'!L$22</f>
        <v>957</v>
      </c>
      <c r="AN291" s="852">
        <f>'[16]Reported Group Highlights'!M$22</f>
        <v>947</v>
      </c>
      <c r="AO291" s="852">
        <f>'[16]Reported Group Highlights'!N$22</f>
        <v>921</v>
      </c>
      <c r="AP291" s="852">
        <f>'[16]Reported Group Highlights'!O$22</f>
        <v>941</v>
      </c>
      <c r="AQ291" s="853">
        <f>SUM(AM291:AP291)</f>
        <v>3766</v>
      </c>
      <c r="AR291" s="852">
        <f>'[16]Reported Group Highlights'!P$22</f>
        <v>854</v>
      </c>
      <c r="AS291" s="852">
        <f>'[16]Reported Group Highlights'!Q$22</f>
        <v>783</v>
      </c>
      <c r="AT291" s="852">
        <f>'[16]Reported Group Highlights'!R$22</f>
        <v>712</v>
      </c>
      <c r="AU291" s="852">
        <f>'[16]Reported Group Highlights'!S$22</f>
        <v>688</v>
      </c>
      <c r="AV291" s="853">
        <f>SUM(AR291:AU291)</f>
        <v>3037</v>
      </c>
      <c r="AW291" s="852">
        <f>'[16]Reported Group Highlights'!T$22</f>
        <v>677</v>
      </c>
      <c r="AX291" s="852">
        <f>'[16]Reported Group Highlights'!U$22</f>
        <v>647</v>
      </c>
      <c r="AY291" s="852">
        <f>'[16]Reported Group Highlights'!V$22</f>
        <v>696</v>
      </c>
      <c r="AZ291" s="852">
        <f>'[16]Reported Group Highlights'!W$22</f>
        <v>620</v>
      </c>
      <c r="BA291" s="854">
        <f>SUM(AW291:AZ291)</f>
        <v>2640</v>
      </c>
      <c r="BB291" s="852">
        <f>'[16]Reported Group Highlights'!X$22</f>
        <v>694.55600000000049</v>
      </c>
      <c r="BC291" s="852">
        <f>'[16]Reported Group Highlights'!Y$22</f>
        <v>779.05400000000009</v>
      </c>
      <c r="BD291" s="852">
        <f>'[16]Reported Group Highlights'!Z$22</f>
        <v>875.80799999999999</v>
      </c>
      <c r="BE291" s="852">
        <f>'[16]Reported Group Highlights'!AA$22</f>
        <v>768.64899999999943</v>
      </c>
      <c r="BF291" s="854">
        <f>SUM(BB291:BE291)</f>
        <v>3118.067</v>
      </c>
      <c r="BG291" s="852">
        <f>'[16]Reported Group Highlights'!AB$22</f>
        <v>587.19200000000001</v>
      </c>
      <c r="BH291" s="852">
        <f>'[16]Reported Group Highlights'!AC$22</f>
        <v>617.60499999999956</v>
      </c>
      <c r="BI291" s="852">
        <f>'[16]Reported Group Highlights'!AD$22</f>
        <v>548.70600000000013</v>
      </c>
      <c r="BJ291" s="852">
        <f>'[16]Reported Group Highlights'!AE$22</f>
        <v>553.97800000000097</v>
      </c>
      <c r="BK291" s="854">
        <f>SUM(BG291:BJ291)</f>
        <v>2307.4810000000007</v>
      </c>
      <c r="BL291" s="852">
        <f>'[16]Reported Group Highlights'!AF$22</f>
        <v>519.77100000000064</v>
      </c>
      <c r="BM291" s="852">
        <f>'[16]Reported Group Highlights'!AG$22</f>
        <v>428.64799999999923</v>
      </c>
      <c r="BN291" s="852">
        <f>'[16]Reported Group Highlights'!AH$22</f>
        <v>444.91600000000017</v>
      </c>
      <c r="BO291" s="852">
        <f>'[16]Reported Group Highlights'!AI$22</f>
        <v>494.89099999999962</v>
      </c>
      <c r="BP291" s="854">
        <f>SUM(BL291:BO291)</f>
        <v>1888.2259999999997</v>
      </c>
      <c r="BQ291" s="852">
        <f>'[16]Reported Group Highlights'!AJ$22</f>
        <v>599</v>
      </c>
      <c r="BR291" s="852">
        <f>'[16]Reported Group Highlights'!AK$22</f>
        <v>578</v>
      </c>
      <c r="BS291" s="852">
        <f>'[16]Reported Group Highlights'!AL$22</f>
        <v>536</v>
      </c>
      <c r="BT291" s="852">
        <f>'[16]Reported Group Highlights'!AM$22</f>
        <v>546</v>
      </c>
      <c r="BU291" s="854">
        <f>SUM(BQ291:BT291)</f>
        <v>2259</v>
      </c>
      <c r="BV291" s="852">
        <f>'[16]Reported Group Highlights'!AN$22</f>
        <v>521</v>
      </c>
      <c r="BW291" s="852">
        <f>'[16]Reported Group Highlights'!AO$22</f>
        <v>699</v>
      </c>
      <c r="BX291" s="852">
        <f>'[16]Reported Group Highlights'!AP$22</f>
        <v>687</v>
      </c>
      <c r="BY291" s="852">
        <f>'[16]Reported Group Highlights'!AQ$22</f>
        <v>716</v>
      </c>
      <c r="BZ291" s="854">
        <f>SUM(BV291:BY291)</f>
        <v>2623</v>
      </c>
      <c r="CA291" s="852">
        <f>'[16]Reported Group Highlights'!AR$22</f>
        <v>641</v>
      </c>
      <c r="CB291" s="852">
        <f>'[16]Reported Group Highlights'!AS$22</f>
        <v>723</v>
      </c>
      <c r="CC291" s="852">
        <f>'[16]Reported Group Highlights'!AT$22</f>
        <v>797</v>
      </c>
      <c r="CD291" s="852">
        <f>'[16]Reported Group Highlights'!AU$22</f>
        <v>778</v>
      </c>
      <c r="CE291" s="854">
        <f>SUM(CA291:CD291)</f>
        <v>2939</v>
      </c>
      <c r="CF291" s="852">
        <f>'[16]Reported Group Highlights'!AV$22</f>
        <v>618</v>
      </c>
      <c r="CG291" s="852">
        <f>'[16]Reported Group Highlights'!AW$22</f>
        <v>599.52599999999984</v>
      </c>
      <c r="CH291" s="852">
        <f>'[16]Reported Group Highlights'!AX$22</f>
        <v>773</v>
      </c>
      <c r="CI291" s="852">
        <f>'[16]Reported Group Highlights'!AY$22</f>
        <v>832</v>
      </c>
      <c r="CJ291" s="854">
        <f>SUM(CF291:CI291)</f>
        <v>2822.5259999999998</v>
      </c>
      <c r="CK291" s="852">
        <f>'[16]Reported Group Highlights'!AZ$22</f>
        <v>716</v>
      </c>
      <c r="CL291" s="852">
        <f>'[16]Reported Group Highlights'!BA$22</f>
        <v>923</v>
      </c>
      <c r="CM291" s="852">
        <f>'[16]Reported Group Highlights'!BB$22</f>
        <v>1177</v>
      </c>
      <c r="CN291" s="852"/>
      <c r="CO291" s="851">
        <f t="shared" ref="CO291:CT291" si="1443">CO292-CO290</f>
        <v>5251.0794856514331</v>
      </c>
      <c r="CP291" s="851">
        <f t="shared" si="1443"/>
        <v>5820.1148678889294</v>
      </c>
      <c r="CQ291" s="851">
        <f t="shared" si="1443"/>
        <v>6087.3600532828277</v>
      </c>
      <c r="CR291" s="851">
        <f t="shared" si="1443"/>
        <v>6366.7543513589699</v>
      </c>
      <c r="CS291" s="851">
        <f t="shared" si="1443"/>
        <v>6658.8621679587159</v>
      </c>
      <c r="CT291" s="851">
        <f t="shared" si="1443"/>
        <v>6964.2749964084796</v>
      </c>
      <c r="CU291" s="347"/>
      <c r="CV291" s="1363"/>
      <c r="CW291" s="347"/>
      <c r="CX291" s="347"/>
      <c r="CZ291" s="354"/>
      <c r="DA291" s="354"/>
      <c r="DB291" s="354"/>
      <c r="DC291" s="354"/>
      <c r="DD291" s="354"/>
      <c r="DE291" s="354"/>
    </row>
    <row r="292" spans="1:109">
      <c r="B292" s="597" t="s">
        <v>836</v>
      </c>
      <c r="C292" s="855"/>
      <c r="D292" s="855"/>
      <c r="E292" s="855"/>
      <c r="F292" s="855"/>
      <c r="G292" s="855"/>
      <c r="H292" s="855"/>
      <c r="I292" s="855"/>
      <c r="J292" s="855"/>
      <c r="K292" s="855"/>
      <c r="L292" s="855"/>
      <c r="M292" s="855"/>
      <c r="N292" s="855"/>
      <c r="O292" s="855"/>
      <c r="P292" s="855"/>
      <c r="Q292" s="855"/>
      <c r="R292" s="855"/>
      <c r="S292" s="855"/>
      <c r="T292" s="855"/>
      <c r="U292" s="855"/>
      <c r="V292" s="855"/>
      <c r="W292" s="855"/>
      <c r="X292" s="855"/>
      <c r="Y292" s="855"/>
      <c r="Z292" s="855"/>
      <c r="AA292" s="855"/>
      <c r="AB292" s="855"/>
      <c r="AC292" s="855">
        <f t="shared" ref="AC292:BQ292" si="1444">SUM(AC290:AC291)</f>
        <v>5783</v>
      </c>
      <c r="AD292" s="855">
        <f t="shared" si="1444"/>
        <v>6083</v>
      </c>
      <c r="AE292" s="855">
        <f t="shared" si="1444"/>
        <v>6410</v>
      </c>
      <c r="AF292" s="855">
        <f t="shared" si="1444"/>
        <v>6393</v>
      </c>
      <c r="AG292" s="855">
        <f t="shared" si="1444"/>
        <v>24669</v>
      </c>
      <c r="AH292" s="855">
        <f t="shared" si="1444"/>
        <v>5521</v>
      </c>
      <c r="AI292" s="855">
        <f t="shared" si="1444"/>
        <v>6075</v>
      </c>
      <c r="AJ292" s="855">
        <f t="shared" si="1444"/>
        <v>6053</v>
      </c>
      <c r="AK292" s="855">
        <f t="shared" si="1444"/>
        <v>5920</v>
      </c>
      <c r="AL292" s="855">
        <f t="shared" si="1444"/>
        <v>23569</v>
      </c>
      <c r="AM292" s="855">
        <f t="shared" si="1444"/>
        <v>5499</v>
      </c>
      <c r="AN292" s="855">
        <f t="shared" si="1444"/>
        <v>5632</v>
      </c>
      <c r="AO292" s="855">
        <f t="shared" si="1444"/>
        <v>5855</v>
      </c>
      <c r="AP292" s="855">
        <f t="shared" si="1444"/>
        <v>5973</v>
      </c>
      <c r="AQ292" s="855">
        <f t="shared" si="1444"/>
        <v>22959</v>
      </c>
      <c r="AR292" s="855">
        <f t="shared" si="1444"/>
        <v>5635</v>
      </c>
      <c r="AS292" s="855">
        <f t="shared" si="1444"/>
        <v>5252</v>
      </c>
      <c r="AT292" s="855">
        <f t="shared" si="1444"/>
        <v>5251</v>
      </c>
      <c r="AU292" s="855">
        <f t="shared" si="1444"/>
        <v>5273</v>
      </c>
      <c r="AV292" s="855">
        <f t="shared" si="1444"/>
        <v>21411</v>
      </c>
      <c r="AW292" s="855">
        <f t="shared" si="1444"/>
        <v>5276</v>
      </c>
      <c r="AX292" s="855">
        <f t="shared" si="1444"/>
        <v>5674</v>
      </c>
      <c r="AY292" s="855">
        <f t="shared" si="1444"/>
        <v>5976</v>
      </c>
      <c r="AZ292" s="855">
        <f t="shared" si="1444"/>
        <v>5975</v>
      </c>
      <c r="BA292" s="855">
        <f t="shared" si="1444"/>
        <v>22901</v>
      </c>
      <c r="BB292" s="855">
        <f t="shared" si="1444"/>
        <v>5504.5560000000005</v>
      </c>
      <c r="BC292" s="855">
        <f t="shared" si="1444"/>
        <v>5562.0540000000001</v>
      </c>
      <c r="BD292" s="855">
        <f t="shared" si="1444"/>
        <v>5873.808</v>
      </c>
      <c r="BE292" s="855">
        <f t="shared" si="1444"/>
        <v>6060.6489999999994</v>
      </c>
      <c r="BF292" s="855">
        <f t="shared" si="1444"/>
        <v>23001.066999999999</v>
      </c>
      <c r="BG292" s="855">
        <f t="shared" si="1444"/>
        <v>5974.192</v>
      </c>
      <c r="BH292" s="855">
        <f t="shared" si="1444"/>
        <v>6295.6049999999996</v>
      </c>
      <c r="BI292" s="855">
        <f t="shared" si="1444"/>
        <v>6465.7060000000001</v>
      </c>
      <c r="BJ292" s="855">
        <f t="shared" si="1444"/>
        <v>6414.978000000001</v>
      </c>
      <c r="BK292" s="855">
        <f t="shared" si="1444"/>
        <v>25150.481</v>
      </c>
      <c r="BL292" s="855">
        <f t="shared" si="1444"/>
        <v>6499.7710000000006</v>
      </c>
      <c r="BM292" s="855">
        <f t="shared" si="1444"/>
        <v>6586.6479999999992</v>
      </c>
      <c r="BN292" s="855">
        <f t="shared" si="1444"/>
        <v>6575.9160000000002</v>
      </c>
      <c r="BO292" s="855">
        <f t="shared" si="1444"/>
        <v>6355.8909999999996</v>
      </c>
      <c r="BP292" s="855">
        <f t="shared" si="1444"/>
        <v>26018.225999999999</v>
      </c>
      <c r="BQ292" s="855">
        <f t="shared" si="1444"/>
        <v>6251</v>
      </c>
      <c r="BR292" s="855">
        <f t="shared" ref="BR292:CB292" si="1445">SUM(BR290:BR291)</f>
        <v>6729</v>
      </c>
      <c r="BS292" s="855">
        <f t="shared" si="1445"/>
        <v>6826</v>
      </c>
      <c r="BT292" s="855">
        <f t="shared" si="1445"/>
        <v>6961</v>
      </c>
      <c r="BU292" s="855">
        <f t="shared" si="1445"/>
        <v>26767</v>
      </c>
      <c r="BV292" s="855">
        <f t="shared" si="1445"/>
        <v>6745</v>
      </c>
      <c r="BW292" s="855">
        <f t="shared" si="1445"/>
        <v>7342</v>
      </c>
      <c r="BX292" s="855">
        <f t="shared" si="1445"/>
        <v>7533</v>
      </c>
      <c r="BY292" s="855">
        <f t="shared" si="1445"/>
        <v>7552</v>
      </c>
      <c r="BZ292" s="855">
        <f t="shared" si="1445"/>
        <v>29172</v>
      </c>
      <c r="CA292" s="855">
        <f t="shared" si="1445"/>
        <v>7551</v>
      </c>
      <c r="CB292" s="855">
        <f t="shared" si="1445"/>
        <v>8224</v>
      </c>
      <c r="CC292" s="855">
        <f t="shared" ref="CC292:CE292" si="1446">SUM(CC290:CC291)</f>
        <v>8108</v>
      </c>
      <c r="CD292" s="855">
        <f t="shared" si="1446"/>
        <v>8458</v>
      </c>
      <c r="CE292" s="855">
        <f t="shared" si="1446"/>
        <v>32341</v>
      </c>
      <c r="CF292" s="855">
        <f t="shared" ref="CF292:CG292" si="1447">SUM(CF290:CF291)</f>
        <v>8441</v>
      </c>
      <c r="CG292" s="855">
        <f t="shared" si="1447"/>
        <v>8615</v>
      </c>
      <c r="CH292" s="855">
        <f t="shared" ref="CH292:CK292" si="1448">SUM(CH290:CH291)</f>
        <v>8312</v>
      </c>
      <c r="CI292" s="855">
        <f t="shared" si="1448"/>
        <v>9033</v>
      </c>
      <c r="CJ292" s="855">
        <f t="shared" si="1448"/>
        <v>34401</v>
      </c>
      <c r="CK292" s="855">
        <f t="shared" si="1448"/>
        <v>8603</v>
      </c>
      <c r="CL292" s="855">
        <f t="shared" ref="CL292" si="1449">SUM(CL290:CL291)</f>
        <v>10502</v>
      </c>
      <c r="CM292" s="855">
        <f t="shared" ref="CM292" si="1450">SUM(CM290:CM291)</f>
        <v>11469</v>
      </c>
      <c r="CN292" s="855"/>
      <c r="CO292" s="855">
        <f t="shared" ref="CO292:CT292" si="1451">CO294+CO293</f>
        <v>42472.478077617801</v>
      </c>
      <c r="CP292" s="855">
        <f t="shared" si="1451"/>
        <v>47279.712331867573</v>
      </c>
      <c r="CQ292" s="855">
        <f t="shared" si="1451"/>
        <v>49340.929189917129</v>
      </c>
      <c r="CR292" s="855">
        <f t="shared" si="1451"/>
        <v>51489.051430957552</v>
      </c>
      <c r="CS292" s="855">
        <f t="shared" si="1451"/>
        <v>53727.736403027877</v>
      </c>
      <c r="CT292" s="855">
        <f t="shared" si="1451"/>
        <v>56060.796768692686</v>
      </c>
      <c r="CU292" s="347"/>
      <c r="CV292" s="1363"/>
      <c r="CW292" s="347"/>
      <c r="CX292" s="347"/>
      <c r="CZ292" s="354"/>
      <c r="DA292" s="354"/>
      <c r="DB292" s="354"/>
      <c r="DC292" s="354"/>
      <c r="DD292" s="354"/>
      <c r="DE292" s="354"/>
    </row>
    <row r="293" spans="1:109">
      <c r="B293" s="600" t="s">
        <v>837</v>
      </c>
      <c r="C293" s="856"/>
      <c r="D293" s="856"/>
      <c r="E293" s="856"/>
      <c r="F293" s="856"/>
      <c r="G293" s="856"/>
      <c r="H293" s="856"/>
      <c r="I293" s="856"/>
      <c r="J293" s="856"/>
      <c r="K293" s="856"/>
      <c r="L293" s="856"/>
      <c r="M293" s="856"/>
      <c r="N293" s="856"/>
      <c r="O293" s="856"/>
      <c r="P293" s="856"/>
      <c r="Q293" s="856"/>
      <c r="R293" s="856"/>
      <c r="S293" s="856"/>
      <c r="T293" s="856"/>
      <c r="U293" s="856"/>
      <c r="V293" s="856"/>
      <c r="W293" s="856"/>
      <c r="X293" s="856"/>
      <c r="Y293" s="856"/>
      <c r="Z293" s="856"/>
      <c r="AA293" s="856"/>
      <c r="AB293" s="856"/>
      <c r="AC293" s="857">
        <f>AC294-AC292</f>
        <v>-25</v>
      </c>
      <c r="AD293" s="857">
        <f t="shared" ref="AD293:BQ293" si="1452">AD294-AD292</f>
        <v>-28</v>
      </c>
      <c r="AE293" s="857">
        <f t="shared" si="1452"/>
        <v>-22</v>
      </c>
      <c r="AF293" s="857">
        <f t="shared" si="1452"/>
        <v>-10</v>
      </c>
      <c r="AG293" s="857">
        <f t="shared" si="1452"/>
        <v>-85</v>
      </c>
      <c r="AH293" s="857">
        <f t="shared" si="1452"/>
        <v>-14</v>
      </c>
      <c r="AI293" s="857">
        <f t="shared" si="1452"/>
        <v>-34</v>
      </c>
      <c r="AJ293" s="857">
        <f t="shared" si="1452"/>
        <v>-47</v>
      </c>
      <c r="AK293" s="857">
        <f t="shared" si="1452"/>
        <v>-14</v>
      </c>
      <c r="AL293" s="857">
        <f t="shared" si="1452"/>
        <v>-109</v>
      </c>
      <c r="AM293" s="857">
        <f t="shared" si="1452"/>
        <v>-18</v>
      </c>
      <c r="AN293" s="857">
        <f t="shared" si="1452"/>
        <v>-21</v>
      </c>
      <c r="AO293" s="857">
        <f t="shared" si="1452"/>
        <v>-25</v>
      </c>
      <c r="AP293" s="857">
        <f t="shared" si="1452"/>
        <v>0</v>
      </c>
      <c r="AQ293" s="857">
        <f t="shared" si="1452"/>
        <v>-64</v>
      </c>
      <c r="AR293" s="857">
        <f t="shared" si="1452"/>
        <v>-19</v>
      </c>
      <c r="AS293" s="857">
        <f t="shared" si="1452"/>
        <v>-14</v>
      </c>
      <c r="AT293" s="857">
        <f t="shared" si="1452"/>
        <v>-21</v>
      </c>
      <c r="AU293" s="857">
        <f t="shared" si="1452"/>
        <v>-16</v>
      </c>
      <c r="AV293" s="857">
        <f t="shared" si="1452"/>
        <v>-70</v>
      </c>
      <c r="AW293" s="857">
        <f t="shared" si="1452"/>
        <v>-10</v>
      </c>
      <c r="AX293" s="857">
        <f t="shared" si="1452"/>
        <v>-7</v>
      </c>
      <c r="AY293" s="857">
        <f t="shared" si="1452"/>
        <v>-6</v>
      </c>
      <c r="AZ293" s="857">
        <f t="shared" si="1452"/>
        <v>23</v>
      </c>
      <c r="BA293" s="857">
        <f t="shared" si="1452"/>
        <v>0</v>
      </c>
      <c r="BB293" s="857">
        <f t="shared" si="1452"/>
        <v>-3.191000000000713</v>
      </c>
      <c r="BC293" s="857">
        <f t="shared" si="1452"/>
        <v>-17.377000000000407</v>
      </c>
      <c r="BD293" s="857">
        <f t="shared" si="1452"/>
        <v>-27.63799999999992</v>
      </c>
      <c r="BE293" s="857">
        <f t="shared" si="1452"/>
        <v>-14.048999999999069</v>
      </c>
      <c r="BF293" s="857">
        <f t="shared" si="1452"/>
        <v>-62.255000000001019</v>
      </c>
      <c r="BG293" s="857">
        <f t="shared" si="1452"/>
        <v>-6.9679999999998472</v>
      </c>
      <c r="BH293" s="857">
        <f t="shared" si="1452"/>
        <v>-6</v>
      </c>
      <c r="BI293" s="857">
        <f t="shared" si="1452"/>
        <v>-2.01299999999992</v>
      </c>
      <c r="BJ293" s="857">
        <f t="shared" si="1452"/>
        <v>-2.6480000000010477</v>
      </c>
      <c r="BK293" s="857">
        <f t="shared" si="1452"/>
        <v>-17.629000000000815</v>
      </c>
      <c r="BL293" s="857">
        <f t="shared" si="1452"/>
        <v>-2.6200000000008004</v>
      </c>
      <c r="BM293" s="857">
        <f t="shared" si="1452"/>
        <v>-1.6389999999992142</v>
      </c>
      <c r="BN293" s="857">
        <f t="shared" si="1452"/>
        <v>-1.9250000000001819</v>
      </c>
      <c r="BO293" s="857">
        <f t="shared" si="1452"/>
        <v>-2.9469999999992069</v>
      </c>
      <c r="BP293" s="857">
        <f t="shared" si="1452"/>
        <v>-9.1310000000012224</v>
      </c>
      <c r="BQ293" s="857">
        <f t="shared" si="1452"/>
        <v>-3.6369999999997162</v>
      </c>
      <c r="BR293" s="857">
        <f t="shared" ref="BR293" si="1453">BR294-BR292</f>
        <v>-2.1639999999997599</v>
      </c>
      <c r="BS293" s="857">
        <f t="shared" ref="BS293" si="1454">BS294-BS292</f>
        <v>-6.0000000003128662E-3</v>
      </c>
      <c r="BT293" s="857">
        <f t="shared" ref="BT293" si="1455">BT294-BT292</f>
        <v>-7.1430000000000291</v>
      </c>
      <c r="BU293" s="857">
        <f t="shared" ref="BU293" si="1456">BU294-BU292</f>
        <v>-12.950000000000728</v>
      </c>
      <c r="BV293" s="857">
        <f t="shared" ref="BV293" si="1457">BV294-BV292</f>
        <v>-2.9409999999998035</v>
      </c>
      <c r="BW293" s="857">
        <f t="shared" ref="BW293" si="1458">BW294-BW292</f>
        <v>-9.259000000000924</v>
      </c>
      <c r="BX293" s="857">
        <f t="shared" ref="BX293" si="1459">BX294-BX292</f>
        <v>-12.399999999996908</v>
      </c>
      <c r="BY293" s="857">
        <f t="shared" ref="BY293" si="1460">BY294-BY292</f>
        <v>-5.4060000000017681</v>
      </c>
      <c r="BZ293" s="857">
        <f t="shared" ref="BZ293" si="1461">BZ294-BZ292</f>
        <v>-30.006000000001222</v>
      </c>
      <c r="CA293" s="857">
        <f t="shared" ref="CA293" si="1462">CA294-CA292</f>
        <v>-3.6760000000003856</v>
      </c>
      <c r="CB293" s="857">
        <f t="shared" ref="CB293:CC293" si="1463">CB294-CB292</f>
        <v>-6.7969999999986612</v>
      </c>
      <c r="CC293" s="857">
        <f t="shared" si="1463"/>
        <v>-4.7230000000008658</v>
      </c>
      <c r="CD293" s="857">
        <f t="shared" ref="CD293:CE293" si="1464">CD294-CD292</f>
        <v>-3.1529999999984284</v>
      </c>
      <c r="CE293" s="857">
        <f t="shared" si="1464"/>
        <v>-18.348999999998341</v>
      </c>
      <c r="CF293" s="857">
        <f t="shared" ref="CF293:CG293" si="1465">CF294-CF292</f>
        <v>-2.7150000000001455</v>
      </c>
      <c r="CG293" s="857">
        <f t="shared" si="1465"/>
        <v>-1.6879999999982829</v>
      </c>
      <c r="CH293" s="857">
        <f t="shared" ref="CH293:CK293" si="1466">CH294-CH292</f>
        <v>-2.1860000000015134</v>
      </c>
      <c r="CI293" s="857">
        <f t="shared" si="1466"/>
        <v>-2.8139999999984866</v>
      </c>
      <c r="CJ293" s="857">
        <f t="shared" si="1466"/>
        <v>-9.4029999999984284</v>
      </c>
      <c r="CK293" s="857">
        <f t="shared" si="1466"/>
        <v>-1.8230000000003201</v>
      </c>
      <c r="CL293" s="857">
        <f t="shared" ref="CL293" si="1467">CL294-CL292</f>
        <v>-8.282999999999447</v>
      </c>
      <c r="CM293" s="857">
        <f t="shared" ref="CM293" si="1468">CM294-CM292</f>
        <v>-16.431000000000495</v>
      </c>
      <c r="CN293" s="857"/>
      <c r="CO293" s="857">
        <f t="shared" ref="CO293:CT293" si="1469">CO311</f>
        <v>-1.6277543485610064</v>
      </c>
      <c r="CP293" s="857">
        <f t="shared" si="1469"/>
        <v>-1.8130979118056534</v>
      </c>
      <c r="CQ293" s="857">
        <f t="shared" si="1469"/>
        <v>-1.8915513096312464</v>
      </c>
      <c r="CR293" s="857">
        <f t="shared" si="1469"/>
        <v>-1.9732739248608122</v>
      </c>
      <c r="CS293" s="857">
        <f t="shared" si="1469"/>
        <v>-2.0584010170574669</v>
      </c>
      <c r="CT293" s="857">
        <f t="shared" si="1469"/>
        <v>-2.1470734533684217</v>
      </c>
      <c r="CU293" s="347"/>
      <c r="CV293" s="1363"/>
      <c r="CW293" s="347"/>
      <c r="CX293" s="347"/>
      <c r="CZ293" s="354"/>
      <c r="DA293" s="354"/>
      <c r="DB293" s="354"/>
      <c r="DC293" s="354"/>
      <c r="DD293" s="354"/>
      <c r="DE293" s="354"/>
    </row>
    <row r="294" spans="1:109">
      <c r="B294" s="598" t="s">
        <v>838</v>
      </c>
      <c r="C294" s="858"/>
      <c r="D294" s="858"/>
      <c r="E294" s="858"/>
      <c r="F294" s="858"/>
      <c r="G294" s="858"/>
      <c r="H294" s="858"/>
      <c r="I294" s="858"/>
      <c r="J294" s="858"/>
      <c r="K294" s="858"/>
      <c r="L294" s="858"/>
      <c r="M294" s="858"/>
      <c r="N294" s="858"/>
      <c r="O294" s="858"/>
      <c r="P294" s="858"/>
      <c r="Q294" s="858"/>
      <c r="R294" s="858"/>
      <c r="S294" s="858"/>
      <c r="T294" s="858"/>
      <c r="U294" s="858"/>
      <c r="V294" s="858"/>
      <c r="W294" s="858"/>
      <c r="X294" s="858"/>
      <c r="Y294" s="858"/>
      <c r="Z294" s="858"/>
      <c r="AA294" s="858"/>
      <c r="AB294" s="858"/>
      <c r="AC294" s="858">
        <f>AC314</f>
        <v>5758</v>
      </c>
      <c r="AD294" s="858">
        <f t="shared" ref="AD294:BQ294" si="1470">AD314</f>
        <v>6055</v>
      </c>
      <c r="AE294" s="858">
        <f t="shared" si="1470"/>
        <v>6388</v>
      </c>
      <c r="AF294" s="858">
        <f t="shared" si="1470"/>
        <v>6383</v>
      </c>
      <c r="AG294" s="858">
        <f t="shared" si="1470"/>
        <v>24584</v>
      </c>
      <c r="AH294" s="858">
        <f t="shared" si="1470"/>
        <v>5507</v>
      </c>
      <c r="AI294" s="858">
        <f t="shared" si="1470"/>
        <v>6041</v>
      </c>
      <c r="AJ294" s="858">
        <f t="shared" si="1470"/>
        <v>6006</v>
      </c>
      <c r="AK294" s="858">
        <f t="shared" si="1470"/>
        <v>5906</v>
      </c>
      <c r="AL294" s="858">
        <f t="shared" si="1470"/>
        <v>23460</v>
      </c>
      <c r="AM294" s="858">
        <f t="shared" si="1470"/>
        <v>5481</v>
      </c>
      <c r="AN294" s="858">
        <f t="shared" si="1470"/>
        <v>5611</v>
      </c>
      <c r="AO294" s="858">
        <f t="shared" si="1470"/>
        <v>5830</v>
      </c>
      <c r="AP294" s="858">
        <f t="shared" si="1470"/>
        <v>5973</v>
      </c>
      <c r="AQ294" s="858">
        <f t="shared" si="1470"/>
        <v>22895</v>
      </c>
      <c r="AR294" s="858">
        <f t="shared" si="1470"/>
        <v>5616</v>
      </c>
      <c r="AS294" s="858">
        <f t="shared" si="1470"/>
        <v>5238</v>
      </c>
      <c r="AT294" s="858">
        <f t="shared" si="1470"/>
        <v>5230</v>
      </c>
      <c r="AU294" s="858">
        <f t="shared" si="1470"/>
        <v>5257</v>
      </c>
      <c r="AV294" s="858">
        <f t="shared" si="1470"/>
        <v>21341</v>
      </c>
      <c r="AW294" s="858">
        <f t="shared" si="1470"/>
        <v>5266</v>
      </c>
      <c r="AX294" s="858">
        <f t="shared" si="1470"/>
        <v>5667</v>
      </c>
      <c r="AY294" s="858">
        <f t="shared" si="1470"/>
        <v>5970</v>
      </c>
      <c r="AZ294" s="858">
        <f t="shared" si="1470"/>
        <v>5998</v>
      </c>
      <c r="BA294" s="858">
        <f t="shared" si="1470"/>
        <v>22901</v>
      </c>
      <c r="BB294" s="858">
        <f t="shared" si="1470"/>
        <v>5501.3649999999998</v>
      </c>
      <c r="BC294" s="858">
        <f t="shared" si="1470"/>
        <v>5544.6769999999997</v>
      </c>
      <c r="BD294" s="858">
        <f t="shared" si="1470"/>
        <v>5846.17</v>
      </c>
      <c r="BE294" s="858">
        <f t="shared" si="1470"/>
        <v>6046.6</v>
      </c>
      <c r="BF294" s="858">
        <f t="shared" si="1470"/>
        <v>22938.811999999998</v>
      </c>
      <c r="BG294" s="858">
        <f t="shared" si="1470"/>
        <v>5967.2240000000002</v>
      </c>
      <c r="BH294" s="858">
        <f t="shared" si="1470"/>
        <v>6289.6049999999996</v>
      </c>
      <c r="BI294" s="858">
        <f t="shared" si="1470"/>
        <v>6463.6930000000002</v>
      </c>
      <c r="BJ294" s="858">
        <f t="shared" si="1470"/>
        <v>6412.33</v>
      </c>
      <c r="BK294" s="858">
        <f t="shared" si="1470"/>
        <v>25132.851999999999</v>
      </c>
      <c r="BL294" s="858">
        <f t="shared" si="1470"/>
        <v>6497.1509999999998</v>
      </c>
      <c r="BM294" s="858">
        <f t="shared" si="1470"/>
        <v>6585.009</v>
      </c>
      <c r="BN294" s="858">
        <f t="shared" si="1470"/>
        <v>6573.991</v>
      </c>
      <c r="BO294" s="858">
        <f t="shared" si="1470"/>
        <v>6352.9440000000004</v>
      </c>
      <c r="BP294" s="858">
        <f t="shared" si="1470"/>
        <v>26009.094999999998</v>
      </c>
      <c r="BQ294" s="858">
        <f t="shared" si="1470"/>
        <v>6247.3630000000003</v>
      </c>
      <c r="BR294" s="858">
        <f t="shared" ref="BR294:CB294" si="1471">BR314</f>
        <v>6726.8360000000002</v>
      </c>
      <c r="BS294" s="858">
        <f t="shared" si="1471"/>
        <v>6825.9939999999997</v>
      </c>
      <c r="BT294" s="858">
        <f t="shared" si="1471"/>
        <v>6953.857</v>
      </c>
      <c r="BU294" s="858">
        <f t="shared" si="1471"/>
        <v>26754.05</v>
      </c>
      <c r="BV294" s="858">
        <f t="shared" si="1471"/>
        <v>6742.0590000000002</v>
      </c>
      <c r="BW294" s="858">
        <f t="shared" si="1471"/>
        <v>7332.7409999999991</v>
      </c>
      <c r="BX294" s="858">
        <f t="shared" si="1471"/>
        <v>7520.6000000000031</v>
      </c>
      <c r="BY294" s="858">
        <f t="shared" si="1471"/>
        <v>7546.5939999999982</v>
      </c>
      <c r="BZ294" s="858">
        <f t="shared" si="1471"/>
        <v>29141.993999999999</v>
      </c>
      <c r="CA294" s="858">
        <f t="shared" si="1471"/>
        <v>7547.3239999999996</v>
      </c>
      <c r="CB294" s="858">
        <f t="shared" si="1471"/>
        <v>8217.2030000000013</v>
      </c>
      <c r="CC294" s="858">
        <f t="shared" ref="CC294:CE294" si="1472">CC314</f>
        <v>8103.2769999999991</v>
      </c>
      <c r="CD294" s="858">
        <f t="shared" si="1472"/>
        <v>8454.8470000000016</v>
      </c>
      <c r="CE294" s="858">
        <f t="shared" si="1472"/>
        <v>32322.651000000002</v>
      </c>
      <c r="CF294" s="858">
        <f t="shared" ref="CF294:CG294" si="1473">CF314</f>
        <v>8438.2849999999999</v>
      </c>
      <c r="CG294" s="858">
        <f t="shared" si="1473"/>
        <v>8613.3120000000017</v>
      </c>
      <c r="CH294" s="858">
        <f t="shared" ref="CH294:CK294" si="1474">CH314</f>
        <v>8309.8139999999985</v>
      </c>
      <c r="CI294" s="858">
        <f t="shared" si="1474"/>
        <v>9030.1860000000015</v>
      </c>
      <c r="CJ294" s="858">
        <f t="shared" si="1474"/>
        <v>34391.597000000002</v>
      </c>
      <c r="CK294" s="858">
        <f t="shared" si="1474"/>
        <v>8601.1769999999997</v>
      </c>
      <c r="CL294" s="858">
        <f t="shared" ref="CL294" si="1475">CL314</f>
        <v>10493.717000000001</v>
      </c>
      <c r="CM294" s="858">
        <f t="shared" ref="CM294" si="1476">CM314</f>
        <v>11452.569</v>
      </c>
      <c r="CN294" s="858"/>
      <c r="CO294" s="858">
        <f t="shared" ref="CO294:CT294" si="1477">CO314</f>
        <v>42474.105831966364</v>
      </c>
      <c r="CP294" s="858">
        <f t="shared" si="1477"/>
        <v>47281.52542977938</v>
      </c>
      <c r="CQ294" s="858">
        <f t="shared" si="1477"/>
        <v>49342.820741226758</v>
      </c>
      <c r="CR294" s="858">
        <f t="shared" si="1477"/>
        <v>51491.024704882409</v>
      </c>
      <c r="CS294" s="858">
        <f t="shared" si="1477"/>
        <v>53729.794804044934</v>
      </c>
      <c r="CT294" s="858">
        <f t="shared" si="1477"/>
        <v>56062.943842146051</v>
      </c>
      <c r="CU294" s="347"/>
      <c r="CV294" s="1363"/>
      <c r="CW294" s="347"/>
      <c r="CX294" s="347"/>
      <c r="CZ294" s="354"/>
      <c r="DA294" s="354"/>
      <c r="DB294" s="354"/>
      <c r="DC294" s="354"/>
      <c r="DD294" s="354"/>
      <c r="DE294" s="354"/>
    </row>
    <row r="295" spans="1:109">
      <c r="B295" s="385"/>
      <c r="C295" s="398"/>
      <c r="D295" s="398"/>
      <c r="E295" s="398"/>
      <c r="F295" s="398"/>
      <c r="G295" s="398"/>
      <c r="H295" s="398"/>
      <c r="I295" s="398"/>
      <c r="J295" s="398"/>
      <c r="K295" s="398"/>
      <c r="L295" s="398"/>
      <c r="M295" s="398"/>
      <c r="N295" s="398"/>
      <c r="O295" s="398"/>
      <c r="P295" s="398"/>
      <c r="Q295" s="398"/>
      <c r="R295" s="398"/>
      <c r="S295" s="398"/>
      <c r="T295" s="398"/>
      <c r="U295" s="398"/>
      <c r="V295" s="398"/>
      <c r="W295" s="398"/>
      <c r="X295" s="398"/>
      <c r="Y295" s="398"/>
      <c r="Z295" s="398"/>
      <c r="AA295" s="398"/>
      <c r="AB295" s="398"/>
      <c r="AC295" s="398"/>
      <c r="AD295" s="398"/>
      <c r="AE295" s="398"/>
      <c r="AF295" s="398"/>
      <c r="AG295" s="398"/>
      <c r="AH295" s="398"/>
      <c r="AI295" s="398"/>
      <c r="AJ295" s="398"/>
      <c r="AK295" s="398"/>
      <c r="AL295" s="398"/>
      <c r="AM295" s="398"/>
      <c r="AN295" s="398"/>
      <c r="AO295" s="398"/>
      <c r="AP295" s="398"/>
      <c r="AQ295" s="398"/>
      <c r="AR295" s="398"/>
      <c r="AS295" s="398"/>
      <c r="AT295" s="398"/>
      <c r="AU295" s="398"/>
      <c r="AV295" s="398"/>
      <c r="AW295" s="398"/>
      <c r="AX295" s="398"/>
      <c r="AY295" s="398"/>
      <c r="AZ295" s="398"/>
      <c r="BA295" s="398"/>
      <c r="BB295" s="398"/>
      <c r="BC295" s="398"/>
      <c r="BD295" s="398"/>
      <c r="BE295" s="398"/>
      <c r="BF295" s="398"/>
      <c r="BG295" s="398"/>
      <c r="BH295" s="398"/>
      <c r="BI295" s="398"/>
      <c r="BJ295" s="398"/>
      <c r="BK295" s="398"/>
      <c r="BL295" s="398"/>
      <c r="BM295" s="398"/>
      <c r="BN295" s="398"/>
      <c r="BO295" s="398"/>
      <c r="BP295" s="398"/>
      <c r="BQ295" s="398"/>
      <c r="BR295" s="398"/>
      <c r="BS295" s="398"/>
      <c r="BT295" s="398"/>
      <c r="BU295" s="398"/>
      <c r="BV295" s="602"/>
      <c r="BW295" s="602"/>
      <c r="BX295" s="602"/>
      <c r="BY295" s="602"/>
      <c r="BZ295" s="602"/>
      <c r="CA295" s="602"/>
      <c r="CB295" s="602"/>
      <c r="CC295" s="602"/>
      <c r="CD295" s="602"/>
      <c r="CE295" s="602"/>
      <c r="CF295" s="602"/>
      <c r="CG295" s="602"/>
      <c r="CH295" s="602"/>
      <c r="CI295" s="602"/>
      <c r="CJ295" s="602"/>
      <c r="CK295" s="602"/>
      <c r="CL295" s="602"/>
      <c r="CM295" s="602"/>
      <c r="CN295" s="602"/>
      <c r="CO295" s="602"/>
      <c r="CP295" s="602"/>
      <c r="CQ295" s="602"/>
      <c r="CR295" s="602"/>
      <c r="CS295" s="602"/>
      <c r="CT295" s="602"/>
      <c r="CU295" s="347"/>
      <c r="CV295" s="1363"/>
      <c r="CW295" s="347"/>
      <c r="CX295" s="347"/>
      <c r="CZ295" s="354"/>
      <c r="DA295" s="354"/>
      <c r="DB295" s="354"/>
      <c r="DC295" s="354"/>
      <c r="DD295" s="354"/>
      <c r="DE295" s="354"/>
    </row>
    <row r="296" spans="1:109">
      <c r="B296" s="385" t="s">
        <v>0</v>
      </c>
      <c r="C296" s="398"/>
      <c r="D296" s="398"/>
      <c r="E296" s="398"/>
      <c r="F296" s="398"/>
      <c r="G296" s="398"/>
      <c r="H296" s="398"/>
      <c r="I296" s="398"/>
      <c r="J296" s="398"/>
      <c r="K296" s="398"/>
      <c r="L296" s="398"/>
      <c r="M296" s="398"/>
      <c r="N296" s="398"/>
      <c r="O296" s="398"/>
      <c r="P296" s="398"/>
      <c r="Q296" s="398"/>
      <c r="R296" s="398"/>
      <c r="S296" s="398"/>
      <c r="T296" s="398"/>
      <c r="U296" s="398"/>
      <c r="V296" s="398"/>
      <c r="W296" s="398"/>
      <c r="X296" s="398"/>
      <c r="Y296" s="398"/>
      <c r="Z296" s="398"/>
      <c r="AA296" s="398"/>
      <c r="AB296" s="398"/>
      <c r="AC296" s="398"/>
      <c r="AD296" s="398"/>
      <c r="AE296" s="398"/>
      <c r="AF296" s="398"/>
      <c r="AG296" s="398"/>
      <c r="AH296" s="398"/>
      <c r="AI296" s="398"/>
      <c r="AJ296" s="398"/>
      <c r="AK296" s="398"/>
      <c r="AL296" s="398"/>
      <c r="AM296" s="398"/>
      <c r="AN296" s="398"/>
      <c r="AO296" s="398"/>
      <c r="AP296" s="398"/>
      <c r="AQ296" s="398"/>
      <c r="AR296" s="398"/>
      <c r="AS296" s="398"/>
      <c r="AT296" s="398"/>
      <c r="AU296" s="398"/>
      <c r="AV296" s="398"/>
      <c r="AW296" s="398"/>
      <c r="AX296" s="398"/>
      <c r="AY296" s="398"/>
      <c r="AZ296" s="398"/>
      <c r="BA296" s="398"/>
      <c r="BB296" s="398"/>
      <c r="BC296" s="398"/>
      <c r="BD296" s="398"/>
      <c r="BE296" s="398"/>
      <c r="BF296" s="398"/>
      <c r="BG296" s="398"/>
      <c r="BH296" s="398"/>
      <c r="BI296" s="398"/>
      <c r="BJ296" s="398"/>
      <c r="BK296" s="398"/>
      <c r="BL296" s="398"/>
      <c r="BM296" s="398"/>
      <c r="BN296" s="398"/>
      <c r="BO296" s="398"/>
      <c r="BP296" s="398"/>
      <c r="BQ296" s="398"/>
      <c r="BR296" s="398"/>
      <c r="BS296" s="398"/>
      <c r="BT296" s="398"/>
      <c r="BU296" s="398"/>
      <c r="BV296" s="602"/>
      <c r="BW296" s="602"/>
      <c r="BX296" s="602"/>
      <c r="BY296" s="602"/>
      <c r="BZ296" s="602"/>
      <c r="CA296" s="602"/>
      <c r="CB296" s="602"/>
      <c r="CC296" s="602"/>
      <c r="CD296" s="602"/>
      <c r="CE296" s="602"/>
      <c r="CF296" s="602"/>
      <c r="CG296" s="602"/>
      <c r="CH296" s="602"/>
      <c r="CI296" s="602"/>
      <c r="CJ296" s="602"/>
      <c r="CK296" s="602"/>
      <c r="CL296" s="602"/>
      <c r="CM296" s="602"/>
      <c r="CN296" s="602"/>
      <c r="CO296" s="602"/>
      <c r="CP296" s="602"/>
      <c r="CQ296" s="602"/>
      <c r="CR296" s="602"/>
      <c r="CS296" s="602"/>
      <c r="CT296" s="602"/>
      <c r="CU296" s="347"/>
      <c r="CV296" s="1363"/>
      <c r="CW296" s="347"/>
      <c r="CX296" s="347"/>
      <c r="CZ296" s="354"/>
      <c r="DA296" s="354"/>
      <c r="DB296" s="354"/>
      <c r="DC296" s="354"/>
      <c r="DD296" s="354"/>
      <c r="DE296" s="354"/>
    </row>
    <row r="297" spans="1:109">
      <c r="B297" s="1353" t="s">
        <v>835</v>
      </c>
      <c r="C297" s="398"/>
      <c r="D297" s="398"/>
      <c r="E297" s="398"/>
      <c r="F297" s="398"/>
      <c r="G297" s="398"/>
      <c r="H297" s="398"/>
      <c r="I297" s="398"/>
      <c r="J297" s="398"/>
      <c r="K297" s="398"/>
      <c r="L297" s="398"/>
      <c r="M297" s="398"/>
      <c r="N297" s="398"/>
      <c r="O297" s="398"/>
      <c r="P297" s="398"/>
      <c r="Q297" s="398"/>
      <c r="R297" s="398"/>
      <c r="S297" s="398"/>
      <c r="T297" s="398"/>
      <c r="U297" s="398"/>
      <c r="V297" s="398"/>
      <c r="W297" s="398"/>
      <c r="X297" s="398"/>
      <c r="Y297" s="398"/>
      <c r="Z297" s="398"/>
      <c r="AA297" s="398"/>
      <c r="AB297" s="398"/>
      <c r="AC297" s="398"/>
      <c r="AD297" s="398"/>
      <c r="AE297" s="398"/>
      <c r="AF297" s="398"/>
      <c r="AG297" s="398"/>
      <c r="AH297" s="353">
        <f>AH290/AC290-1</f>
        <v>-7.9791847354726775E-2</v>
      </c>
      <c r="AI297" s="353">
        <f t="shared" ref="AI297:AI301" si="1478">AI290/AD290-1</f>
        <v>2.0379050336249982E-4</v>
      </c>
      <c r="AJ297" s="353">
        <f t="shared" ref="AJ297:AJ301" si="1479">AJ290/AE290-1</f>
        <v>-5.9827420901246375E-2</v>
      </c>
      <c r="AK297" s="353">
        <f t="shared" ref="AK297:AK301" si="1480">AK290/AF290-1</f>
        <v>-6.9950172479877337E-2</v>
      </c>
      <c r="AL297" s="353">
        <f t="shared" ref="AL297:AL301" si="1481">AL290/AG290-1</f>
        <v>-5.2325581395348819E-2</v>
      </c>
      <c r="AM297" s="353">
        <f>AM290/AH290-1</f>
        <v>7.0216776625824595E-2</v>
      </c>
      <c r="AN297" s="353">
        <f t="shared" ref="AN297:AN301" si="1482">AN290/AI290-1</f>
        <v>-4.5436022819885902E-2</v>
      </c>
      <c r="AO297" s="353">
        <f t="shared" ref="AO297:AO301" si="1483">AO290/AJ290-1</f>
        <v>6.3226595961656251E-3</v>
      </c>
      <c r="AP297" s="353">
        <f t="shared" ref="AP297:AP301" si="1484">AP290/AK290-1</f>
        <v>3.6884401401195088E-2</v>
      </c>
      <c r="AQ297" s="353">
        <f t="shared" ref="AQ297:AQ301" si="1485">AQ290/AL290-1</f>
        <v>1.5072984979902726E-2</v>
      </c>
      <c r="AR297" s="353">
        <f>AR290/AM290-1</f>
        <v>5.2619991193306959E-2</v>
      </c>
      <c r="AS297" s="353">
        <f t="shared" ref="AS297:AS301" si="1486">AS290/AN290-1</f>
        <v>-4.6104589114194239E-2</v>
      </c>
      <c r="AT297" s="353">
        <f t="shared" ref="AT297:AT301" si="1487">AT290/AO290-1</f>
        <v>-8.0056749087961121E-2</v>
      </c>
      <c r="AU297" s="353">
        <f t="shared" ref="AU297:AU301" si="1488">AU290/AP290-1</f>
        <v>-8.8831478537360842E-2</v>
      </c>
      <c r="AV297" s="353">
        <f t="shared" ref="AV297:AV301" si="1489">AV290/AQ290-1</f>
        <v>-4.2671807429792152E-2</v>
      </c>
      <c r="AW297" s="353">
        <f>AW290/AR290-1</f>
        <v>-3.8067349926793503E-2</v>
      </c>
      <c r="AX297" s="353">
        <f t="shared" ref="AX297:AX301" si="1490">AX290/AS290-1</f>
        <v>0.12486014768404563</v>
      </c>
      <c r="AY297" s="353">
        <f t="shared" ref="AY297:AY301" si="1491">AY290/AT290-1</f>
        <v>0.16325181758096496</v>
      </c>
      <c r="AZ297" s="353">
        <f t="shared" ref="AZ297:AZ301" si="1492">AZ290/AU290-1</f>
        <v>0.16793893129770998</v>
      </c>
      <c r="BA297" s="353">
        <f t="shared" ref="BA297:BA301" si="1493">BA290/AV290-1</f>
        <v>0.10269946663764018</v>
      </c>
      <c r="BB297" s="353">
        <f>BB290/AW290-1</f>
        <v>4.5879539030224015E-2</v>
      </c>
      <c r="BC297" s="353">
        <f t="shared" ref="BC297:BC301" si="1494">BC290/AX290-1</f>
        <v>-4.8537895365028838E-2</v>
      </c>
      <c r="BD297" s="353">
        <f t="shared" ref="BD297:BD301" si="1495">BD290/AY290-1</f>
        <v>-5.3409090909090962E-2</v>
      </c>
      <c r="BE297" s="353">
        <f t="shared" ref="BE297:BE301" si="1496">BE290/AZ290-1</f>
        <v>-1.1764705882352899E-2</v>
      </c>
      <c r="BF297" s="353">
        <f t="shared" ref="BF297:BF301" si="1497">BF290/BA290-1</f>
        <v>-1.8656532254084146E-2</v>
      </c>
      <c r="BG297" s="353">
        <f>BG290/BB290-1</f>
        <v>0.11995841995842005</v>
      </c>
      <c r="BH297" s="353">
        <f t="shared" ref="BH297:BH301" si="1498">BH290/BC290-1</f>
        <v>0.18712105373196741</v>
      </c>
      <c r="BI297" s="353">
        <f t="shared" ref="BI297:BI301" si="1499">BI290/BD290-1</f>
        <v>0.18387354941976786</v>
      </c>
      <c r="BJ297" s="353">
        <f t="shared" ref="BJ297:BJ301" si="1500">BJ290/BE290-1</f>
        <v>0.10752078609221472</v>
      </c>
      <c r="BK297" s="353">
        <f t="shared" ref="BK297:BK301" si="1501">BK290/BF290-1</f>
        <v>0.14887089473419501</v>
      </c>
      <c r="BL297" s="353">
        <f>BL290/BG290-1</f>
        <v>0.11007982179320597</v>
      </c>
      <c r="BM297" s="353">
        <f t="shared" ref="BM297:BM301" si="1502">BM290/BH290-1</f>
        <v>8.4536808735470315E-2</v>
      </c>
      <c r="BN297" s="353">
        <f t="shared" ref="BN297:BN301" si="1503">BN290/BI290-1</f>
        <v>3.6166976508365645E-2</v>
      </c>
      <c r="BO297" s="353">
        <f t="shared" ref="BO297:BO301" si="1504">BO290/BJ290-1</f>
        <v>0</v>
      </c>
      <c r="BP297" s="353">
        <f t="shared" ref="BP297:BP301" si="1505">BP290/BK290-1</f>
        <v>5.6341111062469862E-2</v>
      </c>
      <c r="BQ297" s="353">
        <f>BQ290/BL290-1</f>
        <v>-5.4849498327759205E-2</v>
      </c>
      <c r="BR297" s="353">
        <f t="shared" ref="BR297:BR301" si="1506">BR290/BM290-1</f>
        <v>-1.1367327054238041E-3</v>
      </c>
      <c r="BS297" s="353">
        <f t="shared" ref="BS297:BS301" si="1507">BS290/BN290-1</f>
        <v>2.5933779155113301E-2</v>
      </c>
      <c r="BT297" s="353">
        <f t="shared" ref="BT297:BT301" si="1508">BT290/BO290-1</f>
        <v>9.4523118921685745E-2</v>
      </c>
      <c r="BU297" s="353">
        <f t="shared" ref="BU297:BU301" si="1509">BU290/BP290-1</f>
        <v>1.5665147119767964E-2</v>
      </c>
      <c r="BV297" s="353">
        <f>BV290/BQ290-1</f>
        <v>0.10120311394196735</v>
      </c>
      <c r="BW297" s="353">
        <f t="shared" ref="BW297:BZ301" si="1510">BW290/BR290-1</f>
        <v>7.998699398471798E-2</v>
      </c>
      <c r="BX297" s="353">
        <f t="shared" si="1510"/>
        <v>8.8394276629570667E-2</v>
      </c>
      <c r="BY297" s="353">
        <f t="shared" si="1510"/>
        <v>6.5627435697583891E-2</v>
      </c>
      <c r="BZ297" s="353">
        <f t="shared" si="1510"/>
        <v>8.327892932919867E-2</v>
      </c>
      <c r="CA297" s="353">
        <f>CA290/BV290-1</f>
        <v>0.11021850899742924</v>
      </c>
      <c r="CB297" s="353">
        <f>CB290/BW290-1</f>
        <v>0.12915851272015666</v>
      </c>
      <c r="CC297" s="353">
        <f>CC290/BX290-1</f>
        <v>6.7922874671340949E-2</v>
      </c>
      <c r="CD297" s="353">
        <f>CD290/BY290-1</f>
        <v>0.1234640140433001</v>
      </c>
      <c r="CE297" s="353">
        <f t="shared" ref="CE297:CE301" si="1511">CE290/BZ290-1</f>
        <v>0.10746167463934619</v>
      </c>
      <c r="CF297" s="353">
        <f>CF290/CA290-1</f>
        <v>0.13212735166425471</v>
      </c>
      <c r="CG297" s="353">
        <f>CG290/CB290-1</f>
        <v>6.8587388348220202E-2</v>
      </c>
      <c r="CH297" s="353">
        <f>CH290/CC290-1</f>
        <v>3.1185884283955634E-2</v>
      </c>
      <c r="CI297" s="353">
        <f>CI290/CD290-1</f>
        <v>6.7838541666666696E-2</v>
      </c>
      <c r="CJ297" s="353">
        <f t="shared" ref="CJ297:CJ301" si="1512">CJ290/CE290-1</f>
        <v>7.4024692197809827E-2</v>
      </c>
      <c r="CK297" s="353">
        <f>CK290/CF290-1</f>
        <v>8.1810047296433375E-3</v>
      </c>
      <c r="CL297" s="353">
        <f>CL290/CG290-1</f>
        <v>0.19506344852469115</v>
      </c>
      <c r="CM297" s="353">
        <f>CM290/CH290-1</f>
        <v>0.36516779413715339</v>
      </c>
      <c r="CN297" s="353"/>
      <c r="CO297" s="353">
        <f>CO290/CJ290-1</f>
        <v>0.17869529072134283</v>
      </c>
      <c r="CP297" s="353">
        <f t="shared" ref="CP297:CT297" si="1513">CP290/CO290-1</f>
        <v>0.11386457877289491</v>
      </c>
      <c r="CQ297" s="353">
        <f t="shared" si="1513"/>
        <v>4.3270359154217841E-2</v>
      </c>
      <c r="CR297" s="353">
        <f t="shared" si="1513"/>
        <v>4.3204017154309993E-2</v>
      </c>
      <c r="CS297" s="353">
        <f t="shared" si="1513"/>
        <v>4.3140027912069501E-2</v>
      </c>
      <c r="CT297" s="353">
        <f t="shared" si="1513"/>
        <v>4.3078309608355347E-2</v>
      </c>
      <c r="CU297" s="347"/>
      <c r="CV297" s="1363"/>
      <c r="CW297" s="347"/>
      <c r="CX297" s="347"/>
      <c r="CZ297" s="354"/>
      <c r="DA297" s="354"/>
      <c r="DB297" s="354"/>
      <c r="DC297" s="354"/>
      <c r="DD297" s="354"/>
      <c r="DE297" s="354"/>
    </row>
    <row r="298" spans="1:109">
      <c r="B298" s="1353" t="s">
        <v>501</v>
      </c>
      <c r="C298" s="398"/>
      <c r="D298" s="398"/>
      <c r="E298" s="398"/>
      <c r="F298" s="398"/>
      <c r="G298" s="398"/>
      <c r="H298" s="398"/>
      <c r="I298" s="398"/>
      <c r="J298" s="398"/>
      <c r="K298" s="398"/>
      <c r="L298" s="398"/>
      <c r="M298" s="398"/>
      <c r="N298" s="398"/>
      <c r="O298" s="398"/>
      <c r="P298" s="398"/>
      <c r="Q298" s="398"/>
      <c r="R298" s="398"/>
      <c r="S298" s="398"/>
      <c r="T298" s="398"/>
      <c r="U298" s="398"/>
      <c r="V298" s="398"/>
      <c r="W298" s="398"/>
      <c r="X298" s="398"/>
      <c r="Y298" s="398"/>
      <c r="Z298" s="398"/>
      <c r="AA298" s="398"/>
      <c r="AB298" s="398"/>
      <c r="AC298" s="398"/>
      <c r="AD298" s="398"/>
      <c r="AE298" s="398"/>
      <c r="AF298" s="398"/>
      <c r="AG298" s="398"/>
      <c r="AH298" s="353">
        <f t="shared" ref="AH298:AH301" si="1514">AH291/AC291-1</f>
        <v>9.052092228864228E-2</v>
      </c>
      <c r="AI298" s="353">
        <f t="shared" si="1478"/>
        <v>-7.6530612244898322E-3</v>
      </c>
      <c r="AJ298" s="353">
        <f t="shared" si="1479"/>
        <v>-3.7656903765690419E-2</v>
      </c>
      <c r="AK298" s="353">
        <f t="shared" si="1480"/>
        <v>-9.191489361702132E-2</v>
      </c>
      <c r="AL298" s="353">
        <f t="shared" si="1481"/>
        <v>-1.1871952512189976E-2</v>
      </c>
      <c r="AM298" s="353">
        <f t="shared" ref="AM298:AM301" si="1515">AM291/AH291-1</f>
        <v>-0.25058731401722789</v>
      </c>
      <c r="AN298" s="353">
        <f t="shared" si="1482"/>
        <v>-0.18851756640959727</v>
      </c>
      <c r="AO298" s="353">
        <f t="shared" si="1483"/>
        <v>-0.19913043478260872</v>
      </c>
      <c r="AP298" s="353">
        <f t="shared" si="1484"/>
        <v>-0.11808809746954074</v>
      </c>
      <c r="AQ298" s="353">
        <f t="shared" si="1485"/>
        <v>-0.19201888006865475</v>
      </c>
      <c r="AR298" s="353">
        <f t="shared" ref="AR298:AR301" si="1516">AR291/AM291-1</f>
        <v>-0.10762800417972829</v>
      </c>
      <c r="AS298" s="353">
        <f t="shared" si="1486"/>
        <v>-0.17317845828933476</v>
      </c>
      <c r="AT298" s="353">
        <f t="shared" si="1487"/>
        <v>-0.2269272529858849</v>
      </c>
      <c r="AU298" s="353">
        <f t="shared" si="1488"/>
        <v>-0.26886291179596178</v>
      </c>
      <c r="AV298" s="353">
        <f t="shared" si="1489"/>
        <v>-0.19357408390865638</v>
      </c>
      <c r="AW298" s="353">
        <f t="shared" ref="AW298:AW301" si="1517">AW291/AR291-1</f>
        <v>-0.20725995316159251</v>
      </c>
      <c r="AX298" s="353">
        <f t="shared" si="1490"/>
        <v>-0.17369093231162192</v>
      </c>
      <c r="AY298" s="353">
        <f t="shared" si="1491"/>
        <v>-2.2471910112359605E-2</v>
      </c>
      <c r="AZ298" s="353">
        <f t="shared" si="1492"/>
        <v>-9.8837209302325535E-2</v>
      </c>
      <c r="BA298" s="353">
        <f t="shared" si="1493"/>
        <v>-0.1307211063549556</v>
      </c>
      <c r="BB298" s="353">
        <f t="shared" ref="BB298:BB301" si="1518">BB291/AW291-1</f>
        <v>2.5932053175776293E-2</v>
      </c>
      <c r="BC298" s="353">
        <f t="shared" si="1494"/>
        <v>0.20410200927357036</v>
      </c>
      <c r="BD298" s="353">
        <f t="shared" si="1495"/>
        <v>0.2583448275862068</v>
      </c>
      <c r="BE298" s="353">
        <f t="shared" si="1496"/>
        <v>0.23975645161290227</v>
      </c>
      <c r="BF298" s="353">
        <f t="shared" si="1497"/>
        <v>0.18108598484848493</v>
      </c>
      <c r="BG298" s="353">
        <f t="shared" ref="BG298:BG301" si="1519">BG291/BB291-1</f>
        <v>-0.15457932837669019</v>
      </c>
      <c r="BH298" s="353">
        <f t="shared" si="1498"/>
        <v>-0.20723723901039015</v>
      </c>
      <c r="BI298" s="353">
        <f t="shared" si="1499"/>
        <v>-0.37348596952756752</v>
      </c>
      <c r="BJ298" s="353">
        <f t="shared" si="1500"/>
        <v>-0.2792835221277834</v>
      </c>
      <c r="BK298" s="353">
        <f t="shared" si="1501"/>
        <v>-0.25996426632269265</v>
      </c>
      <c r="BL298" s="353">
        <f t="shared" ref="BL298:BL301" si="1520">BL291/BG291-1</f>
        <v>-0.11481934358778623</v>
      </c>
      <c r="BM298" s="353">
        <f t="shared" si="1502"/>
        <v>-0.3059512147731972</v>
      </c>
      <c r="BN298" s="353">
        <f t="shared" si="1503"/>
        <v>-0.18915411896352496</v>
      </c>
      <c r="BO298" s="353">
        <f t="shared" si="1504"/>
        <v>-0.1066594702316721</v>
      </c>
      <c r="BP298" s="353">
        <f t="shared" si="1505"/>
        <v>-0.18169380376263156</v>
      </c>
      <c r="BQ298" s="353">
        <f t="shared" ref="BQ298:BQ301" si="1521">BQ291/BL291-1</f>
        <v>0.15243058962504508</v>
      </c>
      <c r="BR298" s="353">
        <f t="shared" si="1506"/>
        <v>0.34842574793303838</v>
      </c>
      <c r="BS298" s="353">
        <f t="shared" si="1507"/>
        <v>0.20472179018061798</v>
      </c>
      <c r="BT298" s="353">
        <f t="shared" si="1508"/>
        <v>0.10327324602791399</v>
      </c>
      <c r="BU298" s="353">
        <f t="shared" si="1509"/>
        <v>0.19636102881752526</v>
      </c>
      <c r="BV298" s="353">
        <f t="shared" ref="BV298:BV301" si="1522">BV291/BQ291-1</f>
        <v>-0.13021702838063443</v>
      </c>
      <c r="BW298" s="353">
        <f t="shared" si="1510"/>
        <v>0.20934256055363321</v>
      </c>
      <c r="BX298" s="353">
        <f t="shared" si="1510"/>
        <v>0.28171641791044766</v>
      </c>
      <c r="BY298" s="353">
        <f t="shared" si="1510"/>
        <v>0.31135531135531136</v>
      </c>
      <c r="BZ298" s="353">
        <f t="shared" si="1510"/>
        <v>0.16113324479858337</v>
      </c>
      <c r="CA298" s="353">
        <f t="shared" ref="CA298:CM301" si="1523">CA291/BV291-1</f>
        <v>0.23032629558541262</v>
      </c>
      <c r="CB298" s="353">
        <f t="shared" si="1523"/>
        <v>3.4334763948497882E-2</v>
      </c>
      <c r="CC298" s="353">
        <f t="shared" si="1523"/>
        <v>0.16011644832605532</v>
      </c>
      <c r="CD298" s="353">
        <f t="shared" si="1523"/>
        <v>8.6592178770949824E-2</v>
      </c>
      <c r="CE298" s="353">
        <f t="shared" si="1511"/>
        <v>0.12047274113610373</v>
      </c>
      <c r="CF298" s="353">
        <f t="shared" si="1523"/>
        <v>-3.5881435257410277E-2</v>
      </c>
      <c r="CG298" s="353">
        <f t="shared" si="1523"/>
        <v>-0.1707800829875521</v>
      </c>
      <c r="CH298" s="353">
        <f t="shared" si="1523"/>
        <v>-3.0112923462986219E-2</v>
      </c>
      <c r="CI298" s="353">
        <f t="shared" si="1523"/>
        <v>6.9408740359897081E-2</v>
      </c>
      <c r="CJ298" s="353">
        <f t="shared" si="1512"/>
        <v>-3.9630486560054523E-2</v>
      </c>
      <c r="CK298" s="353">
        <f t="shared" si="1523"/>
        <v>0.15857605177993528</v>
      </c>
      <c r="CL298" s="353">
        <f t="shared" si="1523"/>
        <v>0.53954957749955845</v>
      </c>
      <c r="CM298" s="353">
        <f t="shared" si="1523"/>
        <v>0.5226390685640363</v>
      </c>
      <c r="CN298" s="353"/>
      <c r="CO298" s="353">
        <f>CO291/CJ291-1</f>
        <v>0.8604184640465431</v>
      </c>
      <c r="CP298" s="353">
        <f t="shared" ref="CP298:CT301" si="1524">CP291/CO291-1</f>
        <v>0.10836541015849877</v>
      </c>
      <c r="CQ298" s="353">
        <f t="shared" si="1524"/>
        <v>4.5917510471890965E-2</v>
      </c>
      <c r="CR298" s="353">
        <f t="shared" si="1524"/>
        <v>4.5897449079830288E-2</v>
      </c>
      <c r="CS298" s="353">
        <f t="shared" si="1524"/>
        <v>4.5880177006891509E-2</v>
      </c>
      <c r="CT298" s="353">
        <f t="shared" si="1524"/>
        <v>4.5865617990916929E-2</v>
      </c>
      <c r="CU298" s="347"/>
      <c r="CV298" s="1363"/>
      <c r="CW298" s="347"/>
      <c r="CX298" s="347"/>
      <c r="CZ298" s="354"/>
      <c r="DA298" s="354"/>
      <c r="DB298" s="354"/>
      <c r="DC298" s="354"/>
      <c r="DD298" s="354"/>
      <c r="DE298" s="354"/>
    </row>
    <row r="299" spans="1:109">
      <c r="B299" s="1354" t="s">
        <v>836</v>
      </c>
      <c r="C299" s="599"/>
      <c r="D299" s="599"/>
      <c r="E299" s="599"/>
      <c r="F299" s="599"/>
      <c r="G299" s="599"/>
      <c r="H299" s="599"/>
      <c r="I299" s="599"/>
      <c r="J299" s="599"/>
      <c r="K299" s="599"/>
      <c r="L299" s="599"/>
      <c r="M299" s="599"/>
      <c r="N299" s="599"/>
      <c r="O299" s="599"/>
      <c r="P299" s="599"/>
      <c r="Q299" s="599"/>
      <c r="R299" s="599"/>
      <c r="S299" s="599"/>
      <c r="T299" s="599"/>
      <c r="U299" s="599"/>
      <c r="V299" s="599"/>
      <c r="W299" s="599"/>
      <c r="X299" s="599"/>
      <c r="Y299" s="599"/>
      <c r="Z299" s="599"/>
      <c r="AA299" s="599"/>
      <c r="AB299" s="599"/>
      <c r="AC299" s="599"/>
      <c r="AD299" s="599"/>
      <c r="AE299" s="599"/>
      <c r="AF299" s="599"/>
      <c r="AG299" s="599"/>
      <c r="AH299" s="605">
        <f t="shared" si="1514"/>
        <v>-4.5305204910945918E-2</v>
      </c>
      <c r="AI299" s="605">
        <f t="shared" si="1478"/>
        <v>-1.3151405556468543E-3</v>
      </c>
      <c r="AJ299" s="605">
        <f t="shared" si="1479"/>
        <v>-5.5694227769110816E-2</v>
      </c>
      <c r="AK299" s="605">
        <f t="shared" si="1480"/>
        <v>-7.3987173470983936E-2</v>
      </c>
      <c r="AL299" s="605">
        <f t="shared" si="1481"/>
        <v>-4.4590376585998626E-2</v>
      </c>
      <c r="AM299" s="605">
        <f t="shared" si="1515"/>
        <v>-3.9847853649701559E-3</v>
      </c>
      <c r="AN299" s="605">
        <f t="shared" si="1482"/>
        <v>-7.2921810699588474E-2</v>
      </c>
      <c r="AO299" s="605">
        <f t="shared" si="1483"/>
        <v>-3.2711052370725247E-2</v>
      </c>
      <c r="AP299" s="605">
        <f t="shared" si="1484"/>
        <v>8.9527027027027639E-3</v>
      </c>
      <c r="AQ299" s="605">
        <f t="shared" si="1485"/>
        <v>-2.5881454452883035E-2</v>
      </c>
      <c r="AR299" s="605">
        <f t="shared" si="1516"/>
        <v>2.4731769412620563E-2</v>
      </c>
      <c r="AS299" s="605">
        <f t="shared" si="1486"/>
        <v>-6.7471590909090939E-2</v>
      </c>
      <c r="AT299" s="605">
        <f t="shared" si="1487"/>
        <v>-0.10315969257045265</v>
      </c>
      <c r="AU299" s="605">
        <f t="shared" si="1488"/>
        <v>-0.11719403984597354</v>
      </c>
      <c r="AV299" s="605">
        <f t="shared" si="1489"/>
        <v>-6.7424539396315208E-2</v>
      </c>
      <c r="AW299" s="605">
        <f t="shared" si="1517"/>
        <v>-6.3708961845607814E-2</v>
      </c>
      <c r="AX299" s="605">
        <f t="shared" si="1490"/>
        <v>8.035034272658037E-2</v>
      </c>
      <c r="AY299" s="605">
        <f t="shared" si="1491"/>
        <v>0.13806893924966679</v>
      </c>
      <c r="AZ299" s="605">
        <f t="shared" si="1492"/>
        <v>0.13313104494595107</v>
      </c>
      <c r="BA299" s="605">
        <f t="shared" si="1493"/>
        <v>6.9590397459249997E-2</v>
      </c>
      <c r="BB299" s="605">
        <f t="shared" si="1518"/>
        <v>4.3319939347991054E-2</v>
      </c>
      <c r="BC299" s="605">
        <f t="shared" si="1494"/>
        <v>-1.9729643990130441E-2</v>
      </c>
      <c r="BD299" s="605">
        <f t="shared" si="1495"/>
        <v>-1.7100401606425675E-2</v>
      </c>
      <c r="BE299" s="605">
        <f t="shared" si="1496"/>
        <v>1.4334560669456042E-2</v>
      </c>
      <c r="BF299" s="605">
        <f t="shared" si="1497"/>
        <v>4.3695471813458564E-3</v>
      </c>
      <c r="BG299" s="605">
        <f t="shared" si="1519"/>
        <v>8.5317689564789578E-2</v>
      </c>
      <c r="BH299" s="605">
        <f t="shared" si="1498"/>
        <v>0.13188491158122506</v>
      </c>
      <c r="BI299" s="605">
        <f t="shared" si="1499"/>
        <v>0.10076904113992158</v>
      </c>
      <c r="BJ299" s="605">
        <f t="shared" si="1500"/>
        <v>5.8463870783475702E-2</v>
      </c>
      <c r="BK299" s="605">
        <f t="shared" si="1501"/>
        <v>9.3448447413330804E-2</v>
      </c>
      <c r="BL299" s="605">
        <f t="shared" si="1520"/>
        <v>8.7974909410343693E-2</v>
      </c>
      <c r="BM299" s="605">
        <f t="shared" si="1502"/>
        <v>4.6229552203481683E-2</v>
      </c>
      <c r="BN299" s="605">
        <f t="shared" si="1503"/>
        <v>1.70453157010233E-2</v>
      </c>
      <c r="BO299" s="605">
        <f t="shared" si="1504"/>
        <v>-9.2107876285781876E-3</v>
      </c>
      <c r="BP299" s="605">
        <f t="shared" si="1505"/>
        <v>3.4502123438513888E-2</v>
      </c>
      <c r="BQ299" s="605">
        <f t="shared" si="1521"/>
        <v>-3.8273809954227689E-2</v>
      </c>
      <c r="BR299" s="605">
        <f t="shared" si="1506"/>
        <v>2.161220699815769E-2</v>
      </c>
      <c r="BS299" s="605">
        <f t="shared" si="1507"/>
        <v>3.8030291141188499E-2</v>
      </c>
      <c r="BT299" s="605">
        <f t="shared" si="1508"/>
        <v>9.5204433178605496E-2</v>
      </c>
      <c r="BU299" s="605">
        <f t="shared" si="1509"/>
        <v>2.8778826042944017E-2</v>
      </c>
      <c r="BV299" s="605">
        <f t="shared" si="1522"/>
        <v>7.9027355623100259E-2</v>
      </c>
      <c r="BW299" s="605">
        <f t="shared" si="1510"/>
        <v>9.109823153514629E-2</v>
      </c>
      <c r="BX299" s="605">
        <f t="shared" si="1510"/>
        <v>0.10357456782888952</v>
      </c>
      <c r="BY299" s="605">
        <f t="shared" si="1510"/>
        <v>8.4901594598477237E-2</v>
      </c>
      <c r="BZ299" s="605">
        <f t="shared" si="1510"/>
        <v>8.9849441476444802E-2</v>
      </c>
      <c r="CA299" s="605">
        <f t="shared" si="1523"/>
        <v>0.11949592290585609</v>
      </c>
      <c r="CB299" s="605">
        <f t="shared" si="1523"/>
        <v>0.12013075456278943</v>
      </c>
      <c r="CC299" s="605">
        <f t="shared" si="1523"/>
        <v>7.6330811097836238E-2</v>
      </c>
      <c r="CD299" s="605">
        <f t="shared" si="1523"/>
        <v>0.11996822033898313</v>
      </c>
      <c r="CE299" s="605">
        <f t="shared" si="1511"/>
        <v>0.10863156451391753</v>
      </c>
      <c r="CF299" s="605">
        <f t="shared" si="1523"/>
        <v>0.11786518341941465</v>
      </c>
      <c r="CG299" s="605">
        <f t="shared" si="1523"/>
        <v>4.754377431906609E-2</v>
      </c>
      <c r="CH299" s="605">
        <f t="shared" si="1523"/>
        <v>2.5160335471139605E-2</v>
      </c>
      <c r="CI299" s="605">
        <f t="shared" si="1523"/>
        <v>6.7982974698510334E-2</v>
      </c>
      <c r="CJ299" s="605">
        <f t="shared" si="1512"/>
        <v>6.369623697473803E-2</v>
      </c>
      <c r="CK299" s="605">
        <f t="shared" si="1523"/>
        <v>1.9192038857955174E-2</v>
      </c>
      <c r="CL299" s="605">
        <f t="shared" si="1523"/>
        <v>0.2190365641323273</v>
      </c>
      <c r="CM299" s="605">
        <f t="shared" si="1523"/>
        <v>0.37981231953801742</v>
      </c>
      <c r="CN299" s="605"/>
      <c r="CO299" s="605">
        <f>CO292/CJ292-1</f>
        <v>0.2346291700130172</v>
      </c>
      <c r="CP299" s="605">
        <f t="shared" si="1524"/>
        <v>0.11318468975284723</v>
      </c>
      <c r="CQ299" s="605">
        <f t="shared" si="1524"/>
        <v>4.3596222489286296E-2</v>
      </c>
      <c r="CR299" s="605">
        <f t="shared" si="1524"/>
        <v>4.3536315110161983E-2</v>
      </c>
      <c r="CS299" s="605">
        <f t="shared" si="1524"/>
        <v>4.3478854433203429E-2</v>
      </c>
      <c r="CT299" s="605">
        <f t="shared" si="1524"/>
        <v>4.34237606468999E-2</v>
      </c>
      <c r="CU299" s="347"/>
      <c r="CV299" s="1363"/>
      <c r="CW299" s="347"/>
      <c r="CX299" s="347"/>
      <c r="CZ299" s="354"/>
      <c r="DA299" s="354"/>
      <c r="DB299" s="354"/>
      <c r="DC299" s="354"/>
      <c r="DD299" s="354"/>
      <c r="DE299" s="354"/>
    </row>
    <row r="300" spans="1:109">
      <c r="B300" s="1355" t="s">
        <v>837</v>
      </c>
      <c r="C300" s="601"/>
      <c r="D300" s="601"/>
      <c r="E300" s="601"/>
      <c r="F300" s="601"/>
      <c r="G300" s="601"/>
      <c r="H300" s="601"/>
      <c r="I300" s="601"/>
      <c r="J300" s="601"/>
      <c r="K300" s="601"/>
      <c r="L300" s="601"/>
      <c r="M300" s="601"/>
      <c r="N300" s="601"/>
      <c r="O300" s="601"/>
      <c r="P300" s="601"/>
      <c r="Q300" s="601"/>
      <c r="R300" s="601"/>
      <c r="S300" s="601"/>
      <c r="T300" s="601"/>
      <c r="U300" s="601"/>
      <c r="V300" s="601"/>
      <c r="W300" s="601"/>
      <c r="X300" s="601"/>
      <c r="Y300" s="601"/>
      <c r="Z300" s="601"/>
      <c r="AA300" s="601"/>
      <c r="AB300" s="601"/>
      <c r="AC300" s="601"/>
      <c r="AD300" s="601"/>
      <c r="AE300" s="601"/>
      <c r="AF300" s="601"/>
      <c r="AG300" s="601"/>
      <c r="AH300" s="606">
        <f t="shared" si="1514"/>
        <v>-0.43999999999999995</v>
      </c>
      <c r="AI300" s="606">
        <f t="shared" si="1478"/>
        <v>0.21428571428571419</v>
      </c>
      <c r="AJ300" s="606">
        <f t="shared" si="1479"/>
        <v>1.1363636363636362</v>
      </c>
      <c r="AK300" s="606">
        <f t="shared" si="1480"/>
        <v>0.39999999999999991</v>
      </c>
      <c r="AL300" s="606">
        <f t="shared" si="1481"/>
        <v>0.2823529411764707</v>
      </c>
      <c r="AM300" s="606">
        <f t="shared" si="1515"/>
        <v>0.28571428571428581</v>
      </c>
      <c r="AN300" s="606">
        <f t="shared" si="1482"/>
        <v>-0.38235294117647056</v>
      </c>
      <c r="AO300" s="606">
        <f t="shared" si="1483"/>
        <v>-0.46808510638297873</v>
      </c>
      <c r="AP300" s="606">
        <f t="shared" si="1484"/>
        <v>-1</v>
      </c>
      <c r="AQ300" s="606">
        <f t="shared" si="1485"/>
        <v>-0.41284403669724767</v>
      </c>
      <c r="AR300" s="606">
        <f t="shared" si="1516"/>
        <v>5.555555555555558E-2</v>
      </c>
      <c r="AS300" s="606">
        <f t="shared" si="1486"/>
        <v>-0.33333333333333337</v>
      </c>
      <c r="AT300" s="606">
        <f t="shared" si="1487"/>
        <v>-0.16000000000000003</v>
      </c>
      <c r="AU300" s="606" t="e">
        <f t="shared" si="1488"/>
        <v>#DIV/0!</v>
      </c>
      <c r="AV300" s="606">
        <f t="shared" si="1489"/>
        <v>9.375E-2</v>
      </c>
      <c r="AW300" s="606">
        <f t="shared" si="1517"/>
        <v>-0.47368421052631582</v>
      </c>
      <c r="AX300" s="606">
        <f t="shared" si="1490"/>
        <v>-0.5</v>
      </c>
      <c r="AY300" s="606">
        <f t="shared" si="1491"/>
        <v>-0.7142857142857143</v>
      </c>
      <c r="AZ300" s="606">
        <f t="shared" si="1492"/>
        <v>-2.4375</v>
      </c>
      <c r="BA300" s="606">
        <f t="shared" si="1493"/>
        <v>-1</v>
      </c>
      <c r="BB300" s="606">
        <f t="shared" si="1518"/>
        <v>-0.68089999999992867</v>
      </c>
      <c r="BC300" s="606">
        <f t="shared" si="1494"/>
        <v>1.4824285714286298</v>
      </c>
      <c r="BD300" s="606">
        <f t="shared" si="1495"/>
        <v>3.6063333333333203</v>
      </c>
      <c r="BE300" s="606">
        <f t="shared" si="1496"/>
        <v>-1.6108260869564812</v>
      </c>
      <c r="BF300" s="606" t="e">
        <f t="shared" si="1497"/>
        <v>#DIV/0!</v>
      </c>
      <c r="BG300" s="606">
        <f t="shared" si="1519"/>
        <v>1.1836414916948574</v>
      </c>
      <c r="BH300" s="606">
        <f t="shared" si="1498"/>
        <v>-0.65471600391322671</v>
      </c>
      <c r="BI300" s="606">
        <f t="shared" si="1499"/>
        <v>-0.92716549677979865</v>
      </c>
      <c r="BJ300" s="606">
        <f t="shared" si="1500"/>
        <v>-0.81151683393827156</v>
      </c>
      <c r="BK300" s="606">
        <f t="shared" si="1501"/>
        <v>-0.71682595775438873</v>
      </c>
      <c r="BL300" s="606">
        <f t="shared" si="1520"/>
        <v>-0.62399540757737404</v>
      </c>
      <c r="BM300" s="606">
        <f t="shared" si="1502"/>
        <v>-0.72683333333346423</v>
      </c>
      <c r="BN300" s="606">
        <f t="shared" si="1503"/>
        <v>-4.3715846994407115E-2</v>
      </c>
      <c r="BO300" s="606">
        <f t="shared" si="1504"/>
        <v>0.11291540785424514</v>
      </c>
      <c r="BP300" s="606">
        <f t="shared" si="1505"/>
        <v>-0.48204662771565032</v>
      </c>
      <c r="BQ300" s="606">
        <f t="shared" si="1521"/>
        <v>0.38816793893076529</v>
      </c>
      <c r="BR300" s="606">
        <f t="shared" si="1506"/>
        <v>0.32031726662647797</v>
      </c>
      <c r="BS300" s="606">
        <f t="shared" si="1507"/>
        <v>-0.99688311688295461</v>
      </c>
      <c r="BT300" s="606">
        <f t="shared" si="1508"/>
        <v>1.4238208347478629</v>
      </c>
      <c r="BU300" s="606">
        <f t="shared" si="1509"/>
        <v>0.4182455371809215</v>
      </c>
      <c r="BV300" s="606">
        <f t="shared" si="1522"/>
        <v>-0.19136651086059031</v>
      </c>
      <c r="BW300" s="606">
        <f t="shared" si="1510"/>
        <v>3.278650646950994</v>
      </c>
      <c r="BX300" s="606">
        <f t="shared" si="1510"/>
        <v>2065.6666665583862</v>
      </c>
      <c r="BY300" s="606">
        <f t="shared" si="1510"/>
        <v>-0.2431751364970256</v>
      </c>
      <c r="BZ300" s="606">
        <f t="shared" si="1510"/>
        <v>1.3170656370656011</v>
      </c>
      <c r="CA300" s="606">
        <f t="shared" si="1523"/>
        <v>0.24991499489990865</v>
      </c>
      <c r="CB300" s="606">
        <f t="shared" si="1523"/>
        <v>-0.26590344529668619</v>
      </c>
      <c r="CC300" s="606">
        <f t="shared" si="1523"/>
        <v>-0.61911290322564172</v>
      </c>
      <c r="CD300" s="606">
        <f t="shared" si="1523"/>
        <v>-0.41675915649326722</v>
      </c>
      <c r="CE300" s="606">
        <f t="shared" si="1511"/>
        <v>-0.38848896887297224</v>
      </c>
      <c r="CF300" s="606">
        <f t="shared" si="1523"/>
        <v>-0.2614254624592327</v>
      </c>
      <c r="CG300" s="606">
        <f t="shared" si="1523"/>
        <v>-0.75165514197460415</v>
      </c>
      <c r="CH300" s="606">
        <f t="shared" si="1523"/>
        <v>-0.53715858564448182</v>
      </c>
      <c r="CI300" s="606">
        <f t="shared" si="1523"/>
        <v>-0.10751665080878869</v>
      </c>
      <c r="CJ300" s="606">
        <f t="shared" si="1512"/>
        <v>-0.48754700528643091</v>
      </c>
      <c r="CK300" s="606">
        <f t="shared" si="1523"/>
        <v>-0.32854511970525879</v>
      </c>
      <c r="CL300" s="606">
        <f t="shared" si="1523"/>
        <v>3.9069905213316787</v>
      </c>
      <c r="CM300" s="606">
        <f t="shared" si="1523"/>
        <v>6.5164684354936506</v>
      </c>
      <c r="CN300" s="606"/>
      <c r="CO300" s="606">
        <f>CO293/CJ293-1</f>
        <v>-0.82688989167698834</v>
      </c>
      <c r="CP300" s="606">
        <f t="shared" si="1524"/>
        <v>0.11386457877289491</v>
      </c>
      <c r="CQ300" s="606">
        <f t="shared" si="1524"/>
        <v>4.3270359154217841E-2</v>
      </c>
      <c r="CR300" s="606">
        <f t="shared" si="1524"/>
        <v>4.3204017154309993E-2</v>
      </c>
      <c r="CS300" s="606">
        <f t="shared" si="1524"/>
        <v>4.3140027912069723E-2</v>
      </c>
      <c r="CT300" s="606">
        <f t="shared" si="1524"/>
        <v>4.3078309608355125E-2</v>
      </c>
      <c r="CU300" s="347"/>
      <c r="CV300" s="1363"/>
      <c r="CW300" s="347"/>
      <c r="CX300" s="347"/>
      <c r="CZ300" s="354"/>
      <c r="DA300" s="354"/>
      <c r="DB300" s="354"/>
      <c r="DC300" s="354"/>
      <c r="DD300" s="354"/>
      <c r="DE300" s="354"/>
    </row>
    <row r="301" spans="1:109" s="399" customFormat="1">
      <c r="A301" s="769"/>
      <c r="B301" s="1356" t="s">
        <v>838</v>
      </c>
      <c r="C301" s="398"/>
      <c r="D301" s="398"/>
      <c r="E301" s="398"/>
      <c r="F301" s="398"/>
      <c r="G301" s="398"/>
      <c r="H301" s="398"/>
      <c r="I301" s="398"/>
      <c r="J301" s="398"/>
      <c r="K301" s="398"/>
      <c r="L301" s="398"/>
      <c r="M301" s="398"/>
      <c r="N301" s="398"/>
      <c r="O301" s="398"/>
      <c r="P301" s="398"/>
      <c r="Q301" s="398"/>
      <c r="R301" s="398"/>
      <c r="S301" s="398"/>
      <c r="T301" s="398"/>
      <c r="U301" s="398"/>
      <c r="V301" s="398"/>
      <c r="W301" s="398"/>
      <c r="X301" s="398"/>
      <c r="Y301" s="398"/>
      <c r="Z301" s="398"/>
      <c r="AA301" s="398"/>
      <c r="AB301" s="398"/>
      <c r="AC301" s="398"/>
      <c r="AD301" s="398"/>
      <c r="AE301" s="398"/>
      <c r="AF301" s="398"/>
      <c r="AG301" s="398"/>
      <c r="AH301" s="577">
        <f t="shared" si="1514"/>
        <v>-4.3591524835012163E-2</v>
      </c>
      <c r="AI301" s="577">
        <f t="shared" si="1478"/>
        <v>-2.3121387283236983E-3</v>
      </c>
      <c r="AJ301" s="577">
        <f t="shared" si="1479"/>
        <v>-5.9799624295554188E-2</v>
      </c>
      <c r="AK301" s="577">
        <f t="shared" si="1480"/>
        <v>-7.4729750900830338E-2</v>
      </c>
      <c r="AL301" s="577">
        <f t="shared" si="1481"/>
        <v>-4.5720794012365729E-2</v>
      </c>
      <c r="AM301" s="577">
        <f t="shared" si="1515"/>
        <v>-4.7212638460141232E-3</v>
      </c>
      <c r="AN301" s="577">
        <f t="shared" si="1482"/>
        <v>-7.1180268167521987E-2</v>
      </c>
      <c r="AO301" s="577">
        <f t="shared" si="1483"/>
        <v>-2.9304029304029311E-2</v>
      </c>
      <c r="AP301" s="577">
        <f t="shared" si="1484"/>
        <v>1.1344395529969464E-2</v>
      </c>
      <c r="AQ301" s="577">
        <f t="shared" si="1485"/>
        <v>-2.4083546462063121E-2</v>
      </c>
      <c r="AR301" s="577">
        <f t="shared" si="1516"/>
        <v>2.4630541871921263E-2</v>
      </c>
      <c r="AS301" s="577">
        <f t="shared" si="1486"/>
        <v>-6.6476563892354346E-2</v>
      </c>
      <c r="AT301" s="577">
        <f t="shared" si="1487"/>
        <v>-0.10291595197255576</v>
      </c>
      <c r="AU301" s="577">
        <f t="shared" si="1488"/>
        <v>-0.11987276075673869</v>
      </c>
      <c r="AV301" s="577">
        <f t="shared" si="1489"/>
        <v>-6.7875081895610423E-2</v>
      </c>
      <c r="AW301" s="577">
        <f t="shared" si="1517"/>
        <v>-6.232193732193736E-2</v>
      </c>
      <c r="AX301" s="577">
        <f t="shared" si="1490"/>
        <v>8.1901489117983894E-2</v>
      </c>
      <c r="AY301" s="577">
        <f t="shared" si="1491"/>
        <v>0.14149139579349912</v>
      </c>
      <c r="AZ301" s="577">
        <f t="shared" si="1492"/>
        <v>0.14095491725318632</v>
      </c>
      <c r="BA301" s="577">
        <f t="shared" si="1493"/>
        <v>7.3098730143854596E-2</v>
      </c>
      <c r="BB301" s="577">
        <f t="shared" si="1518"/>
        <v>4.4695214584124621E-2</v>
      </c>
      <c r="BC301" s="577">
        <f t="shared" si="1494"/>
        <v>-2.1585142050467687E-2</v>
      </c>
      <c r="BD301" s="577">
        <f t="shared" si="1495"/>
        <v>-2.0742043551088774E-2</v>
      </c>
      <c r="BE301" s="577">
        <f t="shared" si="1496"/>
        <v>8.1027009003000749E-3</v>
      </c>
      <c r="BF301" s="577">
        <f t="shared" si="1497"/>
        <v>1.6511069385616306E-3</v>
      </c>
      <c r="BG301" s="577">
        <f t="shared" si="1519"/>
        <v>8.468062017335698E-2</v>
      </c>
      <c r="BH301" s="577">
        <f t="shared" si="1498"/>
        <v>0.13435011633680372</v>
      </c>
      <c r="BI301" s="577">
        <f t="shared" si="1499"/>
        <v>0.10562864234190927</v>
      </c>
      <c r="BJ301" s="577">
        <f t="shared" si="1500"/>
        <v>6.0485231369695303E-2</v>
      </c>
      <c r="BK301" s="577">
        <f t="shared" si="1501"/>
        <v>9.5647499094547728E-2</v>
      </c>
      <c r="BL301" s="577">
        <f t="shared" si="1520"/>
        <v>8.880628580391825E-2</v>
      </c>
      <c r="BM301" s="577">
        <f t="shared" si="1502"/>
        <v>4.6967019391519926E-2</v>
      </c>
      <c r="BN301" s="577">
        <f t="shared" si="1503"/>
        <v>1.7064238663562659E-2</v>
      </c>
      <c r="BO301" s="577">
        <f t="shared" si="1504"/>
        <v>-9.2612201804959104E-3</v>
      </c>
      <c r="BP301" s="577">
        <f t="shared" si="1505"/>
        <v>3.4864447536634424E-2</v>
      </c>
      <c r="BQ301" s="577">
        <f t="shared" si="1521"/>
        <v>-3.8445774155472123E-2</v>
      </c>
      <c r="BR301" s="577">
        <f t="shared" si="1506"/>
        <v>2.1537859705279105E-2</v>
      </c>
      <c r="BS301" s="577">
        <f t="shared" si="1507"/>
        <v>3.8333335108003519E-2</v>
      </c>
      <c r="BT301" s="577">
        <f t="shared" si="1508"/>
        <v>9.4588115368244852E-2</v>
      </c>
      <c r="BU301" s="577">
        <f t="shared" si="1509"/>
        <v>2.8642096159055219E-2</v>
      </c>
      <c r="BV301" s="577">
        <f t="shared" si="1522"/>
        <v>7.9184769638005692E-2</v>
      </c>
      <c r="BW301" s="577">
        <f t="shared" si="1510"/>
        <v>9.0072806888706447E-2</v>
      </c>
      <c r="BX301" s="577">
        <f t="shared" si="1510"/>
        <v>0.10175895261554624</v>
      </c>
      <c r="BY301" s="577">
        <f t="shared" si="1510"/>
        <v>8.5238594926527522E-2</v>
      </c>
      <c r="BZ301" s="577">
        <f t="shared" si="1510"/>
        <v>8.9255421141845703E-2</v>
      </c>
      <c r="CA301" s="577">
        <f t="shared" si="1523"/>
        <v>0.1194390319040517</v>
      </c>
      <c r="CB301" s="577">
        <f t="shared" si="1523"/>
        <v>0.12061819720620193</v>
      </c>
      <c r="CC301" s="577">
        <f t="shared" si="1523"/>
        <v>7.7477461904634781E-2</v>
      </c>
      <c r="CD301" s="577">
        <f t="shared" si="1523"/>
        <v>0.12035270480961402</v>
      </c>
      <c r="CE301" s="577">
        <f t="shared" si="1511"/>
        <v>0.10914342374787411</v>
      </c>
      <c r="CF301" s="577">
        <f t="shared" si="1523"/>
        <v>0.11804992074011933</v>
      </c>
      <c r="CG301" s="577">
        <f t="shared" si="1523"/>
        <v>4.8204845371350835E-2</v>
      </c>
      <c r="CH301" s="577">
        <f t="shared" si="1523"/>
        <v>2.548808340132025E-2</v>
      </c>
      <c r="CI301" s="577">
        <f t="shared" si="1523"/>
        <v>6.8048422401966624E-2</v>
      </c>
      <c r="CJ301" s="577">
        <f t="shared" si="1512"/>
        <v>6.4009168059884658E-2</v>
      </c>
      <c r="CK301" s="577">
        <f t="shared" si="1523"/>
        <v>1.9303922538762341E-2</v>
      </c>
      <c r="CL301" s="577">
        <f t="shared" si="1523"/>
        <v>0.21831381470913835</v>
      </c>
      <c r="CM301" s="577">
        <f t="shared" si="1523"/>
        <v>0.37819799576741442</v>
      </c>
      <c r="CN301" s="577"/>
      <c r="CO301" s="577">
        <f>CO294/CJ294-1</f>
        <v>0.23501405974158063</v>
      </c>
      <c r="CP301" s="577">
        <f t="shared" si="1524"/>
        <v>0.11318471580854128</v>
      </c>
      <c r="CQ301" s="577">
        <f t="shared" si="1524"/>
        <v>4.3596209993451485E-2</v>
      </c>
      <c r="CR301" s="577">
        <f t="shared" si="1524"/>
        <v>4.3536302371558477E-2</v>
      </c>
      <c r="CS301" s="577">
        <f t="shared" si="1524"/>
        <v>4.3478841448463923E-2</v>
      </c>
      <c r="CT301" s="577">
        <f t="shared" si="1524"/>
        <v>4.3423747412589586E-2</v>
      </c>
      <c r="CU301" s="364"/>
      <c r="CV301" s="1362"/>
      <c r="CW301" s="364"/>
      <c r="CX301" s="364"/>
      <c r="CZ301" s="365"/>
      <c r="DA301" s="365"/>
      <c r="DB301" s="365"/>
      <c r="DC301" s="365"/>
      <c r="DD301" s="365"/>
      <c r="DE301" s="365"/>
    </row>
    <row r="302" spans="1:109">
      <c r="B302" s="385"/>
      <c r="C302" s="398"/>
      <c r="D302" s="398"/>
      <c r="E302" s="398"/>
      <c r="F302" s="398"/>
      <c r="G302" s="398"/>
      <c r="H302" s="398"/>
      <c r="I302" s="398"/>
      <c r="J302" s="398"/>
      <c r="K302" s="398"/>
      <c r="L302" s="398"/>
      <c r="M302" s="398"/>
      <c r="N302" s="398"/>
      <c r="O302" s="398"/>
      <c r="P302" s="398"/>
      <c r="Q302" s="398"/>
      <c r="R302" s="398"/>
      <c r="S302" s="398"/>
      <c r="T302" s="398"/>
      <c r="U302" s="398"/>
      <c r="V302" s="398"/>
      <c r="W302" s="398"/>
      <c r="X302" s="398"/>
      <c r="Y302" s="398"/>
      <c r="Z302" s="398"/>
      <c r="AA302" s="398"/>
      <c r="AB302" s="398"/>
      <c r="AC302" s="398"/>
      <c r="AD302" s="398"/>
      <c r="AE302" s="398"/>
      <c r="AF302" s="398"/>
      <c r="AG302" s="398"/>
      <c r="AH302" s="398"/>
      <c r="AI302" s="398"/>
      <c r="AJ302" s="398"/>
      <c r="AK302" s="398"/>
      <c r="AL302" s="398"/>
      <c r="AM302" s="398"/>
      <c r="AN302" s="398"/>
      <c r="AO302" s="398"/>
      <c r="AP302" s="398"/>
      <c r="AQ302" s="398"/>
      <c r="AR302" s="398"/>
      <c r="AS302" s="398"/>
      <c r="AT302" s="398"/>
      <c r="AU302" s="398"/>
      <c r="AV302" s="398"/>
      <c r="AW302" s="398"/>
      <c r="AX302" s="398"/>
      <c r="AY302" s="398"/>
      <c r="AZ302" s="398"/>
      <c r="BA302" s="398"/>
      <c r="BB302" s="398"/>
      <c r="BC302" s="398"/>
      <c r="BD302" s="398"/>
      <c r="BE302" s="398"/>
      <c r="BF302" s="398"/>
      <c r="BG302" s="398"/>
      <c r="BH302" s="398"/>
      <c r="BI302" s="398"/>
      <c r="BJ302" s="398"/>
      <c r="BK302" s="398"/>
      <c r="BL302" s="398"/>
      <c r="BM302" s="398"/>
      <c r="BN302" s="398"/>
      <c r="BO302" s="398"/>
      <c r="BP302" s="398"/>
      <c r="BQ302" s="398"/>
      <c r="BR302" s="398"/>
      <c r="BS302" s="398"/>
      <c r="BT302" s="398"/>
      <c r="BU302" s="398"/>
      <c r="BV302" s="602"/>
      <c r="BW302" s="602"/>
      <c r="BX302" s="602"/>
      <c r="BY302" s="602"/>
      <c r="BZ302" s="602"/>
      <c r="CA302" s="602"/>
      <c r="CB302" s="602"/>
      <c r="CC302" s="602"/>
      <c r="CD302" s="602"/>
      <c r="CE302" s="602"/>
      <c r="CF302" s="602"/>
      <c r="CG302" s="602"/>
      <c r="CH302" s="602"/>
      <c r="CI302" s="602"/>
      <c r="CJ302" s="602"/>
      <c r="CK302" s="602"/>
      <c r="CL302" s="602"/>
      <c r="CM302" s="602"/>
      <c r="CN302" s="602"/>
      <c r="CO302" s="602"/>
      <c r="CP302" s="602"/>
      <c r="CQ302" s="602"/>
      <c r="CR302" s="602"/>
      <c r="CS302" s="602"/>
      <c r="CT302" s="602"/>
      <c r="CU302" s="347"/>
      <c r="CV302" s="1363"/>
      <c r="CW302" s="347"/>
      <c r="CX302" s="347"/>
      <c r="CZ302" s="354"/>
      <c r="DA302" s="354"/>
      <c r="DB302" s="354"/>
      <c r="DC302" s="354"/>
      <c r="DD302" s="354"/>
      <c r="DE302" s="354"/>
    </row>
    <row r="303" spans="1:109">
      <c r="B303" s="574" t="s">
        <v>839</v>
      </c>
      <c r="BL303" s="604"/>
      <c r="BM303" s="604"/>
      <c r="BN303" s="604"/>
      <c r="BO303" s="604"/>
      <c r="BP303" s="604"/>
      <c r="BQ303" s="604"/>
      <c r="BR303" s="604"/>
      <c r="BS303" s="604"/>
      <c r="BT303" s="604"/>
      <c r="BU303" s="604"/>
      <c r="BV303" s="604"/>
      <c r="BW303" s="604"/>
      <c r="BX303" s="604"/>
      <c r="BY303" s="604"/>
      <c r="BZ303" s="604"/>
      <c r="CA303" s="540"/>
      <c r="CB303" s="540"/>
      <c r="CC303" s="540"/>
      <c r="CD303" s="540"/>
      <c r="CE303" s="604"/>
      <c r="CF303" s="540"/>
      <c r="CG303" s="540"/>
      <c r="CH303" s="540"/>
      <c r="CI303" s="540"/>
      <c r="CJ303" s="604"/>
      <c r="CK303" s="540"/>
      <c r="CL303" s="540"/>
      <c r="CM303" s="540"/>
      <c r="CN303" s="540"/>
    </row>
    <row r="304" spans="1:109">
      <c r="B304" s="581" t="s">
        <v>802</v>
      </c>
      <c r="C304" s="752"/>
      <c r="D304" s="752"/>
      <c r="E304" s="752"/>
      <c r="F304" s="752"/>
      <c r="G304" s="752"/>
      <c r="H304" s="752"/>
      <c r="I304" s="752"/>
      <c r="J304" s="752"/>
      <c r="K304" s="752"/>
      <c r="L304" s="752"/>
      <c r="M304" s="752"/>
      <c r="N304" s="752"/>
      <c r="O304" s="752"/>
      <c r="P304" s="752"/>
      <c r="Q304" s="752"/>
      <c r="R304" s="752"/>
      <c r="S304" s="752"/>
      <c r="T304" s="752"/>
      <c r="U304" s="752"/>
      <c r="V304" s="752"/>
      <c r="W304" s="752"/>
      <c r="X304" s="752"/>
      <c r="Y304" s="752"/>
      <c r="Z304" s="752"/>
      <c r="AA304" s="752"/>
      <c r="AB304" s="752"/>
      <c r="AC304" s="752"/>
      <c r="AD304" s="752"/>
      <c r="AE304" s="752"/>
      <c r="AF304" s="752"/>
      <c r="AG304" s="752"/>
      <c r="AH304" s="752">
        <f t="shared" ref="AH304:BM304" si="1525">AH316</f>
        <v>128.65049999999999</v>
      </c>
      <c r="AI304" s="752">
        <f t="shared" si="1525"/>
        <v>161.1705</v>
      </c>
      <c r="AJ304" s="752">
        <f t="shared" si="1525"/>
        <v>122.85899999999999</v>
      </c>
      <c r="AK304" s="752">
        <f t="shared" si="1525"/>
        <v>147.79499999999999</v>
      </c>
      <c r="AL304" s="752">
        <f t="shared" si="1525"/>
        <v>560.47500000000002</v>
      </c>
      <c r="AM304" s="752">
        <f t="shared" si="1525"/>
        <v>132.28800000000001</v>
      </c>
      <c r="AN304" s="752">
        <f t="shared" si="1525"/>
        <v>133.06800000000001</v>
      </c>
      <c r="AO304" s="752">
        <f t="shared" si="1525"/>
        <v>137.86949999999999</v>
      </c>
      <c r="AP304" s="752">
        <f t="shared" si="1525"/>
        <v>147.126</v>
      </c>
      <c r="AQ304" s="752">
        <f t="shared" si="1525"/>
        <v>550.35149999999999</v>
      </c>
      <c r="AR304" s="752">
        <f t="shared" si="1525"/>
        <v>152.25</v>
      </c>
      <c r="AS304" s="752">
        <f t="shared" si="1525"/>
        <v>139.19999999999999</v>
      </c>
      <c r="AT304" s="752">
        <f t="shared" si="1525"/>
        <v>198.19800000000001</v>
      </c>
      <c r="AU304" s="752">
        <f t="shared" si="1525"/>
        <v>181.65600000000001</v>
      </c>
      <c r="AV304" s="752">
        <f t="shared" si="1525"/>
        <v>671.30400000000009</v>
      </c>
      <c r="AW304" s="752">
        <f t="shared" si="1525"/>
        <v>199.578</v>
      </c>
      <c r="AX304" s="752">
        <f t="shared" si="1525"/>
        <v>181.76400000000001</v>
      </c>
      <c r="AY304" s="752">
        <f t="shared" si="1525"/>
        <v>205.6035</v>
      </c>
      <c r="AZ304" s="752">
        <f t="shared" si="1525"/>
        <v>222.11099999999999</v>
      </c>
      <c r="BA304" s="752">
        <f t="shared" si="1525"/>
        <v>809.05650000000003</v>
      </c>
      <c r="BB304" s="752">
        <f t="shared" si="1525"/>
        <v>239.613</v>
      </c>
      <c r="BC304" s="752">
        <f t="shared" si="1525"/>
        <v>261.8775</v>
      </c>
      <c r="BD304" s="752">
        <f t="shared" si="1525"/>
        <v>285.05250000000001</v>
      </c>
      <c r="BE304" s="752">
        <f t="shared" si="1525"/>
        <v>305.601</v>
      </c>
      <c r="BF304" s="752">
        <f t="shared" si="1525"/>
        <v>1092.144</v>
      </c>
      <c r="BG304" s="752">
        <f t="shared" si="1525"/>
        <v>354.31200000000001</v>
      </c>
      <c r="BH304" s="752">
        <f t="shared" si="1525"/>
        <v>343.18650000000002</v>
      </c>
      <c r="BI304" s="752">
        <f t="shared" si="1525"/>
        <v>350.649</v>
      </c>
      <c r="BJ304" s="752">
        <f t="shared" si="1525"/>
        <v>346.7835</v>
      </c>
      <c r="BK304" s="752">
        <f t="shared" si="1525"/>
        <v>1394.931</v>
      </c>
      <c r="BL304" s="752">
        <f t="shared" si="1525"/>
        <v>378.93599999999998</v>
      </c>
      <c r="BM304" s="752">
        <f t="shared" si="1525"/>
        <v>381.28500000000003</v>
      </c>
      <c r="BN304" s="752">
        <f t="shared" ref="BN304:CT304" si="1526">BN316</f>
        <v>376.2</v>
      </c>
      <c r="BO304" s="752">
        <f t="shared" si="1526"/>
        <v>377.85</v>
      </c>
      <c r="BP304" s="752">
        <f t="shared" si="1526"/>
        <v>1514.2710000000002</v>
      </c>
      <c r="BQ304" s="752">
        <f t="shared" si="1526"/>
        <v>377.46</v>
      </c>
      <c r="BR304" s="752">
        <f t="shared" si="1526"/>
        <v>390.42</v>
      </c>
      <c r="BS304" s="752">
        <f t="shared" si="1526"/>
        <v>393.75</v>
      </c>
      <c r="BT304" s="752">
        <f t="shared" si="1526"/>
        <v>411.81</v>
      </c>
      <c r="BU304" s="752">
        <f t="shared" si="1526"/>
        <v>1573.44</v>
      </c>
      <c r="BV304" s="752">
        <f t="shared" si="1526"/>
        <v>393.96</v>
      </c>
      <c r="BW304" s="752">
        <f t="shared" si="1526"/>
        <v>404.49</v>
      </c>
      <c r="BX304" s="752">
        <f t="shared" si="1526"/>
        <v>420.48</v>
      </c>
      <c r="BY304" s="752">
        <f t="shared" si="1526"/>
        <v>414</v>
      </c>
      <c r="BZ304" s="752">
        <f t="shared" si="1526"/>
        <v>1632.93</v>
      </c>
      <c r="CA304" s="752">
        <f t="shared" si="1526"/>
        <v>409.5</v>
      </c>
      <c r="CB304" s="752">
        <f t="shared" si="1526"/>
        <v>405</v>
      </c>
      <c r="CC304" s="752">
        <f t="shared" ref="CC304:CE304" si="1527">CC316</f>
        <v>418.5</v>
      </c>
      <c r="CD304" s="752">
        <f t="shared" si="1527"/>
        <v>417.6</v>
      </c>
      <c r="CE304" s="752">
        <f t="shared" si="1527"/>
        <v>1650.6</v>
      </c>
      <c r="CF304" s="752">
        <f t="shared" ref="CF304:CG304" si="1528">CF316</f>
        <v>417.6</v>
      </c>
      <c r="CG304" s="752">
        <f t="shared" si="1528"/>
        <v>436.8</v>
      </c>
      <c r="CH304" s="752">
        <f t="shared" ref="CH304:CK304" si="1529">CH316</f>
        <v>425.7</v>
      </c>
      <c r="CI304" s="752">
        <f t="shared" si="1529"/>
        <v>459</v>
      </c>
      <c r="CJ304" s="752">
        <f t="shared" si="1529"/>
        <v>1739.1000000000001</v>
      </c>
      <c r="CK304" s="752">
        <f t="shared" si="1529"/>
        <v>446.25</v>
      </c>
      <c r="CL304" s="752">
        <f t="shared" ref="CL304" si="1530">CL316</f>
        <v>466.2</v>
      </c>
      <c r="CM304" s="752">
        <f t="shared" ref="CM304" si="1531">CM316</f>
        <v>462.27</v>
      </c>
      <c r="CN304" s="752"/>
      <c r="CO304" s="752">
        <f t="shared" si="1526"/>
        <v>1924.3877611402481</v>
      </c>
      <c r="CP304" s="752">
        <f t="shared" si="1526"/>
        <v>1992.6147051570431</v>
      </c>
      <c r="CQ304" s="752">
        <f t="shared" si="1526"/>
        <v>2117.9772768805237</v>
      </c>
      <c r="CR304" s="752">
        <f t="shared" si="1526"/>
        <v>2247.4344714862727</v>
      </c>
      <c r="CS304" s="752">
        <f t="shared" si="1526"/>
        <v>2381.0928246741992</v>
      </c>
      <c r="CT304" s="752">
        <f t="shared" si="1526"/>
        <v>2519.0613280893831</v>
      </c>
    </row>
    <row r="305" spans="1:109">
      <c r="B305" s="581" t="s">
        <v>803</v>
      </c>
      <c r="C305" s="752"/>
      <c r="D305" s="752"/>
      <c r="E305" s="752"/>
      <c r="F305" s="752"/>
      <c r="G305" s="752"/>
      <c r="H305" s="752"/>
      <c r="I305" s="752"/>
      <c r="J305" s="752"/>
      <c r="K305" s="752"/>
      <c r="L305" s="752"/>
      <c r="M305" s="752"/>
      <c r="N305" s="752"/>
      <c r="O305" s="752"/>
      <c r="P305" s="752"/>
      <c r="Q305" s="752"/>
      <c r="R305" s="752"/>
      <c r="S305" s="752"/>
      <c r="T305" s="752"/>
      <c r="U305" s="752"/>
      <c r="V305" s="752"/>
      <c r="W305" s="752"/>
      <c r="X305" s="752"/>
      <c r="Y305" s="752"/>
      <c r="Z305" s="752"/>
      <c r="AA305" s="752"/>
      <c r="AB305" s="752"/>
      <c r="AC305" s="752"/>
      <c r="AD305" s="752"/>
      <c r="AE305" s="752"/>
      <c r="AF305" s="752"/>
      <c r="AG305" s="752"/>
      <c r="AH305" s="752">
        <f t="shared" ref="AH305:BM305" si="1532">AH321</f>
        <v>4231.9530000000004</v>
      </c>
      <c r="AI305" s="752">
        <f t="shared" si="1532"/>
        <v>5093.2049999999999</v>
      </c>
      <c r="AJ305" s="752">
        <f t="shared" si="1532"/>
        <v>4873.0005000000001</v>
      </c>
      <c r="AK305" s="752">
        <f t="shared" si="1532"/>
        <v>4388.2875000000004</v>
      </c>
      <c r="AL305" s="752">
        <f t="shared" si="1532"/>
        <v>18586.446</v>
      </c>
      <c r="AM305" s="752">
        <f t="shared" si="1532"/>
        <v>4489.5060000000003</v>
      </c>
      <c r="AN305" s="752">
        <f t="shared" si="1532"/>
        <v>4521.9854999999998</v>
      </c>
      <c r="AO305" s="752">
        <f t="shared" si="1532"/>
        <v>4938.5370000000003</v>
      </c>
      <c r="AP305" s="752">
        <f t="shared" si="1532"/>
        <v>4957.92</v>
      </c>
      <c r="AQ305" s="752">
        <f t="shared" si="1532"/>
        <v>18907.948499999999</v>
      </c>
      <c r="AR305" s="752">
        <f t="shared" si="1532"/>
        <v>4766.625</v>
      </c>
      <c r="AS305" s="752">
        <f t="shared" si="1532"/>
        <v>4364.1719999999996</v>
      </c>
      <c r="AT305" s="752">
        <f t="shared" si="1532"/>
        <v>4355.9504999999999</v>
      </c>
      <c r="AU305" s="752">
        <f t="shared" si="1532"/>
        <v>4206.2039999999997</v>
      </c>
      <c r="AV305" s="752">
        <f t="shared" si="1532"/>
        <v>17692.951499999996</v>
      </c>
      <c r="AW305" s="752">
        <f t="shared" si="1532"/>
        <v>4484.4960000000001</v>
      </c>
      <c r="AX305" s="752">
        <f t="shared" si="1532"/>
        <v>4966.2780000000002</v>
      </c>
      <c r="AY305" s="752">
        <f t="shared" si="1532"/>
        <v>5038.4565000000002</v>
      </c>
      <c r="AZ305" s="752">
        <f t="shared" si="1532"/>
        <v>5180.9669999999996</v>
      </c>
      <c r="BA305" s="752">
        <f t="shared" si="1532"/>
        <v>19670.197500000002</v>
      </c>
      <c r="BB305" s="752">
        <f t="shared" si="1532"/>
        <v>4632.6194999999998</v>
      </c>
      <c r="BC305" s="752">
        <f t="shared" si="1532"/>
        <v>4756.5</v>
      </c>
      <c r="BD305" s="752">
        <f t="shared" si="1532"/>
        <v>4720.5</v>
      </c>
      <c r="BE305" s="752">
        <f t="shared" si="1532"/>
        <v>4966.2</v>
      </c>
      <c r="BF305" s="752">
        <f t="shared" si="1532"/>
        <v>19075.819500000001</v>
      </c>
      <c r="BG305" s="752">
        <f t="shared" si="1532"/>
        <v>5017.3500000000004</v>
      </c>
      <c r="BH305" s="752">
        <f t="shared" si="1532"/>
        <v>5420.25</v>
      </c>
      <c r="BI305" s="752">
        <f t="shared" si="1532"/>
        <v>5604.9</v>
      </c>
      <c r="BJ305" s="752">
        <f t="shared" si="1532"/>
        <v>5610</v>
      </c>
      <c r="BK305" s="752">
        <f t="shared" si="1532"/>
        <v>21652.5</v>
      </c>
      <c r="BL305" s="752">
        <f t="shared" si="1532"/>
        <v>5606.94</v>
      </c>
      <c r="BM305" s="752">
        <f t="shared" si="1532"/>
        <v>5879.52</v>
      </c>
      <c r="BN305" s="752">
        <f t="shared" ref="BN305:CT305" si="1533">BN321</f>
        <v>5789.7</v>
      </c>
      <c r="BO305" s="752">
        <f t="shared" si="1533"/>
        <v>5567.76</v>
      </c>
      <c r="BP305" s="752">
        <f t="shared" si="1533"/>
        <v>22843.919999999998</v>
      </c>
      <c r="BQ305" s="752">
        <f t="shared" si="1533"/>
        <v>5522.7150000000001</v>
      </c>
      <c r="BR305" s="752">
        <f t="shared" si="1533"/>
        <v>5959.98</v>
      </c>
      <c r="BS305" s="752">
        <f t="shared" si="1533"/>
        <v>6061.5</v>
      </c>
      <c r="BT305" s="752">
        <f t="shared" si="1533"/>
        <v>6118.2</v>
      </c>
      <c r="BU305" s="752">
        <f t="shared" si="1533"/>
        <v>23662.395</v>
      </c>
      <c r="BV305" s="752">
        <f t="shared" si="1533"/>
        <v>6060.42</v>
      </c>
      <c r="BW305" s="752">
        <f t="shared" si="1533"/>
        <v>6352.65</v>
      </c>
      <c r="BX305" s="752">
        <f t="shared" si="1533"/>
        <v>6367.47</v>
      </c>
      <c r="BY305" s="752">
        <f t="shared" si="1533"/>
        <v>6378.3</v>
      </c>
      <c r="BZ305" s="752">
        <f t="shared" si="1533"/>
        <v>25158.84</v>
      </c>
      <c r="CA305" s="752">
        <f t="shared" si="1533"/>
        <v>6406.8</v>
      </c>
      <c r="CB305" s="752">
        <f t="shared" si="1533"/>
        <v>6774</v>
      </c>
      <c r="CC305" s="752">
        <f t="shared" ref="CC305:CE305" si="1534">CC321</f>
        <v>6744</v>
      </c>
      <c r="CD305" s="752">
        <f t="shared" si="1534"/>
        <v>6875.7</v>
      </c>
      <c r="CE305" s="752">
        <f t="shared" si="1534"/>
        <v>26800.5</v>
      </c>
      <c r="CF305" s="752">
        <f t="shared" ref="CF305:CG305" si="1535">CF321</f>
        <v>7049.7</v>
      </c>
      <c r="CG305" s="752">
        <f t="shared" si="1535"/>
        <v>7282.05</v>
      </c>
      <c r="CH305" s="752">
        <f t="shared" ref="CH305:CK305" si="1536">CH321</f>
        <v>6828</v>
      </c>
      <c r="CI305" s="752">
        <f t="shared" si="1536"/>
        <v>6840</v>
      </c>
      <c r="CJ305" s="752">
        <f t="shared" si="1536"/>
        <v>27999.75</v>
      </c>
      <c r="CK305" s="752">
        <f t="shared" si="1536"/>
        <v>6509.4</v>
      </c>
      <c r="CL305" s="752">
        <f t="shared" ref="CL305" si="1537">CL321</f>
        <v>8715.6</v>
      </c>
      <c r="CM305" s="752">
        <f t="shared" ref="CM305" si="1538">CM321</f>
        <v>8834.49</v>
      </c>
      <c r="CN305" s="752"/>
      <c r="CO305" s="752">
        <f t="shared" si="1533"/>
        <v>33389.846685174678</v>
      </c>
      <c r="CP305" s="752">
        <f t="shared" si="1533"/>
        <v>37399.626840033765</v>
      </c>
      <c r="CQ305" s="752">
        <f t="shared" si="1533"/>
        <v>39038.758366483627</v>
      </c>
      <c r="CR305" s="752">
        <f t="shared" si="1533"/>
        <v>40748.905633671515</v>
      </c>
      <c r="CS305" s="752">
        <f t="shared" si="1533"/>
        <v>42533.115963013312</v>
      </c>
      <c r="CT305" s="752">
        <f t="shared" si="1533"/>
        <v>44394.566370654196</v>
      </c>
    </row>
    <row r="306" spans="1:109">
      <c r="B306" s="581" t="s">
        <v>501</v>
      </c>
      <c r="C306" s="752"/>
      <c r="D306" s="752"/>
      <c r="E306" s="752"/>
      <c r="F306" s="752"/>
      <c r="G306" s="752"/>
      <c r="H306" s="752"/>
      <c r="I306" s="752"/>
      <c r="J306" s="752"/>
      <c r="K306" s="752"/>
      <c r="L306" s="752"/>
      <c r="M306" s="752"/>
      <c r="N306" s="752"/>
      <c r="O306" s="752"/>
      <c r="P306" s="752"/>
      <c r="Q306" s="752"/>
      <c r="R306" s="752"/>
      <c r="S306" s="752"/>
      <c r="T306" s="752"/>
      <c r="U306" s="752"/>
      <c r="V306" s="752"/>
      <c r="W306" s="752"/>
      <c r="X306" s="752"/>
      <c r="Y306" s="752"/>
      <c r="Z306" s="752"/>
      <c r="AA306" s="752"/>
      <c r="AB306" s="752"/>
      <c r="AC306" s="752"/>
      <c r="AD306" s="752"/>
      <c r="AE306" s="752"/>
      <c r="AF306" s="752"/>
      <c r="AG306" s="752"/>
      <c r="AH306" s="752">
        <f t="shared" ref="AH306:CB306" si="1539">AH307-AH305-AH304</f>
        <v>329.39649999999961</v>
      </c>
      <c r="AI306" s="752">
        <f t="shared" si="1539"/>
        <v>-1.3754999999999313</v>
      </c>
      <c r="AJ306" s="752">
        <f t="shared" si="1539"/>
        <v>233.14049999999992</v>
      </c>
      <c r="AK306" s="752">
        <f t="shared" si="1539"/>
        <v>656.91749999999968</v>
      </c>
      <c r="AL306" s="752">
        <f t="shared" si="1539"/>
        <v>1218.0790000000002</v>
      </c>
      <c r="AM306" s="752">
        <f t="shared" si="1539"/>
        <v>170.20599999999968</v>
      </c>
      <c r="AN306" s="752">
        <f t="shared" si="1539"/>
        <v>293.94650000000024</v>
      </c>
      <c r="AO306" s="752">
        <f t="shared" si="1539"/>
        <v>121.59349999999975</v>
      </c>
      <c r="AP306" s="752">
        <f t="shared" si="1539"/>
        <v>269.95399999999995</v>
      </c>
      <c r="AQ306" s="752">
        <f t="shared" si="1539"/>
        <v>855.70000000000141</v>
      </c>
      <c r="AR306" s="752">
        <f t="shared" si="1539"/>
        <v>184.125</v>
      </c>
      <c r="AS306" s="752">
        <f t="shared" si="1539"/>
        <v>248.62800000000044</v>
      </c>
      <c r="AT306" s="752">
        <f t="shared" si="1539"/>
        <v>204.85150000000007</v>
      </c>
      <c r="AU306" s="752">
        <f t="shared" si="1539"/>
        <v>450.14000000000027</v>
      </c>
      <c r="AV306" s="752">
        <f t="shared" si="1539"/>
        <v>1087.7445000000043</v>
      </c>
      <c r="AW306" s="752">
        <f t="shared" si="1539"/>
        <v>151.9259999999999</v>
      </c>
      <c r="AX306" s="752">
        <f t="shared" si="1539"/>
        <v>105.95799999999974</v>
      </c>
      <c r="AY306" s="752">
        <f t="shared" si="1539"/>
        <v>322.93999999999977</v>
      </c>
      <c r="AZ306" s="752">
        <f t="shared" si="1539"/>
        <v>179.92200000000037</v>
      </c>
      <c r="BA306" s="752">
        <f t="shared" si="1539"/>
        <v>760.74599999999793</v>
      </c>
      <c r="BB306" s="752">
        <f t="shared" si="1539"/>
        <v>321.41350000000085</v>
      </c>
      <c r="BC306" s="752">
        <f t="shared" si="1539"/>
        <v>216.34549999999996</v>
      </c>
      <c r="BD306" s="752">
        <f t="shared" si="1539"/>
        <v>511.52149999999961</v>
      </c>
      <c r="BE306" s="752">
        <f t="shared" si="1539"/>
        <v>466.19599999999957</v>
      </c>
      <c r="BF306" s="752">
        <f t="shared" si="1539"/>
        <v>1515.4764999999973</v>
      </c>
      <c r="BG306" s="752">
        <f t="shared" si="1539"/>
        <v>318.12899999999979</v>
      </c>
      <c r="BH306" s="752">
        <f t="shared" si="1539"/>
        <v>246.41149999999993</v>
      </c>
      <c r="BI306" s="752">
        <f t="shared" si="1539"/>
        <v>226.23700000000133</v>
      </c>
      <c r="BJ306" s="752">
        <f t="shared" si="1539"/>
        <v>199.43449999999893</v>
      </c>
      <c r="BK306" s="752">
        <f t="shared" si="1539"/>
        <v>990.21199999999635</v>
      </c>
      <c r="BL306" s="752">
        <f t="shared" si="1539"/>
        <v>263.30300000000142</v>
      </c>
      <c r="BM306" s="752">
        <f t="shared" si="1539"/>
        <v>151.97199999999867</v>
      </c>
      <c r="BN306" s="752">
        <f t="shared" si="1539"/>
        <v>228.01900000000006</v>
      </c>
      <c r="BO306" s="752">
        <f t="shared" si="1539"/>
        <v>243.45500000000027</v>
      </c>
      <c r="BP306" s="752">
        <f t="shared" si="1539"/>
        <v>886.74900000000389</v>
      </c>
      <c r="BQ306" s="752">
        <f t="shared" si="1539"/>
        <v>194.89999999999969</v>
      </c>
      <c r="BR306" s="752">
        <f t="shared" si="1539"/>
        <v>82.52700000000101</v>
      </c>
      <c r="BS306" s="752">
        <f t="shared" si="1539"/>
        <v>141.27700000000004</v>
      </c>
      <c r="BT306" s="752">
        <f t="shared" si="1539"/>
        <v>159.40100000000024</v>
      </c>
      <c r="BU306" s="752">
        <f t="shared" si="1539"/>
        <v>578.10500000000184</v>
      </c>
      <c r="BV306" s="752">
        <f t="shared" si="1539"/>
        <v>27.562000000000864</v>
      </c>
      <c r="BW306" s="752">
        <f t="shared" si="1539"/>
        <v>158.59500000000003</v>
      </c>
      <c r="BX306" s="752">
        <f t="shared" si="1539"/>
        <v>318.49899999999934</v>
      </c>
      <c r="BY306" s="752">
        <f t="shared" si="1539"/>
        <v>299.89499999999953</v>
      </c>
      <c r="BZ306" s="752">
        <f t="shared" si="1539"/>
        <v>804.5509999999997</v>
      </c>
      <c r="CA306" s="752">
        <f t="shared" si="1539"/>
        <v>351.27300000000014</v>
      </c>
      <c r="CB306" s="752">
        <f t="shared" si="1539"/>
        <v>597.36300000000028</v>
      </c>
      <c r="CC306" s="752">
        <f t="shared" ref="CC306:CE306" si="1540">CC307-CC305-CC304</f>
        <v>394.35600000000159</v>
      </c>
      <c r="CD306" s="752">
        <f t="shared" si="1540"/>
        <v>612.1269999999962</v>
      </c>
      <c r="CE306" s="752">
        <f t="shared" si="1540"/>
        <v>1955.1189999999974</v>
      </c>
      <c r="CF306" s="752">
        <f>CF307-CF305-CF304</f>
        <v>595.62800000000004</v>
      </c>
      <c r="CG306" s="752">
        <f>CG307-CG305-CG304</f>
        <v>540.16100000000029</v>
      </c>
      <c r="CH306" s="752">
        <f>CH307-CH305-CH304</f>
        <v>495.07200000000086</v>
      </c>
      <c r="CI306" s="752">
        <f>CI307-CI305-CI304</f>
        <v>1108.3336000000018</v>
      </c>
      <c r="CJ306" s="752">
        <f t="shared" ref="CJ306" si="1541">CJ307-CJ305-CJ304</f>
        <v>2739.1946000000044</v>
      </c>
      <c r="CK306" s="752">
        <f>CK307-CK305-CK304</f>
        <v>1127.049</v>
      </c>
      <c r="CL306" s="752">
        <f>CL307-CL305-CL304</f>
        <v>574.82000000000039</v>
      </c>
      <c r="CM306" s="752">
        <f>CM307-CM305-CM304</f>
        <v>1170.3840000000005</v>
      </c>
      <c r="CN306" s="752"/>
      <c r="CO306" s="752">
        <f>CJ306*(1+CO326)</f>
        <v>4108.7919000000065</v>
      </c>
      <c r="CP306" s="752">
        <f>CO306*(1+CP326)</f>
        <v>4519.671090000008</v>
      </c>
      <c r="CQ306" s="752">
        <f t="shared" ref="CQ306:CT306" si="1542">CP306*(1+CQ326)</f>
        <v>4655.2612227000081</v>
      </c>
      <c r="CR306" s="752">
        <f t="shared" si="1542"/>
        <v>4794.9190593810081</v>
      </c>
      <c r="CS306" s="752">
        <f t="shared" si="1542"/>
        <v>4938.7666311624389</v>
      </c>
      <c r="CT306" s="752">
        <f t="shared" si="1542"/>
        <v>5086.9296300973119</v>
      </c>
    </row>
    <row r="307" spans="1:109" s="399" customFormat="1">
      <c r="A307" s="769"/>
      <c r="B307" s="578" t="s">
        <v>826</v>
      </c>
      <c r="C307" s="755"/>
      <c r="D307" s="755"/>
      <c r="E307" s="755"/>
      <c r="F307" s="755"/>
      <c r="G307" s="755"/>
      <c r="H307" s="755"/>
      <c r="I307" s="755"/>
      <c r="J307" s="755"/>
      <c r="K307" s="755"/>
      <c r="L307" s="755"/>
      <c r="M307" s="755"/>
      <c r="N307" s="755"/>
      <c r="O307" s="755"/>
      <c r="P307" s="755"/>
      <c r="Q307" s="755"/>
      <c r="R307" s="755"/>
      <c r="S307" s="755"/>
      <c r="T307" s="755"/>
      <c r="U307" s="755"/>
      <c r="V307" s="755"/>
      <c r="W307" s="755"/>
      <c r="X307" s="755"/>
      <c r="Y307" s="755"/>
      <c r="Z307" s="755"/>
      <c r="AA307" s="755"/>
      <c r="AB307" s="755"/>
      <c r="AC307" s="829">
        <f>'[16]Reported Group Highlights'!D$6</f>
        <v>4972</v>
      </c>
      <c r="AD307" s="829">
        <f>'[16]Reported Group Highlights'!E$6</f>
        <v>5266</v>
      </c>
      <c r="AE307" s="829">
        <f>'[16]Reported Group Highlights'!F$6</f>
        <v>5586</v>
      </c>
      <c r="AF307" s="829">
        <f>'[16]Reported Group Highlights'!G$6</f>
        <v>5604</v>
      </c>
      <c r="AG307" s="755">
        <f>SUM(AC307:AF307)</f>
        <v>21428</v>
      </c>
      <c r="AH307" s="829">
        <f>'[16]Reported Group Highlights'!H$6</f>
        <v>4690</v>
      </c>
      <c r="AI307" s="829">
        <f>'[16]Reported Group Highlights'!I$6</f>
        <v>5253</v>
      </c>
      <c r="AJ307" s="829">
        <f>'[16]Reported Group Highlights'!J$6</f>
        <v>5229</v>
      </c>
      <c r="AK307" s="829">
        <f>'[16]Reported Group Highlights'!K$6</f>
        <v>5193</v>
      </c>
      <c r="AL307" s="755">
        <f>SUM(AH307:AK307)</f>
        <v>20365</v>
      </c>
      <c r="AM307" s="829">
        <f>'[16]Reported Group Highlights'!L$6</f>
        <v>4792</v>
      </c>
      <c r="AN307" s="829">
        <f>'[16]Reported Group Highlights'!M$6</f>
        <v>4949</v>
      </c>
      <c r="AO307" s="829">
        <f>'[16]Reported Group Highlights'!N$6</f>
        <v>5198</v>
      </c>
      <c r="AP307" s="829">
        <f>'[16]Reported Group Highlights'!O$6</f>
        <v>5375</v>
      </c>
      <c r="AQ307" s="755">
        <f>SUM(AM307:AP307)</f>
        <v>20314</v>
      </c>
      <c r="AR307" s="829">
        <f>'[16]Reported Group Highlights'!P$6</f>
        <v>5103</v>
      </c>
      <c r="AS307" s="829">
        <f>'[16]Reported Group Highlights'!Q$6</f>
        <v>4752</v>
      </c>
      <c r="AT307" s="829">
        <f>'[16]Reported Group Highlights'!R$6</f>
        <v>4759</v>
      </c>
      <c r="AU307" s="829">
        <f>'[16]Reported Group Highlights'!S$6</f>
        <v>4838</v>
      </c>
      <c r="AV307" s="755">
        <f>SUM(AR307:AU307)</f>
        <v>19452</v>
      </c>
      <c r="AW307" s="829">
        <f>'[16]Reported Group Highlights'!T$6</f>
        <v>4836</v>
      </c>
      <c r="AX307" s="829">
        <f>'[16]Reported Group Highlights'!U$6</f>
        <v>5254</v>
      </c>
      <c r="AY307" s="829">
        <f>'[16]Reported Group Highlights'!V$6</f>
        <v>5567</v>
      </c>
      <c r="AZ307" s="829">
        <f>'[16]Reported Group Highlights'!W$6</f>
        <v>5583</v>
      </c>
      <c r="BA307" s="1144">
        <f>SUM(AW307:AZ307)</f>
        <v>21240</v>
      </c>
      <c r="BB307" s="829">
        <f>'[16]Reported Group Highlights'!X$6</f>
        <v>5193.6460000000006</v>
      </c>
      <c r="BC307" s="829">
        <f>'[16]Reported Group Highlights'!Y$6</f>
        <v>5234.723</v>
      </c>
      <c r="BD307" s="829">
        <f>'[16]Reported Group Highlights'!Z$6</f>
        <v>5517.0739999999996</v>
      </c>
      <c r="BE307" s="829">
        <f>'[16]Reported Group Highlights'!AA$6</f>
        <v>5737.9969999999994</v>
      </c>
      <c r="BF307" s="1144">
        <f>SUM(BB307:BE307)</f>
        <v>21683.439999999999</v>
      </c>
      <c r="BG307" s="829">
        <f>'[16]Reported Group Highlights'!AB$6</f>
        <v>5689.7910000000002</v>
      </c>
      <c r="BH307" s="829">
        <f>'[16]Reported Group Highlights'!AC$6</f>
        <v>6009.848</v>
      </c>
      <c r="BI307" s="829">
        <f>'[16]Reported Group Highlights'!AD$6</f>
        <v>6181.786000000001</v>
      </c>
      <c r="BJ307" s="829">
        <f>'[16]Reported Group Highlights'!AE$6</f>
        <v>6156.2179999999989</v>
      </c>
      <c r="BK307" s="1144">
        <f>SUM(BG307:BJ307)</f>
        <v>24037.642999999996</v>
      </c>
      <c r="BL307" s="829">
        <f>'[16]Reported Group Highlights'!AF$6</f>
        <v>6249.179000000001</v>
      </c>
      <c r="BM307" s="829">
        <f>'[16]Reported Group Highlights'!AG$6</f>
        <v>6412.7769999999991</v>
      </c>
      <c r="BN307" s="829">
        <f>'[16]Reported Group Highlights'!AH$6</f>
        <v>6393.9189999999999</v>
      </c>
      <c r="BO307" s="829">
        <f>'[16]Reported Group Highlights'!AI$6</f>
        <v>6189.0650000000005</v>
      </c>
      <c r="BP307" s="1144">
        <f>SUM(BL307:BO307)</f>
        <v>25244.940000000002</v>
      </c>
      <c r="BQ307" s="829">
        <f>'[16]Reported Group Highlights'!AJ$6</f>
        <v>6095.0749999999998</v>
      </c>
      <c r="BR307" s="829">
        <f>'[16]Reported Group Highlights'!AK$6</f>
        <v>6432.9270000000006</v>
      </c>
      <c r="BS307" s="829">
        <f>'[16]Reported Group Highlights'!AL$6</f>
        <v>6596.527</v>
      </c>
      <c r="BT307" s="829">
        <f>'[16]Reported Group Highlights'!AM$6</f>
        <v>6689.4110000000001</v>
      </c>
      <c r="BU307" s="1144">
        <f>SUM(BQ307:BT307)</f>
        <v>25813.940000000002</v>
      </c>
      <c r="BV307" s="829">
        <f>'[16]Reported Group Highlights'!AN$6</f>
        <v>6481.9420000000009</v>
      </c>
      <c r="BW307" s="829">
        <f>'[16]Reported Group Highlights'!AO$6</f>
        <v>6915.7349999999997</v>
      </c>
      <c r="BX307" s="829">
        <f>'[16]Reported Group Highlights'!AP$6</f>
        <v>7106.4489999999996</v>
      </c>
      <c r="BY307" s="829">
        <f>'[16]Reported Group Highlights'!AQ$6</f>
        <v>7092.1949999999997</v>
      </c>
      <c r="BZ307" s="1144">
        <f>SUM(BV307:BY307)</f>
        <v>27596.321</v>
      </c>
      <c r="CA307" s="829">
        <f>'[16]Reported Group Highlights'!AR$6</f>
        <v>7167.5730000000003</v>
      </c>
      <c r="CB307" s="829">
        <f>'[16]Reported Group Highlights'!AS$6</f>
        <v>7776.3630000000003</v>
      </c>
      <c r="CC307" s="829">
        <f>'[16]Reported Group Highlights'!AT$6</f>
        <v>7556.8560000000016</v>
      </c>
      <c r="CD307" s="829">
        <f>'[16]Reported Group Highlights'!AU$6</f>
        <v>7905.426999999996</v>
      </c>
      <c r="CE307" s="1144">
        <f>SUM(CA307:CD307)</f>
        <v>30406.218999999997</v>
      </c>
      <c r="CF307" s="829">
        <f>'[16]Reported Group Highlights'!AV$6</f>
        <v>8062.9279999999999</v>
      </c>
      <c r="CG307" s="829">
        <f>'[16]Reported Group Highlights'!AW$6</f>
        <v>8259.0110000000004</v>
      </c>
      <c r="CH307" s="829">
        <f>'[16]Reported Group Highlights'!AX$6</f>
        <v>7748.7720000000008</v>
      </c>
      <c r="CI307" s="829">
        <f>'[16]Reported Group Highlights'!AY$6</f>
        <v>8407.3336000000018</v>
      </c>
      <c r="CJ307" s="1144">
        <f>SUM(CF307:CI307)</f>
        <v>32478.044600000005</v>
      </c>
      <c r="CK307" s="829">
        <f>'[16]Reported Group Highlights'!AZ$6</f>
        <v>8082.6989999999996</v>
      </c>
      <c r="CL307" s="829">
        <f>'[16]Reported Group Highlights'!BA$6</f>
        <v>9756.6200000000008</v>
      </c>
      <c r="CM307" s="829">
        <f>'[16]Reported Group Highlights'!BB$6</f>
        <v>10467.144</v>
      </c>
      <c r="CN307" s="829"/>
      <c r="CO307" s="755">
        <f t="shared" ref="CO307:CT307" si="1543">SUM(CO304:CO306)</f>
        <v>39423.026346314931</v>
      </c>
      <c r="CP307" s="755">
        <f t="shared" si="1543"/>
        <v>43911.91263519082</v>
      </c>
      <c r="CQ307" s="755">
        <f t="shared" si="1543"/>
        <v>45811.996866064161</v>
      </c>
      <c r="CR307" s="755">
        <f t="shared" si="1543"/>
        <v>47791.259164538795</v>
      </c>
      <c r="CS307" s="755">
        <f t="shared" si="1543"/>
        <v>49852.97541884995</v>
      </c>
      <c r="CT307" s="755">
        <f t="shared" si="1543"/>
        <v>52000.557328840892</v>
      </c>
      <c r="CV307" s="1361"/>
    </row>
    <row r="308" spans="1:109" s="399" customFormat="1">
      <c r="A308" s="769"/>
      <c r="B308" s="349" t="s">
        <v>0</v>
      </c>
      <c r="C308" s="544"/>
      <c r="D308" s="544"/>
      <c r="E308" s="544"/>
      <c r="F308" s="544"/>
      <c r="G308" s="544"/>
      <c r="H308" s="544"/>
      <c r="I308" s="544"/>
      <c r="J308" s="544"/>
      <c r="K308" s="544"/>
      <c r="L308" s="544"/>
      <c r="M308" s="544"/>
      <c r="N308" s="544"/>
      <c r="O308" s="544"/>
      <c r="P308" s="544"/>
      <c r="Q308" s="544"/>
      <c r="R308" s="426"/>
      <c r="S308" s="426"/>
      <c r="T308" s="426"/>
      <c r="U308" s="426"/>
      <c r="V308" s="426"/>
      <c r="W308" s="426"/>
      <c r="X308" s="426"/>
      <c r="Y308" s="426"/>
      <c r="Z308" s="426"/>
      <c r="AA308" s="426"/>
      <c r="AB308" s="426"/>
      <c r="AC308" s="426"/>
      <c r="AD308" s="426"/>
      <c r="AE308" s="426"/>
      <c r="AF308" s="426"/>
      <c r="AG308" s="426"/>
      <c r="AH308" s="426">
        <f t="shared" ref="AH308" si="1544">AH307/AC307-1</f>
        <v>-5.6717618664521297E-2</v>
      </c>
      <c r="AI308" s="426">
        <f t="shared" ref="AI308" si="1545">AI307/AD307-1</f>
        <v>-2.4686669198632494E-3</v>
      </c>
      <c r="AJ308" s="426">
        <f t="shared" ref="AJ308" si="1546">AJ307/AE307-1</f>
        <v>-6.390977443609025E-2</v>
      </c>
      <c r="AK308" s="426">
        <f t="shared" ref="AK308" si="1547">AK307/AF307-1</f>
        <v>-7.3340471092077086E-2</v>
      </c>
      <c r="AL308" s="426">
        <f t="shared" ref="AL308" si="1548">AL307/AG307-1</f>
        <v>-4.9607989546387898E-2</v>
      </c>
      <c r="AM308" s="426">
        <f t="shared" ref="AM308" si="1549">AM307/AH307-1</f>
        <v>2.1748400852878547E-2</v>
      </c>
      <c r="AN308" s="426">
        <f t="shared" ref="AN308" si="1550">AN307/AI307-1</f>
        <v>-5.787169236626688E-2</v>
      </c>
      <c r="AO308" s="426">
        <f t="shared" ref="AO308" si="1551">AO307/AJ307-1</f>
        <v>-5.9284758079938271E-3</v>
      </c>
      <c r="AP308" s="426">
        <f t="shared" ref="AP308" si="1552">AP307/AK307-1</f>
        <v>3.5047178894665798E-2</v>
      </c>
      <c r="AQ308" s="426">
        <f t="shared" ref="AQ308" si="1553">AQ307/AL307-1</f>
        <v>-2.5042965872821288E-3</v>
      </c>
      <c r="AR308" s="426">
        <f t="shared" ref="AR308" si="1554">AR307/AM307-1</f>
        <v>6.4899833055091838E-2</v>
      </c>
      <c r="AS308" s="426">
        <f t="shared" ref="AS308" si="1555">AS307/AN307-1</f>
        <v>-3.980602141846834E-2</v>
      </c>
      <c r="AT308" s="426">
        <f t="shared" ref="AT308" si="1556">AT307/AO307-1</f>
        <v>-8.4455559830704074E-2</v>
      </c>
      <c r="AU308" s="426">
        <f t="shared" ref="AU308" si="1557">AU307/AP307-1</f>
        <v>-9.9906976744186027E-2</v>
      </c>
      <c r="AV308" s="426">
        <f t="shared" ref="AV308" si="1558">AV307/AQ307-1</f>
        <v>-4.2433789504775055E-2</v>
      </c>
      <c r="AW308" s="426">
        <f t="shared" ref="AW308" si="1559">AW307/AR307-1</f>
        <v>-5.232216343327456E-2</v>
      </c>
      <c r="AX308" s="426">
        <f t="shared" ref="AX308" si="1560">AX307/AS307-1</f>
        <v>0.10563973063973053</v>
      </c>
      <c r="AY308" s="426">
        <f t="shared" ref="AY308" si="1561">AY307/AT307-1</f>
        <v>0.16978356797646565</v>
      </c>
      <c r="AZ308" s="426">
        <f t="shared" ref="AZ308" si="1562">AZ307/AU307-1</f>
        <v>0.15398925175692435</v>
      </c>
      <c r="BA308" s="426">
        <f t="shared" ref="BA308" si="1563">BA307/AV307-1</f>
        <v>9.1918568784700838E-2</v>
      </c>
      <c r="BB308" s="426">
        <f t="shared" ref="BB308" si="1564">BB307/AW307-1</f>
        <v>7.3954921422663578E-2</v>
      </c>
      <c r="BC308" s="426">
        <f t="shared" ref="BC308" si="1565">BC307/AX307-1</f>
        <v>-3.6690140845070385E-3</v>
      </c>
      <c r="BD308" s="426">
        <f t="shared" ref="BD308" si="1566">BD307/AY307-1</f>
        <v>-8.9682054966768732E-3</v>
      </c>
      <c r="BE308" s="426">
        <f t="shared" ref="BE308" si="1567">BE307/AZ307-1</f>
        <v>2.7762314168009894E-2</v>
      </c>
      <c r="BF308" s="426">
        <f t="shared" ref="BF308" si="1568">BF307/BA307-1</f>
        <v>2.0877589453860645E-2</v>
      </c>
      <c r="BG308" s="426">
        <f t="shared" ref="BG308" si="1569">BG307/BB307-1</f>
        <v>9.5529229369887725E-2</v>
      </c>
      <c r="BH308" s="426">
        <f t="shared" ref="BH308" si="1570">BH307/BC307-1</f>
        <v>0.148073737617062</v>
      </c>
      <c r="BI308" s="426">
        <f t="shared" ref="BI308" si="1571">BI307/BD307-1</f>
        <v>0.12048270514406756</v>
      </c>
      <c r="BJ308" s="426">
        <f t="shared" ref="BJ308" si="1572">BJ307/BE307-1</f>
        <v>7.2886235388411658E-2</v>
      </c>
      <c r="BK308" s="426">
        <f t="shared" ref="BK308" si="1573">BK307/BF307-1</f>
        <v>0.10857147205424966</v>
      </c>
      <c r="BL308" s="426">
        <f t="shared" ref="BL308" si="1574">BL307/BG307-1</f>
        <v>9.8314331756649942E-2</v>
      </c>
      <c r="BM308" s="426">
        <f t="shared" ref="BM308" si="1575">BM307/BH307-1</f>
        <v>6.7044790483885564E-2</v>
      </c>
      <c r="BN308" s="426">
        <f t="shared" ref="BN308" si="1576">BN307/BI307-1</f>
        <v>3.4315810997015861E-2</v>
      </c>
      <c r="BO308" s="426">
        <f t="shared" ref="BO308" si="1577">BO307/BJ307-1</f>
        <v>5.33558103368037E-3</v>
      </c>
      <c r="BP308" s="426">
        <f t="shared" ref="BP308" si="1578">BP307/BK307-1</f>
        <v>5.0225265430558386E-2</v>
      </c>
      <c r="BQ308" s="426">
        <f t="shared" ref="BQ308" si="1579">BQ307/BL307-1</f>
        <v>-2.4659879321747846E-2</v>
      </c>
      <c r="BR308" s="426">
        <f t="shared" ref="BR308" si="1580">BR307/BM307-1</f>
        <v>3.1421644632272372E-3</v>
      </c>
      <c r="BS308" s="426">
        <f t="shared" ref="BS308" si="1581">BS307/BN307-1</f>
        <v>3.168760817895877E-2</v>
      </c>
      <c r="BT308" s="426">
        <f t="shared" ref="BT308" si="1582">BT307/BO307-1</f>
        <v>8.0843552297479526E-2</v>
      </c>
      <c r="BU308" s="426">
        <f t="shared" ref="BU308" si="1583">BU307/BP307-1</f>
        <v>2.2539170225795768E-2</v>
      </c>
      <c r="BV308" s="426">
        <f t="shared" ref="BV308" si="1584">BV307/BQ307-1</f>
        <v>6.3472065561129387E-2</v>
      </c>
      <c r="BW308" s="426">
        <f t="shared" ref="BW308" si="1585">BW307/BR307-1</f>
        <v>7.5052616017560858E-2</v>
      </c>
      <c r="BX308" s="426">
        <f t="shared" ref="BX308" si="1586">BX307/BS307-1</f>
        <v>7.7301586122515697E-2</v>
      </c>
      <c r="BY308" s="426">
        <f t="shared" ref="BY308" si="1587">BY307/BT307-1</f>
        <v>6.0212177125908317E-2</v>
      </c>
      <c r="BZ308" s="426">
        <f t="shared" ref="BZ308" si="1588">BZ307/BU307-1</f>
        <v>6.904722797062357E-2</v>
      </c>
      <c r="CA308" s="426">
        <f t="shared" ref="CA308" si="1589">CA307/BV307-1</f>
        <v>0.10577555306727504</v>
      </c>
      <c r="CB308" s="426">
        <f t="shared" ref="CB308:CM308" si="1590">CB307/BW307-1</f>
        <v>0.12444490715737389</v>
      </c>
      <c r="CC308" s="426">
        <f t="shared" si="1590"/>
        <v>6.3380036921393712E-2</v>
      </c>
      <c r="CD308" s="426">
        <f t="shared" si="1590"/>
        <v>0.11466576990621324</v>
      </c>
      <c r="CE308" s="426">
        <f t="shared" si="1590"/>
        <v>0.10182147105768191</v>
      </c>
      <c r="CF308" s="426">
        <f t="shared" si="1590"/>
        <v>0.12491745811308785</v>
      </c>
      <c r="CG308" s="426">
        <f t="shared" si="1590"/>
        <v>6.2066032668485205E-2</v>
      </c>
      <c r="CH308" s="426">
        <f t="shared" si="1590"/>
        <v>2.5396275911569566E-2</v>
      </c>
      <c r="CI308" s="426">
        <f t="shared" si="1590"/>
        <v>6.3488866572293468E-2</v>
      </c>
      <c r="CJ308" s="426">
        <f t="shared" si="1590"/>
        <v>6.8138218697957997E-2</v>
      </c>
      <c r="CK308" s="426">
        <f t="shared" si="1590"/>
        <v>2.452086884565885E-3</v>
      </c>
      <c r="CL308" s="426">
        <f t="shared" si="1590"/>
        <v>0.1813303069822767</v>
      </c>
      <c r="CM308" s="426">
        <f t="shared" si="1590"/>
        <v>0.3508132643469184</v>
      </c>
      <c r="CN308" s="426"/>
      <c r="CO308" s="426">
        <f t="shared" ref="CO308" si="1591">CO307/CJ307-1</f>
        <v>0.21383620325205555</v>
      </c>
      <c r="CP308" s="426">
        <f t="shared" ref="CP308" si="1592">CP307/CO307-1</f>
        <v>0.11386457877289491</v>
      </c>
      <c r="CQ308" s="426">
        <f t="shared" ref="CQ308" si="1593">CQ307/CP307-1</f>
        <v>4.3270359154217841E-2</v>
      </c>
      <c r="CR308" s="426">
        <f t="shared" ref="CR308" si="1594">CR307/CQ307-1</f>
        <v>4.3204017154309993E-2</v>
      </c>
      <c r="CS308" s="426">
        <f t="shared" ref="CS308" si="1595">CS307/CR307-1</f>
        <v>4.3140027912069501E-2</v>
      </c>
      <c r="CT308" s="426">
        <f t="shared" ref="CT308" si="1596">CT307/CS307-1</f>
        <v>4.3078309608355347E-2</v>
      </c>
      <c r="CV308" s="1361"/>
    </row>
    <row r="309" spans="1:109" s="399" customFormat="1">
      <c r="A309" s="769"/>
      <c r="C309" s="544"/>
      <c r="D309" s="544"/>
      <c r="E309" s="544"/>
      <c r="F309" s="544"/>
      <c r="G309" s="544"/>
      <c r="H309" s="544"/>
      <c r="I309" s="544"/>
      <c r="J309" s="544"/>
      <c r="K309" s="544"/>
      <c r="L309" s="544"/>
      <c r="M309" s="544"/>
      <c r="N309" s="544"/>
      <c r="O309" s="544"/>
      <c r="P309" s="544"/>
      <c r="Q309" s="544"/>
      <c r="R309" s="544"/>
      <c r="S309" s="544"/>
      <c r="T309" s="544"/>
      <c r="U309" s="544"/>
      <c r="V309" s="544"/>
      <c r="W309" s="544"/>
      <c r="X309" s="544"/>
      <c r="Y309" s="544"/>
      <c r="Z309" s="544"/>
      <c r="AA309" s="544"/>
      <c r="AB309" s="544"/>
      <c r="AC309" s="593"/>
      <c r="AD309" s="593"/>
      <c r="AE309" s="593"/>
      <c r="AF309" s="593"/>
      <c r="AG309" s="544"/>
      <c r="AH309" s="593"/>
      <c r="AI309" s="593"/>
      <c r="AJ309" s="593"/>
      <c r="AK309" s="593"/>
      <c r="AL309" s="544"/>
      <c r="AM309" s="593"/>
      <c r="AN309" s="593"/>
      <c r="AO309" s="593"/>
      <c r="AP309" s="593"/>
      <c r="AQ309" s="544"/>
      <c r="AR309" s="593"/>
      <c r="AS309" s="593"/>
      <c r="AT309" s="593"/>
      <c r="AU309" s="593"/>
      <c r="AV309" s="544"/>
      <c r="AW309" s="593"/>
      <c r="AX309" s="593"/>
      <c r="AY309" s="593"/>
      <c r="AZ309" s="593"/>
      <c r="BA309" s="550"/>
      <c r="BB309" s="593"/>
      <c r="BC309" s="593"/>
      <c r="BD309" s="593"/>
      <c r="BE309" s="593"/>
      <c r="BF309" s="550"/>
      <c r="BG309" s="593"/>
      <c r="BH309" s="593"/>
      <c r="BI309" s="593"/>
      <c r="BJ309" s="593"/>
      <c r="BK309" s="550"/>
      <c r="BL309" s="593"/>
      <c r="BM309" s="593"/>
      <c r="BN309" s="593"/>
      <c r="BO309" s="593"/>
      <c r="BP309" s="550"/>
      <c r="BQ309" s="593"/>
      <c r="BR309" s="593"/>
      <c r="BS309" s="593"/>
      <c r="BT309" s="593"/>
      <c r="BU309" s="550"/>
      <c r="BV309" s="593"/>
      <c r="BW309" s="593"/>
      <c r="BX309" s="593"/>
      <c r="BY309" s="593"/>
      <c r="BZ309" s="550"/>
      <c r="CA309" s="593"/>
      <c r="CB309" s="593"/>
      <c r="CC309" s="593"/>
      <c r="CD309" s="593"/>
      <c r="CE309" s="550"/>
      <c r="CF309" s="593"/>
      <c r="CG309" s="593"/>
      <c r="CH309" s="593"/>
      <c r="CI309" s="593"/>
      <c r="CJ309" s="550"/>
      <c r="CK309" s="593"/>
      <c r="CL309" s="593"/>
      <c r="CM309" s="593"/>
      <c r="CN309" s="593"/>
      <c r="CO309" s="544"/>
      <c r="CP309" s="544"/>
      <c r="CQ309" s="544"/>
      <c r="CR309" s="544"/>
      <c r="CS309" s="544"/>
      <c r="CT309" s="544"/>
      <c r="CV309" s="1361"/>
    </row>
    <row r="310" spans="1:109">
      <c r="B310" s="349" t="s">
        <v>827</v>
      </c>
      <c r="C310" s="752"/>
      <c r="D310" s="752"/>
      <c r="E310" s="752"/>
      <c r="F310" s="752"/>
      <c r="G310" s="752"/>
      <c r="H310" s="752"/>
      <c r="I310" s="752"/>
      <c r="J310" s="752"/>
      <c r="K310" s="752"/>
      <c r="L310" s="752"/>
      <c r="M310" s="752"/>
      <c r="N310" s="752"/>
      <c r="O310" s="752"/>
      <c r="P310" s="752"/>
      <c r="Q310" s="752"/>
      <c r="R310" s="752"/>
      <c r="S310" s="752"/>
      <c r="T310" s="752"/>
      <c r="U310" s="752"/>
      <c r="V310" s="752"/>
      <c r="W310" s="752"/>
      <c r="X310" s="752"/>
      <c r="Y310" s="752"/>
      <c r="Z310" s="752"/>
      <c r="AA310" s="752"/>
      <c r="AB310" s="752"/>
      <c r="AC310" s="834">
        <f>'[16]Reported Group Highlights'!D$7</f>
        <v>811</v>
      </c>
      <c r="AD310" s="834">
        <f>'[16]Reported Group Highlights'!E$7</f>
        <v>817</v>
      </c>
      <c r="AE310" s="834">
        <f>'[16]Reported Group Highlights'!F$7</f>
        <v>824</v>
      </c>
      <c r="AF310" s="834">
        <f>'[16]Reported Group Highlights'!G$7</f>
        <v>789</v>
      </c>
      <c r="AG310" s="752">
        <f>SUM(AC310:AF310)</f>
        <v>3241</v>
      </c>
      <c r="AH310" s="834">
        <f>'[16]Reported Group Highlights'!H$7</f>
        <v>831</v>
      </c>
      <c r="AI310" s="834">
        <f>'[16]Reported Group Highlights'!I$7</f>
        <v>822</v>
      </c>
      <c r="AJ310" s="834">
        <f>'[16]Reported Group Highlights'!J$7</f>
        <v>824</v>
      </c>
      <c r="AK310" s="834">
        <f>'[16]Reported Group Highlights'!K$7</f>
        <v>727</v>
      </c>
      <c r="AL310" s="752">
        <f>SUM(AH310:AK310)</f>
        <v>3204</v>
      </c>
      <c r="AM310" s="834">
        <f>'[16]Reported Group Highlights'!L$7</f>
        <v>707</v>
      </c>
      <c r="AN310" s="834">
        <f>'[16]Reported Group Highlights'!M$7</f>
        <v>683</v>
      </c>
      <c r="AO310" s="834">
        <f>'[16]Reported Group Highlights'!N$7</f>
        <v>657</v>
      </c>
      <c r="AP310" s="834">
        <f>'[16]Reported Group Highlights'!O$7</f>
        <v>598</v>
      </c>
      <c r="AQ310" s="752">
        <f>SUM(AM310:AP310)</f>
        <v>2645</v>
      </c>
      <c r="AR310" s="834">
        <f>'[16]Reported Group Highlights'!P$7</f>
        <v>532</v>
      </c>
      <c r="AS310" s="834">
        <f>'[16]Reported Group Highlights'!Q$7</f>
        <v>500</v>
      </c>
      <c r="AT310" s="834">
        <f>'[16]Reported Group Highlights'!R$7</f>
        <v>492</v>
      </c>
      <c r="AU310" s="834">
        <f>'[16]Reported Group Highlights'!S$7</f>
        <v>435</v>
      </c>
      <c r="AV310" s="752">
        <f>SUM(AR310:AU310)</f>
        <v>1959</v>
      </c>
      <c r="AW310" s="834">
        <f>'[16]Reported Group Highlights'!T$7</f>
        <v>440</v>
      </c>
      <c r="AX310" s="834">
        <f>'[16]Reported Group Highlights'!U$7</f>
        <v>420</v>
      </c>
      <c r="AY310" s="834">
        <f>'[16]Reported Group Highlights'!V$7</f>
        <v>409</v>
      </c>
      <c r="AZ310" s="834">
        <f>'[16]Reported Group Highlights'!W$7</f>
        <v>392</v>
      </c>
      <c r="BA310" s="835">
        <f>SUM(AW310:AZ310)</f>
        <v>1661</v>
      </c>
      <c r="BB310" s="834">
        <f>'[16]Reported Group Highlights'!X$7</f>
        <v>310.91000000000003</v>
      </c>
      <c r="BC310" s="834">
        <f>'[16]Reported Group Highlights'!Y$7</f>
        <v>327.33100000000002</v>
      </c>
      <c r="BD310" s="834">
        <f>'[16]Reported Group Highlights'!Z$7</f>
        <v>356.73399999999998</v>
      </c>
      <c r="BE310" s="834">
        <f>'[16]Reported Group Highlights'!AA$7</f>
        <v>322.65199999999999</v>
      </c>
      <c r="BF310" s="835">
        <f>SUM(BB310:BE310)</f>
        <v>1317.627</v>
      </c>
      <c r="BG310" s="834">
        <f>'[16]Reported Group Highlights'!AB$7</f>
        <v>284.40100000000001</v>
      </c>
      <c r="BH310" s="834">
        <f>'[16]Reported Group Highlights'!AC$7</f>
        <v>285.75700000000001</v>
      </c>
      <c r="BI310" s="834">
        <f>'[16]Reported Group Highlights'!AD$7</f>
        <v>283.9199999999999</v>
      </c>
      <c r="BJ310" s="834">
        <f>'[16]Reported Group Highlights'!AE$7</f>
        <v>258.53600000000012</v>
      </c>
      <c r="BK310" s="835">
        <f>SUM(BG310:BJ310)</f>
        <v>1112.614</v>
      </c>
      <c r="BL310" s="834">
        <f>'[16]Reported Group Highlights'!AF$7</f>
        <v>250.59200000000001</v>
      </c>
      <c r="BM310" s="834">
        <f>'[16]Reported Group Highlights'!AG$7</f>
        <v>178.13</v>
      </c>
      <c r="BN310" s="834">
        <f>'[16]Reported Group Highlights'!AH$7</f>
        <v>177.738</v>
      </c>
      <c r="BO310" s="834">
        <f>'[16]Reported Group Highlights'!AI$7</f>
        <v>166.82599999999999</v>
      </c>
      <c r="BP310" s="835">
        <f>SUM(BL310:BO310)</f>
        <v>773.28600000000006</v>
      </c>
      <c r="BQ310" s="834">
        <f>'[16]Reported Group Highlights'!AJ$7</f>
        <v>154.67500000000001</v>
      </c>
      <c r="BR310" s="834">
        <f>'[16]Reported Group Highlights'!AK$7</f>
        <v>295.392</v>
      </c>
      <c r="BS310" s="834">
        <f>'[16]Reported Group Highlights'!AL$7</f>
        <v>230.13200000000001</v>
      </c>
      <c r="BT310" s="834">
        <f>'[16]Reported Group Highlights'!AM$7</f>
        <v>272.19499999999999</v>
      </c>
      <c r="BU310" s="835">
        <f>SUM(BQ310:BT310)</f>
        <v>952.39400000000001</v>
      </c>
      <c r="BV310" s="834">
        <f>'[16]Reported Group Highlights'!AN$7</f>
        <v>263.26299999999998</v>
      </c>
      <c r="BW310" s="834">
        <f>'[16]Reported Group Highlights'!AO$7</f>
        <v>401.05</v>
      </c>
      <c r="BX310" s="834">
        <f>'[16]Reported Group Highlights'!AP$7</f>
        <v>342.12200000000001</v>
      </c>
      <c r="BY310" s="834">
        <f>'[16]Reported Group Highlights'!AQ$7</f>
        <v>358.512</v>
      </c>
      <c r="BZ310" s="835">
        <f>SUM(BV310:BY310)</f>
        <v>1364.9469999999999</v>
      </c>
      <c r="CA310" s="834">
        <f>'[16]Reported Group Highlights'!AR$7</f>
        <v>255.10400000000001</v>
      </c>
      <c r="CB310" s="834">
        <f>'[16]Reported Group Highlights'!AS$7</f>
        <v>337.09800000000001</v>
      </c>
      <c r="CC310" s="834">
        <f>'[16]Reported Group Highlights'!AT$7</f>
        <v>428.73099999999999</v>
      </c>
      <c r="CD310" s="834">
        <f>'[16]Reported Group Highlights'!AU$7</f>
        <v>409</v>
      </c>
      <c r="CE310" s="835">
        <f>SUM(CA310:CD310)</f>
        <v>1429.933</v>
      </c>
      <c r="CF310" s="834">
        <f>'[16]Reported Group Highlights'!AV$7</f>
        <v>210.99799999999999</v>
      </c>
      <c r="CG310" s="834">
        <f>'[16]Reported Group Highlights'!AW$7</f>
        <v>162.27699999999999</v>
      </c>
      <c r="CH310" s="834">
        <f>'[16]Reported Group Highlights'!AX$7</f>
        <v>342.64300000000009</v>
      </c>
      <c r="CI310" s="834">
        <f>'[16]Reported Group Highlights'!AY$7</f>
        <v>423.78699999999986</v>
      </c>
      <c r="CJ310" s="835">
        <f>SUM(CF310:CI310)</f>
        <v>1139.7049999999999</v>
      </c>
      <c r="CK310" s="834">
        <f>'[16]Reported Group Highlights'!AZ$7</f>
        <v>392.64800000000002</v>
      </c>
      <c r="CL310" s="834">
        <f>'[16]Reported Group Highlights'!BA$7</f>
        <v>607.17499999999995</v>
      </c>
      <c r="CM310" s="834">
        <f>'[16]Reported Group Highlights'!BB$7</f>
        <v>844.72500000000002</v>
      </c>
      <c r="CN310" s="834"/>
      <c r="CO310" s="1343">
        <v>2200</v>
      </c>
      <c r="CP310" s="752">
        <f t="shared" ref="CP310:CT310" si="1597">(CO310/CO307)*CP307</f>
        <v>2450.5020733003689</v>
      </c>
      <c r="CQ310" s="752">
        <f t="shared" si="1597"/>
        <v>2556.5361781202314</v>
      </c>
      <c r="CR310" s="752">
        <f t="shared" si="1597"/>
        <v>2666.9888110153524</v>
      </c>
      <c r="CS310" s="752">
        <f t="shared" si="1597"/>
        <v>2782.0427827637322</v>
      </c>
      <c r="CT310" s="752">
        <f t="shared" si="1597"/>
        <v>2901.8884831033183</v>
      </c>
    </row>
    <row r="311" spans="1:109">
      <c r="B311" s="349" t="s">
        <v>828</v>
      </c>
      <c r="C311" s="752"/>
      <c r="D311" s="752"/>
      <c r="E311" s="752"/>
      <c r="F311" s="752"/>
      <c r="G311" s="752"/>
      <c r="H311" s="752"/>
      <c r="I311" s="752"/>
      <c r="J311" s="752"/>
      <c r="K311" s="752"/>
      <c r="L311" s="752"/>
      <c r="M311" s="752"/>
      <c r="N311" s="752"/>
      <c r="O311" s="752"/>
      <c r="P311" s="752"/>
      <c r="Q311" s="752"/>
      <c r="R311" s="752"/>
      <c r="S311" s="752"/>
      <c r="T311" s="752"/>
      <c r="U311" s="752"/>
      <c r="V311" s="752"/>
      <c r="W311" s="752"/>
      <c r="X311" s="752"/>
      <c r="Y311" s="752"/>
      <c r="Z311" s="752"/>
      <c r="AA311" s="752"/>
      <c r="AB311" s="752"/>
      <c r="AC311" s="834">
        <f>'[16]Reported Group Highlights'!D$8</f>
        <v>-25</v>
      </c>
      <c r="AD311" s="834">
        <f>'[16]Reported Group Highlights'!E$8</f>
        <v>-28</v>
      </c>
      <c r="AE311" s="834">
        <f>'[16]Reported Group Highlights'!F$8</f>
        <v>-22</v>
      </c>
      <c r="AF311" s="834">
        <f>'[16]Reported Group Highlights'!G$8</f>
        <v>-10</v>
      </c>
      <c r="AG311" s="752">
        <f>SUM(AC311:AF311)</f>
        <v>-85</v>
      </c>
      <c r="AH311" s="834">
        <f>'[16]Reported Group Highlights'!H$8</f>
        <v>-14</v>
      </c>
      <c r="AI311" s="834">
        <f>'[16]Reported Group Highlights'!I$8</f>
        <v>-34</v>
      </c>
      <c r="AJ311" s="834">
        <f>'[16]Reported Group Highlights'!J$8</f>
        <v>-47</v>
      </c>
      <c r="AK311" s="834">
        <f>'[16]Reported Group Highlights'!K$8</f>
        <v>-14</v>
      </c>
      <c r="AL311" s="752">
        <f>SUM(AH311:AK311)</f>
        <v>-109</v>
      </c>
      <c r="AM311" s="834">
        <f>'[16]Reported Group Highlights'!L$8</f>
        <v>-18</v>
      </c>
      <c r="AN311" s="834">
        <f>'[16]Reported Group Highlights'!M$8</f>
        <v>-21</v>
      </c>
      <c r="AO311" s="834">
        <f>'[16]Reported Group Highlights'!N$8</f>
        <v>-25</v>
      </c>
      <c r="AP311" s="834">
        <f>'[16]Reported Group Highlights'!O$8</f>
        <v>0</v>
      </c>
      <c r="AQ311" s="752">
        <f>SUM(AM311:AP311)</f>
        <v>-64</v>
      </c>
      <c r="AR311" s="834">
        <f>'[16]Reported Group Highlights'!P$8</f>
        <v>-19</v>
      </c>
      <c r="AS311" s="834">
        <f>'[16]Reported Group Highlights'!Q$8</f>
        <v>-14</v>
      </c>
      <c r="AT311" s="834">
        <f>'[16]Reported Group Highlights'!R$8</f>
        <v>-21</v>
      </c>
      <c r="AU311" s="834">
        <f>'[16]Reported Group Highlights'!S$8</f>
        <v>-16</v>
      </c>
      <c r="AV311" s="752">
        <f>SUM(AR311:AU311)</f>
        <v>-70</v>
      </c>
      <c r="AW311" s="834">
        <f>'[16]Reported Group Highlights'!T$8</f>
        <v>-10</v>
      </c>
      <c r="AX311" s="834">
        <f>'[16]Reported Group Highlights'!U$8</f>
        <v>-7</v>
      </c>
      <c r="AY311" s="834">
        <f>'[16]Reported Group Highlights'!V$8</f>
        <v>-6</v>
      </c>
      <c r="AZ311" s="834">
        <f>'[16]Reported Group Highlights'!W$8</f>
        <v>-3</v>
      </c>
      <c r="BA311" s="835">
        <f>SUM(AW311:AZ311)</f>
        <v>-26</v>
      </c>
      <c r="BB311" s="834">
        <f>'[16]Reported Group Highlights'!X$8</f>
        <v>-3.1910000000004857</v>
      </c>
      <c r="BC311" s="834">
        <f>'[16]Reported Group Highlights'!Y$8</f>
        <v>-17.377000000000749</v>
      </c>
      <c r="BD311" s="834">
        <f>'[16]Reported Group Highlights'!Z$8</f>
        <v>-27.637999999999863</v>
      </c>
      <c r="BE311" s="834">
        <f>'[16]Reported Group Highlights'!AA$8</f>
        <v>-14.04899999999941</v>
      </c>
      <c r="BF311" s="835">
        <f>SUM(BB311:BE311)</f>
        <v>-62.255000000000507</v>
      </c>
      <c r="BG311" s="834">
        <f>'[16]Reported Group Highlights'!AB$8</f>
        <v>-6.9679999999998472</v>
      </c>
      <c r="BH311" s="834">
        <f>'[16]Reported Group Highlights'!AC$8</f>
        <v>-6.0000000000003411</v>
      </c>
      <c r="BI311" s="834">
        <f>'[16]Reported Group Highlights'!AD$8</f>
        <v>-2.0129999999995789</v>
      </c>
      <c r="BJ311" s="834">
        <f>'[16]Reported Group Highlights'!AE$8</f>
        <v>-2.648000000000593</v>
      </c>
      <c r="BK311" s="835">
        <f>SUM(BG311:BJ311)</f>
        <v>-17.62900000000036</v>
      </c>
      <c r="BL311" s="834">
        <f>'[16]Reported Group Highlights'!AF$8</f>
        <v>-2.620000000000573</v>
      </c>
      <c r="BM311" s="834">
        <f>'[16]Reported Group Highlights'!AG$8</f>
        <v>-1.6389999999995553</v>
      </c>
      <c r="BN311" s="834">
        <f>'[16]Reported Group Highlights'!AH$8</f>
        <v>-1.9250000000001819</v>
      </c>
      <c r="BO311" s="834">
        <f>'[16]Reported Group Highlights'!AI$8</f>
        <v>-2.9469999999996617</v>
      </c>
      <c r="BP311" s="835">
        <f>SUM(BL311:BO311)</f>
        <v>-9.1309999999999718</v>
      </c>
      <c r="BQ311" s="834">
        <f>'[16]Reported Group Highlights'!AJ$8</f>
        <v>-2.3869999999999436</v>
      </c>
      <c r="BR311" s="834">
        <f>'[16]Reported Group Highlights'!AK$8</f>
        <v>-1.4830000000001178</v>
      </c>
      <c r="BS311" s="834">
        <f>'[16]Reported Group Highlights'!AL$8</f>
        <v>-0.66500000000030468</v>
      </c>
      <c r="BT311" s="834">
        <f>'[16]Reported Group Highlights'!AM$8</f>
        <v>-7.7489999999999668</v>
      </c>
      <c r="BU311" s="835">
        <f>SUM(BQ311:BT311)</f>
        <v>-12.284000000000333</v>
      </c>
      <c r="BV311" s="834">
        <f>'[16]Reported Group Highlights'!AN$8</f>
        <v>-3.1460000000005834</v>
      </c>
      <c r="BW311" s="834">
        <f>'[16]Reported Group Highlights'!AO$8</f>
        <v>-8.4039999999994173</v>
      </c>
      <c r="BX311" s="834">
        <f>'[16]Reported Group Highlights'!AP$8</f>
        <v>-10.849</v>
      </c>
      <c r="BY311" s="834">
        <f>'[16]Reported Group Highlights'!AQ$8</f>
        <v>-8.6110000000000007</v>
      </c>
      <c r="BZ311" s="835">
        <f>SUM(BV311:BY311)</f>
        <v>-31.01</v>
      </c>
      <c r="CA311" s="834">
        <f>'[16]Reported Group Highlights'!AR$8</f>
        <v>-3.149</v>
      </c>
      <c r="CB311" s="834">
        <f>'[16]Reported Group Highlights'!AS$8</f>
        <v>-5.3370000000000006</v>
      </c>
      <c r="CC311" s="834">
        <f>'[16]Reported Group Highlights'!AT$8</f>
        <v>-3.7839999999999989</v>
      </c>
      <c r="CD311" s="834">
        <f>'[16]Reported Group Highlights'!AU$8</f>
        <v>-2.2409999999999997</v>
      </c>
      <c r="CE311" s="835">
        <f>SUM(CA311:CD311)</f>
        <v>-14.510999999999999</v>
      </c>
      <c r="CF311" s="834">
        <f>'[16]Reported Group Highlights'!AV$8</f>
        <v>-1.341</v>
      </c>
      <c r="CG311" s="834">
        <f>'[16]Reported Group Highlights'!AW$8</f>
        <v>0</v>
      </c>
      <c r="CH311" s="834">
        <f>'[16]Reported Group Highlights'!AX$8</f>
        <v>0</v>
      </c>
      <c r="CI311" s="834">
        <f>'[16]Reported Group Highlights'!AY$8</f>
        <v>0</v>
      </c>
      <c r="CJ311" s="835">
        <f>SUM(CF311:CI311)</f>
        <v>-1.341</v>
      </c>
      <c r="CK311" s="834">
        <f>'[16]Reported Group Highlights'!AZ$8</f>
        <v>0</v>
      </c>
      <c r="CL311" s="834">
        <f>'[16]Reported Group Highlights'!BA$8</f>
        <v>0</v>
      </c>
      <c r="CM311" s="834">
        <f>'[16]Reported Group Highlights'!BB$8</f>
        <v>0</v>
      </c>
      <c r="CN311" s="834"/>
      <c r="CO311" s="814">
        <f t="shared" ref="CO311:CT311" si="1598">CO328*CO307</f>
        <v>-1.6277543485610064</v>
      </c>
      <c r="CP311" s="814">
        <f t="shared" si="1598"/>
        <v>-1.8130979118056534</v>
      </c>
      <c r="CQ311" s="814">
        <f t="shared" si="1598"/>
        <v>-1.8915513096312464</v>
      </c>
      <c r="CR311" s="814">
        <f t="shared" si="1598"/>
        <v>-1.9732739248608122</v>
      </c>
      <c r="CS311" s="814">
        <f t="shared" si="1598"/>
        <v>-2.0584010170574669</v>
      </c>
      <c r="CT311" s="814">
        <f t="shared" si="1598"/>
        <v>-2.1470734533684217</v>
      </c>
    </row>
    <row r="312" spans="1:109" s="399" customFormat="1">
      <c r="A312" s="769"/>
      <c r="B312" s="399" t="s">
        <v>829</v>
      </c>
      <c r="C312" s="756"/>
      <c r="D312" s="756"/>
      <c r="E312" s="756"/>
      <c r="F312" s="756"/>
      <c r="G312" s="756"/>
      <c r="H312" s="756"/>
      <c r="I312" s="756"/>
      <c r="J312" s="756"/>
      <c r="K312" s="756"/>
      <c r="L312" s="756"/>
      <c r="M312" s="756"/>
      <c r="N312" s="756"/>
      <c r="O312" s="756"/>
      <c r="P312" s="756"/>
      <c r="Q312" s="756"/>
      <c r="R312" s="756"/>
      <c r="S312" s="756"/>
      <c r="T312" s="756"/>
      <c r="U312" s="756"/>
      <c r="V312" s="756"/>
      <c r="W312" s="756"/>
      <c r="X312" s="756"/>
      <c r="Y312" s="756"/>
      <c r="Z312" s="756"/>
      <c r="AA312" s="756"/>
      <c r="AB312" s="756"/>
      <c r="AC312" s="860">
        <f>AC307+AC310+AC311</f>
        <v>5758</v>
      </c>
      <c r="AD312" s="860">
        <f t="shared" ref="AD312:CT312" si="1599">AD307+AD310+AD311</f>
        <v>6055</v>
      </c>
      <c r="AE312" s="860">
        <f t="shared" si="1599"/>
        <v>6388</v>
      </c>
      <c r="AF312" s="860">
        <f t="shared" si="1599"/>
        <v>6383</v>
      </c>
      <c r="AG312" s="860">
        <f t="shared" si="1599"/>
        <v>24584</v>
      </c>
      <c r="AH312" s="860">
        <f t="shared" si="1599"/>
        <v>5507</v>
      </c>
      <c r="AI312" s="860">
        <f t="shared" si="1599"/>
        <v>6041</v>
      </c>
      <c r="AJ312" s="860">
        <f t="shared" si="1599"/>
        <v>6006</v>
      </c>
      <c r="AK312" s="860">
        <f t="shared" si="1599"/>
        <v>5906</v>
      </c>
      <c r="AL312" s="860">
        <f t="shared" si="1599"/>
        <v>23460</v>
      </c>
      <c r="AM312" s="860">
        <f t="shared" si="1599"/>
        <v>5481</v>
      </c>
      <c r="AN312" s="860">
        <f t="shared" si="1599"/>
        <v>5611</v>
      </c>
      <c r="AO312" s="860">
        <f t="shared" si="1599"/>
        <v>5830</v>
      </c>
      <c r="AP312" s="860">
        <f t="shared" si="1599"/>
        <v>5973</v>
      </c>
      <c r="AQ312" s="860">
        <f t="shared" si="1599"/>
        <v>22895</v>
      </c>
      <c r="AR312" s="860">
        <f t="shared" si="1599"/>
        <v>5616</v>
      </c>
      <c r="AS312" s="860">
        <f t="shared" si="1599"/>
        <v>5238</v>
      </c>
      <c r="AT312" s="860">
        <f t="shared" si="1599"/>
        <v>5230</v>
      </c>
      <c r="AU312" s="860">
        <f t="shared" si="1599"/>
        <v>5257</v>
      </c>
      <c r="AV312" s="860">
        <f t="shared" si="1599"/>
        <v>21341</v>
      </c>
      <c r="AW312" s="860">
        <f t="shared" si="1599"/>
        <v>5266</v>
      </c>
      <c r="AX312" s="860">
        <f t="shared" si="1599"/>
        <v>5667</v>
      </c>
      <c r="AY312" s="860">
        <f t="shared" si="1599"/>
        <v>5970</v>
      </c>
      <c r="AZ312" s="860">
        <f t="shared" si="1599"/>
        <v>5972</v>
      </c>
      <c r="BA312" s="860">
        <f t="shared" si="1599"/>
        <v>22875</v>
      </c>
      <c r="BB312" s="860">
        <f t="shared" si="1599"/>
        <v>5501.3649999999998</v>
      </c>
      <c r="BC312" s="860">
        <f t="shared" si="1599"/>
        <v>5544.6769999999997</v>
      </c>
      <c r="BD312" s="860">
        <f t="shared" si="1599"/>
        <v>5846.17</v>
      </c>
      <c r="BE312" s="860">
        <f t="shared" si="1599"/>
        <v>6046.6</v>
      </c>
      <c r="BF312" s="860">
        <f t="shared" si="1599"/>
        <v>22938.811999999998</v>
      </c>
      <c r="BG312" s="860">
        <f t="shared" si="1599"/>
        <v>5967.2240000000002</v>
      </c>
      <c r="BH312" s="860">
        <f t="shared" si="1599"/>
        <v>6289.6049999999996</v>
      </c>
      <c r="BI312" s="860">
        <f t="shared" si="1599"/>
        <v>6463.6930000000011</v>
      </c>
      <c r="BJ312" s="860">
        <f t="shared" si="1599"/>
        <v>6412.1059999999979</v>
      </c>
      <c r="BK312" s="860">
        <f t="shared" si="1599"/>
        <v>25132.627999999997</v>
      </c>
      <c r="BL312" s="860">
        <f t="shared" si="1599"/>
        <v>6497.1509999999998</v>
      </c>
      <c r="BM312" s="860">
        <f t="shared" si="1599"/>
        <v>6589.268</v>
      </c>
      <c r="BN312" s="860">
        <f t="shared" si="1599"/>
        <v>6569.732</v>
      </c>
      <c r="BO312" s="860">
        <f t="shared" si="1599"/>
        <v>6352.9440000000013</v>
      </c>
      <c r="BP312" s="860">
        <f t="shared" si="1599"/>
        <v>26009.095000000001</v>
      </c>
      <c r="BQ312" s="860">
        <f t="shared" si="1599"/>
        <v>6247.3630000000003</v>
      </c>
      <c r="BR312" s="860">
        <f t="shared" si="1599"/>
        <v>6726.8360000000002</v>
      </c>
      <c r="BS312" s="860">
        <f t="shared" si="1599"/>
        <v>6825.9939999999997</v>
      </c>
      <c r="BT312" s="860">
        <f t="shared" si="1599"/>
        <v>6953.857</v>
      </c>
      <c r="BU312" s="860">
        <f t="shared" si="1599"/>
        <v>26754.050000000003</v>
      </c>
      <c r="BV312" s="860">
        <f t="shared" si="1599"/>
        <v>6742.0590000000002</v>
      </c>
      <c r="BW312" s="860">
        <f t="shared" si="1599"/>
        <v>7308.3810000000003</v>
      </c>
      <c r="BX312" s="860">
        <f t="shared" si="1599"/>
        <v>7437.7219999999998</v>
      </c>
      <c r="BY312" s="860">
        <f t="shared" si="1599"/>
        <v>7442.0959999999995</v>
      </c>
      <c r="BZ312" s="860">
        <f t="shared" si="1599"/>
        <v>28930.258000000002</v>
      </c>
      <c r="CA312" s="860">
        <f t="shared" si="1599"/>
        <v>7419.5280000000002</v>
      </c>
      <c r="CB312" s="860">
        <f t="shared" si="1599"/>
        <v>8108.1239999999998</v>
      </c>
      <c r="CC312" s="860">
        <f t="shared" si="1599"/>
        <v>7981.8030000000017</v>
      </c>
      <c r="CD312" s="860">
        <f t="shared" si="1599"/>
        <v>8312.1859999999961</v>
      </c>
      <c r="CE312" s="860">
        <f t="shared" si="1599"/>
        <v>31821.641</v>
      </c>
      <c r="CF312" s="860">
        <f t="shared" si="1599"/>
        <v>8272.5849999999991</v>
      </c>
      <c r="CG312" s="860">
        <f t="shared" ref="CG312:CH312" si="1600">CG307+CG310+CG311</f>
        <v>8421.2880000000005</v>
      </c>
      <c r="CH312" s="860">
        <f t="shared" si="1600"/>
        <v>8091.4150000000009</v>
      </c>
      <c r="CI312" s="860">
        <f t="shared" ref="CI312:CK312" si="1601">CI307+CI310+CI311</f>
        <v>8831.120600000002</v>
      </c>
      <c r="CJ312" s="860">
        <f t="shared" si="1601"/>
        <v>33616.408600000002</v>
      </c>
      <c r="CK312" s="860">
        <f t="shared" si="1601"/>
        <v>8475.3469999999998</v>
      </c>
      <c r="CL312" s="860">
        <f t="shared" ref="CL312" si="1602">CL307+CL310+CL311</f>
        <v>10363.795</v>
      </c>
      <c r="CM312" s="860">
        <f t="shared" ref="CM312" si="1603">CM307+CM310+CM311</f>
        <v>11311.869000000001</v>
      </c>
      <c r="CN312" s="860"/>
      <c r="CO312" s="860">
        <f t="shared" si="1599"/>
        <v>41621.398591966368</v>
      </c>
      <c r="CP312" s="860">
        <f t="shared" si="1599"/>
        <v>46360.601610579382</v>
      </c>
      <c r="CQ312" s="860">
        <f t="shared" si="1599"/>
        <v>48366.641492874762</v>
      </c>
      <c r="CR312" s="860">
        <f t="shared" si="1599"/>
        <v>50456.274701629292</v>
      </c>
      <c r="CS312" s="860">
        <f t="shared" si="1599"/>
        <v>52632.959800596625</v>
      </c>
      <c r="CT312" s="860">
        <f t="shared" si="1599"/>
        <v>54900.298738490848</v>
      </c>
      <c r="CV312" s="1361"/>
    </row>
    <row r="313" spans="1:109">
      <c r="B313" s="349" t="s">
        <v>830</v>
      </c>
      <c r="C313" s="752"/>
      <c r="D313" s="752"/>
      <c r="E313" s="752"/>
      <c r="F313" s="752"/>
      <c r="G313" s="752"/>
      <c r="H313" s="752"/>
      <c r="I313" s="752"/>
      <c r="J313" s="752"/>
      <c r="K313" s="752"/>
      <c r="L313" s="752"/>
      <c r="M313" s="752"/>
      <c r="N313" s="752"/>
      <c r="O313" s="752"/>
      <c r="P313" s="752"/>
      <c r="Q313" s="752"/>
      <c r="R313" s="752"/>
      <c r="S313" s="752"/>
      <c r="T313" s="752"/>
      <c r="U313" s="752"/>
      <c r="V313" s="752"/>
      <c r="W313" s="752"/>
      <c r="X313" s="752"/>
      <c r="Y313" s="752"/>
      <c r="Z313" s="752"/>
      <c r="AA313" s="752"/>
      <c r="AB313" s="752"/>
      <c r="AC313" s="834">
        <f>'[16]Reported Group Highlights'!D$10</f>
        <v>0</v>
      </c>
      <c r="AD313" s="834">
        <f>'[16]Reported Group Highlights'!E$10</f>
        <v>0</v>
      </c>
      <c r="AE313" s="834">
        <f>'[16]Reported Group Highlights'!F$10</f>
        <v>0</v>
      </c>
      <c r="AF313" s="834">
        <f>'[16]Reported Group Highlights'!G$10</f>
        <v>0</v>
      </c>
      <c r="AG313" s="752">
        <f>SUM(AC313:AF313)</f>
        <v>0</v>
      </c>
      <c r="AH313" s="834">
        <f>'[16]Reported Group Highlights'!H$10</f>
        <v>0</v>
      </c>
      <c r="AI313" s="834">
        <f>'[16]Reported Group Highlights'!I$10</f>
        <v>0</v>
      </c>
      <c r="AJ313" s="834">
        <f>'[16]Reported Group Highlights'!J$10</f>
        <v>0</v>
      </c>
      <c r="AK313" s="834">
        <f>'[16]Reported Group Highlights'!K$10</f>
        <v>0</v>
      </c>
      <c r="AL313" s="752">
        <f>SUM(AH313:AK313)</f>
        <v>0</v>
      </c>
      <c r="AM313" s="834">
        <f>'[16]Reported Group Highlights'!L$10</f>
        <v>0</v>
      </c>
      <c r="AN313" s="834">
        <f>'[16]Reported Group Highlights'!M$10</f>
        <v>0</v>
      </c>
      <c r="AO313" s="834">
        <f>'[16]Reported Group Highlights'!N$10</f>
        <v>0</v>
      </c>
      <c r="AP313" s="834">
        <f>'[16]Reported Group Highlights'!O$10</f>
        <v>0</v>
      </c>
      <c r="AQ313" s="752">
        <f>SUM(AM313:AP313)</f>
        <v>0</v>
      </c>
      <c r="AR313" s="834">
        <f>'[16]Reported Group Highlights'!P$10</f>
        <v>0</v>
      </c>
      <c r="AS313" s="834">
        <f>'[16]Reported Group Highlights'!Q$10</f>
        <v>0</v>
      </c>
      <c r="AT313" s="834">
        <f>'[16]Reported Group Highlights'!R$10</f>
        <v>0</v>
      </c>
      <c r="AU313" s="834">
        <f>'[16]Reported Group Highlights'!S$10</f>
        <v>0</v>
      </c>
      <c r="AV313" s="752">
        <f>SUM(AR313:AU313)</f>
        <v>0</v>
      </c>
      <c r="AW313" s="834">
        <f>'[16]Reported Group Highlights'!T$10</f>
        <v>0</v>
      </c>
      <c r="AX313" s="834">
        <f>'[16]Reported Group Highlights'!U$10</f>
        <v>0</v>
      </c>
      <c r="AY313" s="834">
        <f>'[16]Reported Group Highlights'!V$10</f>
        <v>0</v>
      </c>
      <c r="AZ313" s="834">
        <f>'[16]Reported Group Highlights'!W$10</f>
        <v>26</v>
      </c>
      <c r="BA313" s="835">
        <f>SUM(AW313:AZ313)</f>
        <v>26</v>
      </c>
      <c r="BB313" s="834">
        <f>'[16]Reported Group Highlights'!X$10</f>
        <v>0</v>
      </c>
      <c r="BC313" s="834">
        <f>'[16]Reported Group Highlights'!Y$10</f>
        <v>0</v>
      </c>
      <c r="BD313" s="834">
        <f>'[16]Reported Group Highlights'!Z$10</f>
        <v>0</v>
      </c>
      <c r="BE313" s="834">
        <f>'[16]Reported Group Highlights'!AA$10</f>
        <v>0</v>
      </c>
      <c r="BF313" s="835">
        <f>SUM(BB313:BE313)</f>
        <v>0</v>
      </c>
      <c r="BG313" s="834">
        <f>'[16]Reported Group Highlights'!AB$10</f>
        <v>0</v>
      </c>
      <c r="BH313" s="834">
        <f>'[16]Reported Group Highlights'!AC$10</f>
        <v>0</v>
      </c>
      <c r="BI313" s="834">
        <f>'[16]Reported Group Highlights'!AD$10</f>
        <v>0</v>
      </c>
      <c r="BJ313" s="834">
        <f>'[16]Reported Group Highlights'!AE$10</f>
        <v>0.22400000000197906</v>
      </c>
      <c r="BK313" s="835">
        <f>SUM(BG313:BJ313)</f>
        <v>0.22400000000197906</v>
      </c>
      <c r="BL313" s="834">
        <f>'[16]Reported Group Highlights'!AF$10</f>
        <v>0</v>
      </c>
      <c r="BM313" s="834">
        <f>'[16]Reported Group Highlights'!AG$10</f>
        <v>-4.2590000000000146</v>
      </c>
      <c r="BN313" s="834">
        <f>'[16]Reported Group Highlights'!AH$10</f>
        <v>4.2590000000000146</v>
      </c>
      <c r="BO313" s="834">
        <f>'[16]Reported Group Highlights'!AI$10</f>
        <v>0</v>
      </c>
      <c r="BP313" s="835">
        <f>SUM(BL313:BO313)</f>
        <v>0</v>
      </c>
      <c r="BQ313" s="834">
        <f>'[16]Reported Group Highlights'!AJ$10</f>
        <v>0</v>
      </c>
      <c r="BR313" s="834">
        <f>'[16]Reported Group Highlights'!AK$10</f>
        <v>0</v>
      </c>
      <c r="BS313" s="834">
        <f>'[16]Reported Group Highlights'!AL$10</f>
        <v>0</v>
      </c>
      <c r="BT313" s="834">
        <f>'[16]Reported Group Highlights'!AM$10</f>
        <v>0</v>
      </c>
      <c r="BU313" s="835">
        <f>SUM(BQ313:BT313)</f>
        <v>0</v>
      </c>
      <c r="BV313" s="834">
        <f>'[16]Reported Group Highlights'!AN$10</f>
        <v>0</v>
      </c>
      <c r="BW313" s="834">
        <f>'[16]Reported Group Highlights'!AO$10</f>
        <v>24.359999999998763</v>
      </c>
      <c r="BX313" s="834">
        <f>'[16]Reported Group Highlights'!AP$10</f>
        <v>82.87800000000334</v>
      </c>
      <c r="BY313" s="834">
        <f>'[16]Reported Group Highlights'!AQ$10</f>
        <v>104.49799999999868</v>
      </c>
      <c r="BZ313" s="835">
        <f>SUM(BV313:BY313)</f>
        <v>211.73600000000079</v>
      </c>
      <c r="CA313" s="834">
        <f>'[16]Reported Group Highlights'!AR$10</f>
        <v>127.79599999999937</v>
      </c>
      <c r="CB313" s="834">
        <f>'[16]Reported Group Highlights'!AS$10</f>
        <v>109.07900000000154</v>
      </c>
      <c r="CC313" s="834">
        <f>'[16]Reported Group Highlights'!AT$10</f>
        <v>121.47399999999743</v>
      </c>
      <c r="CD313" s="834">
        <f>'[16]Reported Group Highlights'!AU$10</f>
        <v>142.66100000000552</v>
      </c>
      <c r="CE313" s="835">
        <f>SUM(CA313:CD313)</f>
        <v>501.01000000000386</v>
      </c>
      <c r="CF313" s="834">
        <f>'[16]Reported Group Highlights'!AV$10</f>
        <v>165.70000000000073</v>
      </c>
      <c r="CG313" s="834">
        <f>'[16]Reported Group Highlights'!AW$10</f>
        <v>192.02400000000125</v>
      </c>
      <c r="CH313" s="834">
        <f>'[16]Reported Group Highlights'!AX$10</f>
        <v>218.39899999999761</v>
      </c>
      <c r="CI313" s="834">
        <f>'[16]Reported Group Highlights'!AY$10</f>
        <v>199.0653999999995</v>
      </c>
      <c r="CJ313" s="835">
        <f>SUM(CF313:CI313)</f>
        <v>775.18839999999909</v>
      </c>
      <c r="CK313" s="834">
        <f>'[16]Reported Group Highlights'!AZ$10</f>
        <v>125.82999999999993</v>
      </c>
      <c r="CL313" s="834">
        <f>'[16]Reported Group Highlights'!BA$10</f>
        <v>129.92200000000048</v>
      </c>
      <c r="CM313" s="834">
        <f>'[16]Reported Group Highlights'!BB$10</f>
        <v>140.69999999999891</v>
      </c>
      <c r="CN313" s="834"/>
      <c r="CO313" s="752">
        <f t="shared" ref="CO313:CT313" si="1604">CO330</f>
        <v>852.70723999999905</v>
      </c>
      <c r="CP313" s="752">
        <f t="shared" si="1604"/>
        <v>920.923819199999</v>
      </c>
      <c r="CQ313" s="752">
        <f t="shared" si="1604"/>
        <v>976.17924835199904</v>
      </c>
      <c r="CR313" s="752">
        <f t="shared" si="1604"/>
        <v>1034.7500032531191</v>
      </c>
      <c r="CS313" s="752">
        <f t="shared" si="1604"/>
        <v>1096.8350034483062</v>
      </c>
      <c r="CT313" s="752">
        <f t="shared" si="1604"/>
        <v>1162.6451036552046</v>
      </c>
    </row>
    <row r="314" spans="1:109" s="544" customFormat="1" ht="13.5" thickBot="1">
      <c r="A314" s="887"/>
      <c r="B314" s="571" t="s">
        <v>794</v>
      </c>
      <c r="C314" s="823"/>
      <c r="D314" s="823"/>
      <c r="E314" s="823"/>
      <c r="F314" s="823"/>
      <c r="G314" s="823"/>
      <c r="H314" s="823"/>
      <c r="I314" s="823"/>
      <c r="J314" s="823"/>
      <c r="K314" s="823"/>
      <c r="L314" s="823"/>
      <c r="M314" s="823"/>
      <c r="N314" s="823"/>
      <c r="O314" s="823"/>
      <c r="P314" s="823"/>
      <c r="Q314" s="823"/>
      <c r="R314" s="823"/>
      <c r="S314" s="823"/>
      <c r="T314" s="823"/>
      <c r="U314" s="823"/>
      <c r="V314" s="823"/>
      <c r="W314" s="823"/>
      <c r="X314" s="823"/>
      <c r="Y314" s="823"/>
      <c r="Z314" s="823"/>
      <c r="AA314" s="823"/>
      <c r="AB314" s="823"/>
      <c r="AC314" s="1145">
        <f>'[16]Reported Group Highlights'!D$11</f>
        <v>5758</v>
      </c>
      <c r="AD314" s="1145">
        <f>'[16]Reported Group Highlights'!E$11</f>
        <v>6055</v>
      </c>
      <c r="AE314" s="1145">
        <f>'[16]Reported Group Highlights'!F$11</f>
        <v>6388</v>
      </c>
      <c r="AF314" s="1145">
        <f>'[16]Reported Group Highlights'!G$11</f>
        <v>6383</v>
      </c>
      <c r="AG314" s="823">
        <f>SUM(AC314:AF314)</f>
        <v>24584</v>
      </c>
      <c r="AH314" s="1145">
        <f>'[16]Reported Group Highlights'!H$11</f>
        <v>5507</v>
      </c>
      <c r="AI314" s="1145">
        <f>'[16]Reported Group Highlights'!I$11</f>
        <v>6041</v>
      </c>
      <c r="AJ314" s="1145">
        <f>'[16]Reported Group Highlights'!J$11</f>
        <v>6006</v>
      </c>
      <c r="AK314" s="1145">
        <f>'[16]Reported Group Highlights'!K$11</f>
        <v>5906</v>
      </c>
      <c r="AL314" s="823">
        <f>SUM(AH314:AK314)</f>
        <v>23460</v>
      </c>
      <c r="AM314" s="1145">
        <f>'[16]Reported Group Highlights'!L$11</f>
        <v>5481</v>
      </c>
      <c r="AN314" s="1145">
        <f>'[16]Reported Group Highlights'!M$11</f>
        <v>5611</v>
      </c>
      <c r="AO314" s="1145">
        <f>'[16]Reported Group Highlights'!N$11</f>
        <v>5830</v>
      </c>
      <c r="AP314" s="1145">
        <f>'[16]Reported Group Highlights'!O$11</f>
        <v>5973</v>
      </c>
      <c r="AQ314" s="823">
        <f>SUM(AM314:AP314)</f>
        <v>22895</v>
      </c>
      <c r="AR314" s="1145">
        <f>'[16]Reported Group Highlights'!P$11</f>
        <v>5616</v>
      </c>
      <c r="AS314" s="1145">
        <f>'[16]Reported Group Highlights'!Q$11</f>
        <v>5238</v>
      </c>
      <c r="AT314" s="1145">
        <f>'[16]Reported Group Highlights'!R$11</f>
        <v>5230</v>
      </c>
      <c r="AU314" s="1145">
        <f>'[16]Reported Group Highlights'!S$11</f>
        <v>5257</v>
      </c>
      <c r="AV314" s="823">
        <f>SUM(AR314:AU314)</f>
        <v>21341</v>
      </c>
      <c r="AW314" s="1145">
        <f>'[16]Reported Group Highlights'!T$25</f>
        <v>5266</v>
      </c>
      <c r="AX314" s="1145">
        <f>'[16]Reported Group Highlights'!U$25</f>
        <v>5667</v>
      </c>
      <c r="AY314" s="1145">
        <f>'[16]Reported Group Highlights'!V$25</f>
        <v>5970</v>
      </c>
      <c r="AZ314" s="1145">
        <f>'[16]Reported Group Highlights'!W$25</f>
        <v>5998</v>
      </c>
      <c r="BA314" s="844">
        <f>SUM(AW314:AZ314)</f>
        <v>22901</v>
      </c>
      <c r="BB314" s="1145">
        <f>'[16]Reported Group Highlights'!X$25</f>
        <v>5501.3649999999998</v>
      </c>
      <c r="BC314" s="1145">
        <f>'[16]Reported Group Highlights'!Y$25</f>
        <v>5544.6769999999997</v>
      </c>
      <c r="BD314" s="1145">
        <f>'[16]Reported Group Highlights'!Z$25</f>
        <v>5846.17</v>
      </c>
      <c r="BE314" s="1145">
        <f>'[16]Reported Group Highlights'!AA$25</f>
        <v>6046.6</v>
      </c>
      <c r="BF314" s="844">
        <f>SUM(BB314:BE314)</f>
        <v>22938.811999999998</v>
      </c>
      <c r="BG314" s="1145">
        <f>'[16]Reported Group Highlights'!AB$25</f>
        <v>5967.2240000000002</v>
      </c>
      <c r="BH314" s="1145">
        <f>'[16]Reported Group Highlights'!AC$25</f>
        <v>6289.6049999999996</v>
      </c>
      <c r="BI314" s="1145">
        <f>'[16]Reported Group Highlights'!AD$25</f>
        <v>6463.6930000000002</v>
      </c>
      <c r="BJ314" s="1145">
        <f>'[16]Reported Group Highlights'!AE$25</f>
        <v>6412.33</v>
      </c>
      <c r="BK314" s="844">
        <f>SUM(BG314:BJ314)</f>
        <v>25132.851999999999</v>
      </c>
      <c r="BL314" s="1145">
        <f>'[16]Reported Group Highlights'!AF$25</f>
        <v>6497.1509999999998</v>
      </c>
      <c r="BM314" s="1145">
        <f>'[16]Reported Group Highlights'!AG$25</f>
        <v>6585.009</v>
      </c>
      <c r="BN314" s="1145">
        <f>'[16]Reported Group Highlights'!AH$25</f>
        <v>6573.991</v>
      </c>
      <c r="BO314" s="1145">
        <f>'[16]Reported Group Highlights'!AI$25</f>
        <v>6352.9440000000004</v>
      </c>
      <c r="BP314" s="844">
        <f>SUM(BL314:BO314)</f>
        <v>26009.094999999998</v>
      </c>
      <c r="BQ314" s="843">
        <f>'[16]Reported Group Highlights'!AJ$25</f>
        <v>6247.3630000000003</v>
      </c>
      <c r="BR314" s="843">
        <f>'[16]Reported Group Highlights'!AK$25</f>
        <v>6726.8360000000002</v>
      </c>
      <c r="BS314" s="843">
        <f>'[16]Reported Group Highlights'!AL$25</f>
        <v>6825.9939999999997</v>
      </c>
      <c r="BT314" s="843">
        <f>'[16]Reported Group Highlights'!AM$25</f>
        <v>6953.857</v>
      </c>
      <c r="BU314" s="844">
        <f>SUM(BQ314:BT314)</f>
        <v>26754.05</v>
      </c>
      <c r="BV314" s="843">
        <f>'[16]Reported Group Highlights'!AN$25</f>
        <v>6742.0590000000002</v>
      </c>
      <c r="BW314" s="843">
        <f>'[16]Reported Group Highlights'!AO$25</f>
        <v>7332.7409999999991</v>
      </c>
      <c r="BX314" s="843">
        <f>'[16]Reported Group Highlights'!AP$25</f>
        <v>7520.6000000000031</v>
      </c>
      <c r="BY314" s="843">
        <f>'[16]Reported Group Highlights'!AQ$25</f>
        <v>7546.5939999999982</v>
      </c>
      <c r="BZ314" s="844">
        <f>SUM(BV314:BY314)</f>
        <v>29141.993999999999</v>
      </c>
      <c r="CA314" s="843">
        <f>'[16]Reported Group Highlights'!AR$25</f>
        <v>7547.3239999999996</v>
      </c>
      <c r="CB314" s="843">
        <f>'[16]Reported Group Highlights'!AS$25</f>
        <v>8217.2030000000013</v>
      </c>
      <c r="CC314" s="843">
        <f>'[16]Reported Group Highlights'!AT$25</f>
        <v>8103.2769999999991</v>
      </c>
      <c r="CD314" s="843">
        <f>'[16]Reported Group Highlights'!AU$25</f>
        <v>8454.8470000000016</v>
      </c>
      <c r="CE314" s="844">
        <f>SUM(CA314:CD314)</f>
        <v>32322.651000000002</v>
      </c>
      <c r="CF314" s="843">
        <f>'[16]Reported Group Highlights'!AV$25</f>
        <v>8438.2849999999999</v>
      </c>
      <c r="CG314" s="843">
        <f>'[16]Reported Group Highlights'!AW$25</f>
        <v>8613.3120000000017</v>
      </c>
      <c r="CH314" s="843">
        <f>'[16]Reported Group Highlights'!AX$25</f>
        <v>8309.8139999999985</v>
      </c>
      <c r="CI314" s="843">
        <f>'[16]Reported Group Highlights'!AY$25</f>
        <v>9030.1860000000015</v>
      </c>
      <c r="CJ314" s="844">
        <f>SUM(CF314:CI314)</f>
        <v>34391.597000000002</v>
      </c>
      <c r="CK314" s="843">
        <f>'[16]Reported Group Highlights'!AZ$25</f>
        <v>8601.1769999999997</v>
      </c>
      <c r="CL314" s="843">
        <f>'[16]Reported Group Highlights'!BA$25</f>
        <v>10493.717000000001</v>
      </c>
      <c r="CM314" s="843">
        <f>'[16]Reported Group Highlights'!BB$25</f>
        <v>11452.569</v>
      </c>
      <c r="CN314" s="843"/>
      <c r="CO314" s="823">
        <f t="shared" ref="CO314:CT314" si="1605">CO312+CO313</f>
        <v>42474.105831966364</v>
      </c>
      <c r="CP314" s="823">
        <f t="shared" si="1605"/>
        <v>47281.52542977938</v>
      </c>
      <c r="CQ314" s="823">
        <f t="shared" si="1605"/>
        <v>49342.820741226758</v>
      </c>
      <c r="CR314" s="823">
        <f t="shared" si="1605"/>
        <v>51491.024704882409</v>
      </c>
      <c r="CS314" s="823">
        <f t="shared" si="1605"/>
        <v>53729.794804044934</v>
      </c>
      <c r="CT314" s="823">
        <f t="shared" si="1605"/>
        <v>56062.943842146051</v>
      </c>
      <c r="CV314" s="1377"/>
    </row>
    <row r="315" spans="1:109" ht="13.5" thickTop="1">
      <c r="B315" s="385"/>
      <c r="C315" s="385"/>
      <c r="D315" s="385"/>
      <c r="E315" s="385"/>
      <c r="F315" s="385"/>
      <c r="G315" s="385"/>
      <c r="H315" s="385"/>
      <c r="I315" s="385"/>
      <c r="J315" s="385"/>
      <c r="K315" s="385"/>
      <c r="L315" s="385"/>
      <c r="M315" s="385"/>
      <c r="N315" s="385"/>
      <c r="O315" s="385"/>
      <c r="P315" s="385"/>
      <c r="Q315" s="385"/>
      <c r="R315" s="385"/>
      <c r="S315" s="385"/>
      <c r="T315" s="385"/>
      <c r="U315" s="385"/>
      <c r="V315" s="385"/>
      <c r="W315" s="385"/>
      <c r="X315" s="385"/>
      <c r="Y315" s="385"/>
      <c r="Z315" s="385"/>
      <c r="AA315" s="385"/>
      <c r="AB315" s="385"/>
      <c r="AC315" s="385"/>
      <c r="AD315" s="385"/>
      <c r="AE315" s="385"/>
      <c r="AF315" s="385"/>
      <c r="AG315" s="385"/>
      <c r="AH315" s="385"/>
      <c r="AI315" s="385"/>
      <c r="AJ315" s="385"/>
      <c r="AK315" s="385"/>
      <c r="AL315" s="385"/>
      <c r="AM315" s="385"/>
      <c r="AN315" s="385"/>
      <c r="AO315" s="385"/>
      <c r="AP315" s="385"/>
      <c r="AQ315" s="385"/>
      <c r="AR315" s="385"/>
      <c r="AS315" s="385"/>
      <c r="AT315" s="385"/>
      <c r="AU315" s="385"/>
      <c r="AV315" s="385"/>
      <c r="AW315" s="385"/>
      <c r="AX315" s="385"/>
      <c r="AY315" s="385"/>
      <c r="AZ315" s="385"/>
      <c r="BA315" s="385"/>
      <c r="BB315" s="385"/>
      <c r="BC315" s="385"/>
      <c r="BD315" s="385"/>
      <c r="BE315" s="385"/>
      <c r="BF315" s="385"/>
      <c r="BG315" s="385"/>
      <c r="BH315" s="385"/>
      <c r="BI315" s="385"/>
      <c r="BJ315" s="385"/>
      <c r="BK315" s="385"/>
      <c r="BL315" s="385"/>
      <c r="BM315" s="385"/>
      <c r="BN315" s="385"/>
      <c r="BO315" s="385"/>
      <c r="BP315" s="385"/>
      <c r="BQ315" s="385"/>
      <c r="BR315" s="385"/>
      <c r="BS315" s="385"/>
      <c r="BT315" s="459"/>
      <c r="BU315" s="385"/>
      <c r="BV315" s="459"/>
      <c r="BW315" s="459"/>
      <c r="BX315" s="459"/>
      <c r="BY315" s="459"/>
      <c r="BZ315" s="385"/>
      <c r="CA315" s="459"/>
      <c r="CB315" s="459"/>
      <c r="CC315" s="459"/>
      <c r="CD315" s="459"/>
      <c r="CE315" s="385"/>
      <c r="CF315" s="459"/>
      <c r="CG315" s="459"/>
      <c r="CH315" s="459"/>
      <c r="CI315" s="459"/>
      <c r="CJ315" s="385"/>
      <c r="CK315" s="459"/>
      <c r="CL315" s="459"/>
      <c r="CM315" s="459"/>
      <c r="CN315" s="459"/>
      <c r="CO315" s="385"/>
      <c r="CP315" s="385"/>
      <c r="CQ315" s="385"/>
      <c r="CR315" s="385"/>
      <c r="CS315" s="385"/>
      <c r="CT315" s="385"/>
      <c r="CU315" s="347"/>
      <c r="CV315" s="1363"/>
      <c r="CW315" s="347"/>
      <c r="CX315" s="347"/>
      <c r="CZ315" s="354"/>
      <c r="DA315" s="354"/>
      <c r="DB315" s="354"/>
      <c r="DC315" s="354"/>
      <c r="DD315" s="354"/>
      <c r="DE315" s="354"/>
    </row>
    <row r="316" spans="1:109" s="399" customFormat="1">
      <c r="A316" s="769"/>
      <c r="B316" s="385" t="s">
        <v>802</v>
      </c>
      <c r="C316" s="861"/>
      <c r="D316" s="861"/>
      <c r="E316" s="861"/>
      <c r="F316" s="861"/>
      <c r="G316" s="861"/>
      <c r="H316" s="861"/>
      <c r="I316" s="861"/>
      <c r="J316" s="861"/>
      <c r="K316" s="861"/>
      <c r="L316" s="861"/>
      <c r="M316" s="861"/>
      <c r="N316" s="861"/>
      <c r="O316" s="861"/>
      <c r="P316" s="861"/>
      <c r="Q316" s="861"/>
      <c r="R316" s="861"/>
      <c r="S316" s="861"/>
      <c r="T316" s="861"/>
      <c r="U316" s="861"/>
      <c r="V316" s="861"/>
      <c r="W316" s="861"/>
      <c r="X316" s="861"/>
      <c r="Y316" s="861"/>
      <c r="Z316" s="861"/>
      <c r="AA316" s="861"/>
      <c r="AB316" s="861"/>
      <c r="AC316" s="861"/>
      <c r="AD316" s="861"/>
      <c r="AE316" s="861"/>
      <c r="AF316" s="861"/>
      <c r="AG316" s="861"/>
      <c r="AH316" s="861">
        <f>AH318*AH319*3/10^6</f>
        <v>128.65049999999999</v>
      </c>
      <c r="AI316" s="861">
        <f t="shared" ref="AI316:AK316" si="1606">AI318*AI319*3/10^6</f>
        <v>161.1705</v>
      </c>
      <c r="AJ316" s="861">
        <f t="shared" si="1606"/>
        <v>122.85899999999999</v>
      </c>
      <c r="AK316" s="861">
        <f t="shared" si="1606"/>
        <v>147.79499999999999</v>
      </c>
      <c r="AL316" s="861">
        <f>SUM(AH316:AK316)</f>
        <v>560.47500000000002</v>
      </c>
      <c r="AM316" s="861">
        <f>AM318*AM319*3/10^6</f>
        <v>132.28800000000001</v>
      </c>
      <c r="AN316" s="861">
        <f t="shared" ref="AN316:AP316" si="1607">AN318*AN319*3/10^6</f>
        <v>133.06800000000001</v>
      </c>
      <c r="AO316" s="861">
        <f t="shared" si="1607"/>
        <v>137.86949999999999</v>
      </c>
      <c r="AP316" s="861">
        <f t="shared" si="1607"/>
        <v>147.126</v>
      </c>
      <c r="AQ316" s="861">
        <f>SUM(AM316:AP316)</f>
        <v>550.35149999999999</v>
      </c>
      <c r="AR316" s="861">
        <f>AR318*AR319*3/10^6</f>
        <v>152.25</v>
      </c>
      <c r="AS316" s="861">
        <f t="shared" ref="AS316:AU316" si="1608">AS318*AS319*3/10^6</f>
        <v>139.19999999999999</v>
      </c>
      <c r="AT316" s="861">
        <f t="shared" si="1608"/>
        <v>198.19800000000001</v>
      </c>
      <c r="AU316" s="861">
        <f t="shared" si="1608"/>
        <v>181.65600000000001</v>
      </c>
      <c r="AV316" s="861">
        <f>SUM(AR316:AU316)</f>
        <v>671.30400000000009</v>
      </c>
      <c r="AW316" s="861">
        <f>AW318*AW319*3/10^6</f>
        <v>199.578</v>
      </c>
      <c r="AX316" s="861">
        <f t="shared" ref="AX316:AZ316" si="1609">AX318*AX319*3/10^6</f>
        <v>181.76400000000001</v>
      </c>
      <c r="AY316" s="861">
        <f t="shared" si="1609"/>
        <v>205.6035</v>
      </c>
      <c r="AZ316" s="861">
        <f t="shared" si="1609"/>
        <v>222.11099999999999</v>
      </c>
      <c r="BA316" s="861">
        <f>SUM(AW316:AZ316)</f>
        <v>809.05650000000003</v>
      </c>
      <c r="BB316" s="861">
        <f>BB318*BB319*3/10^6</f>
        <v>239.613</v>
      </c>
      <c r="BC316" s="861">
        <f t="shared" ref="BC316:BE316" si="1610">BC318*BC319*3/10^6</f>
        <v>261.8775</v>
      </c>
      <c r="BD316" s="861">
        <f t="shared" si="1610"/>
        <v>285.05250000000001</v>
      </c>
      <c r="BE316" s="861">
        <f t="shared" si="1610"/>
        <v>305.601</v>
      </c>
      <c r="BF316" s="861">
        <f>SUM(BB316:BE316)</f>
        <v>1092.144</v>
      </c>
      <c r="BG316" s="861">
        <f>BG318*BG319*3/10^6</f>
        <v>354.31200000000001</v>
      </c>
      <c r="BH316" s="861">
        <f t="shared" ref="BH316:BJ316" si="1611">BH318*BH319*3/10^6</f>
        <v>343.18650000000002</v>
      </c>
      <c r="BI316" s="861">
        <f t="shared" si="1611"/>
        <v>350.649</v>
      </c>
      <c r="BJ316" s="861">
        <f t="shared" si="1611"/>
        <v>346.7835</v>
      </c>
      <c r="BK316" s="861">
        <f>SUM(BG316:BJ316)</f>
        <v>1394.931</v>
      </c>
      <c r="BL316" s="861">
        <f>BL318*BL319*3/10^6</f>
        <v>378.93599999999998</v>
      </c>
      <c r="BM316" s="861">
        <f t="shared" ref="BM316:BO316" si="1612">BM318*BM319*3/10^6</f>
        <v>381.28500000000003</v>
      </c>
      <c r="BN316" s="861">
        <f t="shared" si="1612"/>
        <v>376.2</v>
      </c>
      <c r="BO316" s="861">
        <f t="shared" si="1612"/>
        <v>377.85</v>
      </c>
      <c r="BP316" s="861">
        <f>SUM(BL316:BO316)</f>
        <v>1514.2710000000002</v>
      </c>
      <c r="BQ316" s="861">
        <f>BQ318*BQ319*3/10^6</f>
        <v>377.46</v>
      </c>
      <c r="BR316" s="861">
        <f t="shared" ref="BR316:BT316" si="1613">BR318*BR319*3/10^6</f>
        <v>390.42</v>
      </c>
      <c r="BS316" s="861">
        <f t="shared" si="1613"/>
        <v>393.75</v>
      </c>
      <c r="BT316" s="861">
        <f t="shared" si="1613"/>
        <v>411.81</v>
      </c>
      <c r="BU316" s="861">
        <f>SUM(BQ316:BT316)</f>
        <v>1573.44</v>
      </c>
      <c r="BV316" s="861">
        <f>BV318*BV319*3/10^6</f>
        <v>393.96</v>
      </c>
      <c r="BW316" s="861">
        <f t="shared" ref="BW316:BY316" si="1614">BW318*BW319*3/10^6</f>
        <v>404.49</v>
      </c>
      <c r="BX316" s="861">
        <f t="shared" si="1614"/>
        <v>420.48</v>
      </c>
      <c r="BY316" s="861">
        <f t="shared" si="1614"/>
        <v>414</v>
      </c>
      <c r="BZ316" s="861">
        <f>SUM(BV316:BY316)</f>
        <v>1632.93</v>
      </c>
      <c r="CA316" s="861">
        <f>CA318*CA319*3/10^6</f>
        <v>409.5</v>
      </c>
      <c r="CB316" s="861">
        <f>CB318*CB319*3/10^6</f>
        <v>405</v>
      </c>
      <c r="CC316" s="861">
        <f>CC318*CC319*3/10^6</f>
        <v>418.5</v>
      </c>
      <c r="CD316" s="861">
        <f>CD318*CD319*3/10^6</f>
        <v>417.6</v>
      </c>
      <c r="CE316" s="861">
        <f>SUM(CA316:CD316)</f>
        <v>1650.6</v>
      </c>
      <c r="CF316" s="861">
        <f>CF318*CF319*3/10^6</f>
        <v>417.6</v>
      </c>
      <c r="CG316" s="861">
        <f>CG318*CG319*3/10^6</f>
        <v>436.8</v>
      </c>
      <c r="CH316" s="861">
        <f>CH318*CH319*3/10^6</f>
        <v>425.7</v>
      </c>
      <c r="CI316" s="861">
        <f>CI318*CI319*3/10^6</f>
        <v>459</v>
      </c>
      <c r="CJ316" s="861">
        <f>SUM(CF316:CI316)</f>
        <v>1739.1000000000001</v>
      </c>
      <c r="CK316" s="861">
        <f>CK318*CK319*3/10^6</f>
        <v>446.25</v>
      </c>
      <c r="CL316" s="861">
        <f>CL318*CL319*3/10^6</f>
        <v>466.2</v>
      </c>
      <c r="CM316" s="861">
        <f>CM318*CM319*3/10^6</f>
        <v>462.27</v>
      </c>
      <c r="CN316" s="861"/>
      <c r="CO316" s="861">
        <f t="shared" ref="CO316:CT316" si="1615">CO318*CO319*12/10^6</f>
        <v>1924.3877611402481</v>
      </c>
      <c r="CP316" s="861">
        <f t="shared" si="1615"/>
        <v>1992.6147051570431</v>
      </c>
      <c r="CQ316" s="861">
        <f t="shared" si="1615"/>
        <v>2117.9772768805237</v>
      </c>
      <c r="CR316" s="861">
        <f t="shared" si="1615"/>
        <v>2247.4344714862727</v>
      </c>
      <c r="CS316" s="861">
        <f t="shared" si="1615"/>
        <v>2381.0928246741992</v>
      </c>
      <c r="CT316" s="861">
        <f t="shared" si="1615"/>
        <v>2519.0613280893831</v>
      </c>
      <c r="CU316" s="364"/>
      <c r="CV316" s="1362"/>
      <c r="CW316" s="364"/>
      <c r="CX316" s="364"/>
      <c r="CZ316" s="365"/>
      <c r="DA316" s="365"/>
      <c r="DB316" s="365"/>
      <c r="DC316" s="365"/>
      <c r="DD316" s="365"/>
      <c r="DE316" s="365"/>
    </row>
    <row r="317" spans="1:109">
      <c r="B317" s="390" t="s">
        <v>0</v>
      </c>
      <c r="C317" s="385"/>
      <c r="D317" s="385"/>
      <c r="E317" s="385"/>
      <c r="F317" s="385"/>
      <c r="G317" s="385"/>
      <c r="H317" s="385"/>
      <c r="I317" s="385"/>
      <c r="J317" s="385"/>
      <c r="K317" s="385"/>
      <c r="L317" s="385"/>
      <c r="M317" s="385"/>
      <c r="N317" s="385"/>
      <c r="O317" s="385"/>
      <c r="P317" s="385"/>
      <c r="Q317" s="385"/>
      <c r="R317" s="385"/>
      <c r="S317" s="385"/>
      <c r="T317" s="385"/>
      <c r="U317" s="385"/>
      <c r="V317" s="385"/>
      <c r="W317" s="385"/>
      <c r="X317" s="385"/>
      <c r="Y317" s="385"/>
      <c r="Z317" s="385"/>
      <c r="AA317" s="385"/>
      <c r="AB317" s="385"/>
      <c r="AC317" s="385"/>
      <c r="AD317" s="385"/>
      <c r="AE317" s="385"/>
      <c r="AF317" s="385"/>
      <c r="AG317" s="385"/>
      <c r="AH317" s="385"/>
      <c r="AI317" s="385"/>
      <c r="AJ317" s="385"/>
      <c r="AK317" s="385"/>
      <c r="AL317" s="385"/>
      <c r="AM317" s="353">
        <f>AM316/AH316-1</f>
        <v>2.8274277985705698E-2</v>
      </c>
      <c r="AN317" s="353">
        <f t="shared" ref="AN317" si="1616">AN316/AI316-1</f>
        <v>-0.17436503578508467</v>
      </c>
      <c r="AO317" s="353">
        <f t="shared" ref="AO317" si="1617">AO316/AJ316-1</f>
        <v>0.12217664151588403</v>
      </c>
      <c r="AP317" s="353">
        <f t="shared" ref="AP317" si="1618">AP316/AK316-1</f>
        <v>-4.5265401400587102E-3</v>
      </c>
      <c r="AQ317" s="353">
        <f t="shared" ref="AQ317" si="1619">AQ316/AL316-1</f>
        <v>-1.8062357821490793E-2</v>
      </c>
      <c r="AR317" s="353">
        <f>AR316/AM316-1</f>
        <v>0.15089804063860668</v>
      </c>
      <c r="AS317" s="353">
        <f t="shared" ref="AS317" si="1620">AS316/AN316-1</f>
        <v>4.6081702588150142E-2</v>
      </c>
      <c r="AT317" s="353">
        <f t="shared" ref="AT317" si="1621">AT316/AO316-1</f>
        <v>0.4375768389672845</v>
      </c>
      <c r="AU317" s="353">
        <f t="shared" ref="AU317" si="1622">AU316/AP316-1</f>
        <v>0.23469679050609682</v>
      </c>
      <c r="AV317" s="353">
        <f t="shared" ref="AV317" si="1623">AV316/AQ316-1</f>
        <v>0.21977318132139212</v>
      </c>
      <c r="AW317" s="353">
        <f>AW316/AR316-1</f>
        <v>0.31085714285714294</v>
      </c>
      <c r="AX317" s="353">
        <f t="shared" ref="AX317" si="1624">AX316/AS316-1</f>
        <v>0.30577586206896568</v>
      </c>
      <c r="AY317" s="353">
        <f t="shared" ref="AY317" si="1625">AY316/AT316-1</f>
        <v>3.7364151000514489E-2</v>
      </c>
      <c r="AZ317" s="353">
        <f t="shared" ref="AZ317" si="1626">AZ316/AU316-1</f>
        <v>0.22270114942528729</v>
      </c>
      <c r="BA317" s="353">
        <f t="shared" ref="BA317" si="1627">BA316/AV316-1</f>
        <v>0.20520136927532073</v>
      </c>
      <c r="BB317" s="353">
        <f>BB316/AW316-1</f>
        <v>0.20059826233352362</v>
      </c>
      <c r="BC317" s="353">
        <f t="shared" ref="BC317" si="1628">BC316/AX316-1</f>
        <v>0.44075559516735985</v>
      </c>
      <c r="BD317" s="353">
        <f t="shared" ref="BD317" si="1629">BD316/AY316-1</f>
        <v>0.38641851913999514</v>
      </c>
      <c r="BE317" s="353">
        <f t="shared" ref="BE317" si="1630">BE316/AZ316-1</f>
        <v>0.37589313451382433</v>
      </c>
      <c r="BF317" s="353">
        <f t="shared" ref="BF317" si="1631">BF316/BA316-1</f>
        <v>0.3498983074729638</v>
      </c>
      <c r="BG317" s="353">
        <f>BG316/BB316-1</f>
        <v>0.47868437856042867</v>
      </c>
      <c r="BH317" s="353">
        <f t="shared" ref="BH317" si="1632">BH316/BC316-1</f>
        <v>0.31048486410630938</v>
      </c>
      <c r="BI317" s="353">
        <f t="shared" ref="BI317" si="1633">BI316/BD316-1</f>
        <v>0.23012076722708974</v>
      </c>
      <c r="BJ317" s="353">
        <f t="shared" ref="BJ317" si="1634">BJ316/BE316-1</f>
        <v>0.13475904856332277</v>
      </c>
      <c r="BK317" s="353">
        <f t="shared" ref="BK317" si="1635">BK316/BF316-1</f>
        <v>0.27724091328616018</v>
      </c>
      <c r="BL317" s="353">
        <f>BL316/BG316-1</f>
        <v>6.9498069498069359E-2</v>
      </c>
      <c r="BM317" s="353">
        <f t="shared" ref="BM317" si="1636">BM316/BH316-1</f>
        <v>0.11101398219335556</v>
      </c>
      <c r="BN317" s="353">
        <f t="shared" ref="BN317" si="1637">BN316/BI316-1</f>
        <v>7.2867739534406173E-2</v>
      </c>
      <c r="BO317" s="353">
        <f t="shared" ref="BO317" si="1638">BO316/BJ316-1</f>
        <v>8.958471207540164E-2</v>
      </c>
      <c r="BP317" s="353">
        <f t="shared" ref="BP317" si="1639">BP316/BK316-1</f>
        <v>8.5552618731679297E-2</v>
      </c>
      <c r="BQ317" s="353">
        <f>BQ316/BL316-1</f>
        <v>-3.8951168535056313E-3</v>
      </c>
      <c r="BR317" s="353">
        <f t="shared" ref="BR317" si="1640">BR316/BM316-1</f>
        <v>2.3958456272866746E-2</v>
      </c>
      <c r="BS317" s="353">
        <f t="shared" ref="BS317" si="1641">BS316/BN316-1</f>
        <v>4.6650717703349276E-2</v>
      </c>
      <c r="BT317" s="353">
        <f t="shared" ref="BT317" si="1642">BT316/BO316-1</f>
        <v>8.9876935291782312E-2</v>
      </c>
      <c r="BU317" s="353">
        <f t="shared" ref="BU317" si="1643">BU316/BP316-1</f>
        <v>3.9074247608255064E-2</v>
      </c>
      <c r="BV317" s="353">
        <f>BV316/BQ316-1</f>
        <v>4.3713241138133796E-2</v>
      </c>
      <c r="BW317" s="353">
        <f t="shared" ref="BW317" si="1644">BW316/BR316-1</f>
        <v>3.6038112801598299E-2</v>
      </c>
      <c r="BX317" s="353">
        <f t="shared" ref="BX317" si="1645">BX316/BS316-1</f>
        <v>6.7885714285714327E-2</v>
      </c>
      <c r="BY317" s="353">
        <f t="shared" ref="BY317" si="1646">BY316/BT316-1</f>
        <v>5.3179864500618734E-3</v>
      </c>
      <c r="BZ317" s="353">
        <f t="shared" ref="BZ317" si="1647">BZ316/BU316-1</f>
        <v>3.7808877364246429E-2</v>
      </c>
      <c r="CA317" s="353">
        <f>CA316/BV316-1</f>
        <v>3.9445628997867965E-2</v>
      </c>
      <c r="CB317" s="353">
        <f t="shared" ref="CB317" si="1648">CB316/BW316-1</f>
        <v>1.2608469925090571E-3</v>
      </c>
      <c r="CC317" s="353">
        <f t="shared" ref="CC317" si="1649">CC316/BX316-1</f>
        <v>-4.7089041095891293E-3</v>
      </c>
      <c r="CD317" s="353">
        <f t="shared" ref="CD317:CM317" si="1650">CD316/BY316-1</f>
        <v>8.6956521739129933E-3</v>
      </c>
      <c r="CE317" s="353">
        <f t="shared" ref="CE317" si="1651">CE316/BZ316-1</f>
        <v>1.0821039481177852E-2</v>
      </c>
      <c r="CF317" s="353">
        <f t="shared" si="1650"/>
        <v>1.9780219780219932E-2</v>
      </c>
      <c r="CG317" s="353">
        <f t="shared" si="1650"/>
        <v>7.8518518518518654E-2</v>
      </c>
      <c r="CH317" s="353">
        <f t="shared" si="1650"/>
        <v>1.7204301075268713E-2</v>
      </c>
      <c r="CI317" s="353">
        <f t="shared" si="1650"/>
        <v>9.9137931034482651E-2</v>
      </c>
      <c r="CJ317" s="353">
        <f t="shared" si="1650"/>
        <v>5.3616866593966028E-2</v>
      </c>
      <c r="CK317" s="353">
        <f t="shared" si="1650"/>
        <v>6.8606321839080442E-2</v>
      </c>
      <c r="CL317" s="353">
        <f t="shared" si="1650"/>
        <v>6.7307692307692291E-2</v>
      </c>
      <c r="CM317" s="353">
        <f t="shared" si="1650"/>
        <v>8.5905567300916141E-2</v>
      </c>
      <c r="CN317" s="353"/>
      <c r="CO317" s="353">
        <f>CO316/CJ316-1</f>
        <v>0.10654232714636769</v>
      </c>
      <c r="CP317" s="353">
        <f t="shared" ref="CP317:CT317" si="1652">CP316/CO316-1</f>
        <v>3.5453844279475621E-2</v>
      </c>
      <c r="CQ317" s="353">
        <f t="shared" si="1652"/>
        <v>6.291360361791587E-2</v>
      </c>
      <c r="CR317" s="353">
        <f t="shared" si="1652"/>
        <v>6.1123032819512035E-2</v>
      </c>
      <c r="CS317" s="353">
        <f t="shared" si="1652"/>
        <v>5.9471524034930168E-2</v>
      </c>
      <c r="CT317" s="353">
        <f t="shared" si="1652"/>
        <v>5.79433535666809E-2</v>
      </c>
      <c r="CU317" s="347"/>
      <c r="CV317" s="1363"/>
      <c r="CW317" s="347"/>
      <c r="CX317" s="347"/>
      <c r="CZ317" s="354"/>
      <c r="DA317" s="354"/>
      <c r="DB317" s="354"/>
      <c r="DC317" s="354"/>
      <c r="DD317" s="354"/>
      <c r="DE317" s="354"/>
    </row>
    <row r="318" spans="1:109">
      <c r="B318" s="390" t="s">
        <v>800</v>
      </c>
      <c r="C318" s="861"/>
      <c r="D318" s="861"/>
      <c r="E318" s="861"/>
      <c r="F318" s="861"/>
      <c r="G318" s="861"/>
      <c r="H318" s="861"/>
      <c r="I318" s="861"/>
      <c r="J318" s="861"/>
      <c r="K318" s="861"/>
      <c r="L318" s="861"/>
      <c r="M318" s="861"/>
      <c r="N318" s="861"/>
      <c r="O318" s="861"/>
      <c r="P318" s="861"/>
      <c r="Q318" s="861"/>
      <c r="R318" s="861"/>
      <c r="S318" s="861"/>
      <c r="T318" s="861"/>
      <c r="U318" s="861"/>
      <c r="V318" s="861"/>
      <c r="W318" s="861"/>
      <c r="X318" s="861"/>
      <c r="Y318" s="861"/>
      <c r="Z318" s="861"/>
      <c r="AA318" s="861"/>
      <c r="AB318" s="861"/>
      <c r="AC318" s="861"/>
      <c r="AD318" s="861"/>
      <c r="AE318" s="861"/>
      <c r="AF318" s="861"/>
      <c r="AG318" s="861"/>
      <c r="AH318" s="862">
        <f t="shared" ref="AH318:BM318" si="1653">AH132</f>
        <v>113000</v>
      </c>
      <c r="AI318" s="862">
        <f t="shared" si="1653"/>
        <v>139000</v>
      </c>
      <c r="AJ318" s="862">
        <f t="shared" si="1653"/>
        <v>102000</v>
      </c>
      <c r="AK318" s="862">
        <f t="shared" si="1653"/>
        <v>118000</v>
      </c>
      <c r="AL318" s="862">
        <f t="shared" si="1653"/>
        <v>118000</v>
      </c>
      <c r="AM318" s="862">
        <f t="shared" si="1653"/>
        <v>104000</v>
      </c>
      <c r="AN318" s="862">
        <f t="shared" si="1653"/>
        <v>104000</v>
      </c>
      <c r="AO318" s="862">
        <f t="shared" si="1653"/>
        <v>107000</v>
      </c>
      <c r="AP318" s="862">
        <f t="shared" si="1653"/>
        <v>113000</v>
      </c>
      <c r="AQ318" s="862">
        <f t="shared" si="1653"/>
        <v>107000</v>
      </c>
      <c r="AR318" s="862">
        <f t="shared" si="1653"/>
        <v>116000</v>
      </c>
      <c r="AS318" s="862">
        <f t="shared" si="1653"/>
        <v>100000</v>
      </c>
      <c r="AT318" s="862">
        <f t="shared" si="1653"/>
        <v>132000</v>
      </c>
      <c r="AU318" s="862">
        <f t="shared" si="1653"/>
        <v>116000</v>
      </c>
      <c r="AV318" s="862">
        <f t="shared" si="1653"/>
        <v>116000</v>
      </c>
      <c r="AW318" s="862">
        <f t="shared" si="1653"/>
        <v>124000</v>
      </c>
      <c r="AX318" s="862">
        <f t="shared" si="1653"/>
        <v>108000</v>
      </c>
      <c r="AY318" s="862">
        <f t="shared" si="1653"/>
        <v>113000</v>
      </c>
      <c r="AZ318" s="862">
        <f t="shared" si="1653"/>
        <v>111000</v>
      </c>
      <c r="BA318" s="862">
        <f t="shared" si="1653"/>
        <v>114000</v>
      </c>
      <c r="BB318" s="862">
        <f t="shared" si="1653"/>
        <v>106000</v>
      </c>
      <c r="BC318" s="862">
        <f t="shared" si="1653"/>
        <v>103000</v>
      </c>
      <c r="BD318" s="862">
        <f t="shared" si="1653"/>
        <v>103000</v>
      </c>
      <c r="BE318" s="862">
        <f t="shared" si="1653"/>
        <v>103000</v>
      </c>
      <c r="BF318" s="862">
        <f t="shared" si="1653"/>
        <v>103750</v>
      </c>
      <c r="BG318" s="862">
        <f t="shared" si="1653"/>
        <v>114000</v>
      </c>
      <c r="BH318" s="862">
        <f t="shared" si="1653"/>
        <v>109000</v>
      </c>
      <c r="BI318" s="862">
        <f t="shared" si="1653"/>
        <v>111000</v>
      </c>
      <c r="BJ318" s="862">
        <f t="shared" si="1653"/>
        <v>109000</v>
      </c>
      <c r="BK318" s="862">
        <f t="shared" si="1653"/>
        <v>110750</v>
      </c>
      <c r="BL318" s="862">
        <f t="shared" si="1653"/>
        <v>114000</v>
      </c>
      <c r="BM318" s="862">
        <f t="shared" si="1653"/>
        <v>111000</v>
      </c>
      <c r="BN318" s="862">
        <f t="shared" ref="BN318:CT318" si="1654">BN132</f>
        <v>110000</v>
      </c>
      <c r="BO318" s="862">
        <f t="shared" si="1654"/>
        <v>110000</v>
      </c>
      <c r="BP318" s="862">
        <f t="shared" si="1654"/>
        <v>111250</v>
      </c>
      <c r="BQ318" s="862">
        <f t="shared" si="1654"/>
        <v>108000</v>
      </c>
      <c r="BR318" s="862">
        <f t="shared" si="1654"/>
        <v>108000</v>
      </c>
      <c r="BS318" s="862">
        <f t="shared" si="1654"/>
        <v>105000</v>
      </c>
      <c r="BT318" s="862">
        <f t="shared" si="1654"/>
        <v>106000</v>
      </c>
      <c r="BU318" s="862">
        <f t="shared" si="1654"/>
        <v>106750</v>
      </c>
      <c r="BV318" s="862">
        <f t="shared" si="1654"/>
        <v>98000</v>
      </c>
      <c r="BW318" s="862">
        <f t="shared" si="1654"/>
        <v>97000</v>
      </c>
      <c r="BX318" s="862">
        <f t="shared" si="1654"/>
        <v>96000</v>
      </c>
      <c r="BY318" s="862">
        <f t="shared" si="1654"/>
        <v>92000</v>
      </c>
      <c r="BZ318" s="862">
        <f t="shared" si="1654"/>
        <v>96508.865248226954</v>
      </c>
      <c r="CA318" s="862">
        <f t="shared" si="1654"/>
        <v>91000</v>
      </c>
      <c r="CB318" s="862">
        <f t="shared" si="1654"/>
        <v>90000</v>
      </c>
      <c r="CC318" s="862">
        <f t="shared" ref="CC318:CE318" si="1655">CC132</f>
        <v>90000</v>
      </c>
      <c r="CD318" s="862">
        <f t="shared" si="1655"/>
        <v>87000</v>
      </c>
      <c r="CE318" s="862">
        <f t="shared" si="1655"/>
        <v>88741.93548387097</v>
      </c>
      <c r="CF318" s="862">
        <f t="shared" ref="CF318:CG318" si="1656">CF132</f>
        <v>87000</v>
      </c>
      <c r="CG318" s="862">
        <f t="shared" si="1656"/>
        <v>91000</v>
      </c>
      <c r="CH318" s="862">
        <f t="shared" ref="CH318:CK318" si="1657">CH132</f>
        <v>86000</v>
      </c>
      <c r="CI318" s="862">
        <f t="shared" si="1657"/>
        <v>90000</v>
      </c>
      <c r="CJ318" s="862">
        <f t="shared" si="1657"/>
        <v>87833.333333333358</v>
      </c>
      <c r="CK318" s="862">
        <f t="shared" si="1657"/>
        <v>85000</v>
      </c>
      <c r="CL318" s="862">
        <f t="shared" ref="CL318" si="1658">CL132</f>
        <v>84000</v>
      </c>
      <c r="CM318" s="862">
        <f t="shared" ref="CM318" si="1659">CM132</f>
        <v>81100</v>
      </c>
      <c r="CN318" s="862"/>
      <c r="CO318" s="862">
        <f t="shared" si="1654"/>
        <v>84320.000000000015</v>
      </c>
      <c r="CP318" s="862">
        <f t="shared" si="1654"/>
        <v>84741.6</v>
      </c>
      <c r="CQ318" s="862">
        <f t="shared" si="1654"/>
        <v>85165.30799999999</v>
      </c>
      <c r="CR318" s="862">
        <f t="shared" si="1654"/>
        <v>85591.134539999985</v>
      </c>
      <c r="CS318" s="862">
        <f t="shared" si="1654"/>
        <v>86019.090212699972</v>
      </c>
      <c r="CT318" s="862">
        <f t="shared" si="1654"/>
        <v>86449.185663763463</v>
      </c>
      <c r="CU318" s="347"/>
      <c r="CV318" s="1363"/>
      <c r="CW318" s="347"/>
      <c r="CX318" s="347"/>
      <c r="CZ318" s="354"/>
      <c r="DA318" s="354"/>
      <c r="DB318" s="354"/>
      <c r="DC318" s="354"/>
      <c r="DD318" s="354"/>
      <c r="DE318" s="354"/>
    </row>
    <row r="319" spans="1:109">
      <c r="B319" s="390" t="s">
        <v>805</v>
      </c>
      <c r="C319" s="861"/>
      <c r="D319" s="861"/>
      <c r="E319" s="861"/>
      <c r="F319" s="861"/>
      <c r="G319" s="861"/>
      <c r="H319" s="861"/>
      <c r="I319" s="861"/>
      <c r="J319" s="861"/>
      <c r="K319" s="861"/>
      <c r="L319" s="861"/>
      <c r="M319" s="861"/>
      <c r="N319" s="861"/>
      <c r="O319" s="861"/>
      <c r="P319" s="861"/>
      <c r="Q319" s="861"/>
      <c r="R319" s="861"/>
      <c r="S319" s="861"/>
      <c r="T319" s="861"/>
      <c r="U319" s="861"/>
      <c r="V319" s="861"/>
      <c r="W319" s="861"/>
      <c r="X319" s="861"/>
      <c r="Y319" s="861"/>
      <c r="Z319" s="861"/>
      <c r="AA319" s="861"/>
      <c r="AB319" s="861"/>
      <c r="AC319" s="861"/>
      <c r="AD319" s="861"/>
      <c r="AE319" s="861"/>
      <c r="AF319" s="861"/>
      <c r="AG319" s="861"/>
      <c r="AH319" s="862">
        <f t="shared" ref="AH319:BM319" si="1660">AH83</f>
        <v>379.5</v>
      </c>
      <c r="AI319" s="862">
        <f t="shared" si="1660"/>
        <v>386.5</v>
      </c>
      <c r="AJ319" s="862">
        <f t="shared" si="1660"/>
        <v>401.5</v>
      </c>
      <c r="AK319" s="862">
        <f t="shared" si="1660"/>
        <v>417.5</v>
      </c>
      <c r="AL319" s="862">
        <f t="shared" si="1660"/>
        <v>400</v>
      </c>
      <c r="AM319" s="862">
        <f t="shared" si="1660"/>
        <v>424</v>
      </c>
      <c r="AN319" s="862">
        <f t="shared" si="1660"/>
        <v>426.5</v>
      </c>
      <c r="AO319" s="862">
        <f t="shared" si="1660"/>
        <v>429.5</v>
      </c>
      <c r="AP319" s="862">
        <f t="shared" si="1660"/>
        <v>434</v>
      </c>
      <c r="AQ319" s="862">
        <f t="shared" si="1660"/>
        <v>430</v>
      </c>
      <c r="AR319" s="862">
        <f t="shared" si="1660"/>
        <v>437.5</v>
      </c>
      <c r="AS319" s="862">
        <f t="shared" si="1660"/>
        <v>464</v>
      </c>
      <c r="AT319" s="862">
        <f t="shared" si="1660"/>
        <v>500.5</v>
      </c>
      <c r="AU319" s="862">
        <f t="shared" si="1660"/>
        <v>522</v>
      </c>
      <c r="AV319" s="862">
        <f t="shared" si="1660"/>
        <v>485</v>
      </c>
      <c r="AW319" s="862">
        <f t="shared" si="1660"/>
        <v>536.5</v>
      </c>
      <c r="AX319" s="862">
        <f t="shared" si="1660"/>
        <v>561</v>
      </c>
      <c r="AY319" s="862">
        <f t="shared" si="1660"/>
        <v>606.5</v>
      </c>
      <c r="AZ319" s="862">
        <f t="shared" si="1660"/>
        <v>667</v>
      </c>
      <c r="BA319" s="862">
        <f t="shared" si="1660"/>
        <v>618</v>
      </c>
      <c r="BB319" s="862">
        <f t="shared" si="1660"/>
        <v>753.5</v>
      </c>
      <c r="BC319" s="862">
        <f t="shared" si="1660"/>
        <v>847.5</v>
      </c>
      <c r="BD319" s="862">
        <f t="shared" si="1660"/>
        <v>922.5</v>
      </c>
      <c r="BE319" s="862">
        <f t="shared" si="1660"/>
        <v>989</v>
      </c>
      <c r="BF319" s="862">
        <f t="shared" si="1660"/>
        <v>863.5</v>
      </c>
      <c r="BG319" s="862">
        <f t="shared" si="1660"/>
        <v>1036</v>
      </c>
      <c r="BH319" s="862">
        <f t="shared" si="1660"/>
        <v>1049.5</v>
      </c>
      <c r="BI319" s="862">
        <f t="shared" si="1660"/>
        <v>1053</v>
      </c>
      <c r="BJ319" s="862">
        <f t="shared" si="1660"/>
        <v>1060.5</v>
      </c>
      <c r="BK319" s="862">
        <f t="shared" si="1660"/>
        <v>1045</v>
      </c>
      <c r="BL319" s="862">
        <f t="shared" si="1660"/>
        <v>1108</v>
      </c>
      <c r="BM319" s="862">
        <f t="shared" si="1660"/>
        <v>1145</v>
      </c>
      <c r="BN319" s="862">
        <f t="shared" ref="BN319:CL319" si="1661">BN83</f>
        <v>1140</v>
      </c>
      <c r="BO319" s="862">
        <f t="shared" si="1661"/>
        <v>1145</v>
      </c>
      <c r="BP319" s="862">
        <f t="shared" si="1661"/>
        <v>1108</v>
      </c>
      <c r="BQ319" s="862">
        <f t="shared" si="1661"/>
        <v>1165</v>
      </c>
      <c r="BR319" s="862">
        <f t="shared" si="1661"/>
        <v>1205</v>
      </c>
      <c r="BS319" s="862">
        <f t="shared" si="1661"/>
        <v>1250</v>
      </c>
      <c r="BT319" s="862">
        <f t="shared" si="1661"/>
        <v>1295</v>
      </c>
      <c r="BU319" s="862">
        <f t="shared" si="1661"/>
        <v>1235</v>
      </c>
      <c r="BV319" s="862">
        <f t="shared" si="1661"/>
        <v>1340</v>
      </c>
      <c r="BW319" s="862">
        <f t="shared" si="1661"/>
        <v>1390</v>
      </c>
      <c r="BX319" s="862">
        <f t="shared" si="1661"/>
        <v>1460</v>
      </c>
      <c r="BY319" s="862">
        <f t="shared" si="1661"/>
        <v>1500</v>
      </c>
      <c r="BZ319" s="862">
        <f t="shared" si="1661"/>
        <v>1410</v>
      </c>
      <c r="CA319" s="862">
        <f t="shared" si="1661"/>
        <v>1500</v>
      </c>
      <c r="CB319" s="862">
        <f t="shared" si="1661"/>
        <v>1500</v>
      </c>
      <c r="CC319" s="862">
        <f t="shared" si="1661"/>
        <v>1550</v>
      </c>
      <c r="CD319" s="862">
        <f t="shared" si="1661"/>
        <v>1600</v>
      </c>
      <c r="CE319" s="862">
        <f t="shared" si="1661"/>
        <v>1550</v>
      </c>
      <c r="CF319" s="862">
        <f t="shared" si="1661"/>
        <v>1600</v>
      </c>
      <c r="CG319" s="862">
        <f t="shared" si="1661"/>
        <v>1600</v>
      </c>
      <c r="CH319" s="862">
        <f t="shared" si="1661"/>
        <v>1650</v>
      </c>
      <c r="CI319" s="862">
        <f t="shared" si="1661"/>
        <v>1700</v>
      </c>
      <c r="CJ319" s="862">
        <f t="shared" si="1661"/>
        <v>1650</v>
      </c>
      <c r="CK319" s="862">
        <f t="shared" si="1661"/>
        <v>1750</v>
      </c>
      <c r="CL319" s="862">
        <f t="shared" si="1661"/>
        <v>1850</v>
      </c>
      <c r="CM319" s="862">
        <f t="shared" ref="CM319" si="1662">CM83</f>
        <v>1900</v>
      </c>
      <c r="CN319" s="862"/>
      <c r="CO319" s="862">
        <f t="shared" ref="CO319:CT319" si="1663">CO83</f>
        <v>1901.8696247828193</v>
      </c>
      <c r="CP319" s="862">
        <f t="shared" si="1663"/>
        <v>1959.5007107460037</v>
      </c>
      <c r="CQ319" s="862">
        <f t="shared" si="1663"/>
        <v>2072.4178723889586</v>
      </c>
      <c r="CR319" s="862">
        <f t="shared" si="1663"/>
        <v>2188.1495900683904</v>
      </c>
      <c r="CS319" s="862">
        <f t="shared" si="1663"/>
        <v>2306.7484388121047</v>
      </c>
      <c r="CT319" s="862">
        <f t="shared" si="1663"/>
        <v>2428.2678399916258</v>
      </c>
      <c r="CU319" s="347"/>
      <c r="CV319" s="1363"/>
      <c r="CW319" s="347"/>
      <c r="CX319" s="347"/>
      <c r="CZ319" s="354"/>
      <c r="DA319" s="354"/>
      <c r="DB319" s="354"/>
      <c r="DC319" s="354"/>
      <c r="DD319" s="354"/>
      <c r="DE319" s="354"/>
    </row>
    <row r="320" spans="1:109">
      <c r="B320" s="385"/>
      <c r="C320" s="385"/>
      <c r="D320" s="385"/>
      <c r="E320" s="385"/>
      <c r="F320" s="385"/>
      <c r="G320" s="385"/>
      <c r="H320" s="385"/>
      <c r="I320" s="385"/>
      <c r="J320" s="385"/>
      <c r="K320" s="385"/>
      <c r="L320" s="385"/>
      <c r="M320" s="385"/>
      <c r="N320" s="385"/>
      <c r="O320" s="385"/>
      <c r="P320" s="385"/>
      <c r="Q320" s="385"/>
      <c r="R320" s="385"/>
      <c r="S320" s="385"/>
      <c r="T320" s="385"/>
      <c r="U320" s="385"/>
      <c r="V320" s="385"/>
      <c r="W320" s="385"/>
      <c r="X320" s="385"/>
      <c r="Y320" s="385"/>
      <c r="Z320" s="385"/>
      <c r="AA320" s="385"/>
      <c r="AB320" s="385"/>
      <c r="AC320" s="385"/>
      <c r="AD320" s="385"/>
      <c r="AE320" s="385"/>
      <c r="AF320" s="385"/>
      <c r="AG320" s="385"/>
      <c r="AH320" s="385"/>
      <c r="AI320" s="385"/>
      <c r="AJ320" s="385"/>
      <c r="AK320" s="385"/>
      <c r="AL320" s="385"/>
      <c r="AM320" s="385"/>
      <c r="AN320" s="385"/>
      <c r="AO320" s="385"/>
      <c r="AP320" s="385"/>
      <c r="AQ320" s="385"/>
      <c r="AR320" s="385"/>
      <c r="AS320" s="385"/>
      <c r="AT320" s="385"/>
      <c r="AU320" s="385"/>
      <c r="AV320" s="385"/>
      <c r="AW320" s="385"/>
      <c r="AX320" s="385"/>
      <c r="AY320" s="385"/>
      <c r="AZ320" s="385"/>
      <c r="BA320" s="385"/>
      <c r="BB320" s="385"/>
      <c r="BC320" s="385"/>
      <c r="BD320" s="385"/>
      <c r="BE320" s="385"/>
      <c r="BF320" s="385"/>
      <c r="BG320" s="385"/>
      <c r="BH320" s="385"/>
      <c r="BI320" s="385"/>
      <c r="BJ320" s="385"/>
      <c r="BK320" s="385"/>
      <c r="BL320" s="385"/>
      <c r="BM320" s="385"/>
      <c r="BN320" s="385"/>
      <c r="BO320" s="385"/>
      <c r="BP320" s="385"/>
      <c r="BQ320" s="385"/>
      <c r="BR320" s="385"/>
      <c r="BS320" s="385"/>
      <c r="BT320" s="385"/>
      <c r="BU320" s="385"/>
      <c r="BV320" s="385"/>
      <c r="BW320" s="385"/>
      <c r="BX320" s="385"/>
      <c r="BY320" s="385"/>
      <c r="BZ320" s="385"/>
      <c r="CA320" s="385"/>
      <c r="CB320" s="385"/>
      <c r="CC320" s="385"/>
      <c r="CD320" s="385"/>
      <c r="CE320" s="385"/>
      <c r="CF320" s="385"/>
      <c r="CG320" s="385"/>
      <c r="CH320" s="385"/>
      <c r="CI320" s="385"/>
      <c r="CJ320" s="385"/>
      <c r="CK320" s="385"/>
      <c r="CL320" s="385"/>
      <c r="CM320" s="385"/>
      <c r="CN320" s="385"/>
      <c r="CO320" s="385"/>
      <c r="CP320" s="385"/>
      <c r="CQ320" s="385"/>
      <c r="CR320" s="385"/>
      <c r="CS320" s="385"/>
      <c r="CT320" s="385"/>
      <c r="CU320" s="347"/>
      <c r="CV320" s="1363"/>
      <c r="CW320" s="347"/>
      <c r="CX320" s="347"/>
      <c r="CZ320" s="354"/>
      <c r="DA320" s="354"/>
      <c r="DB320" s="354"/>
      <c r="DC320" s="354"/>
      <c r="DD320" s="354"/>
      <c r="DE320" s="354"/>
    </row>
    <row r="321" spans="1:142" s="399" customFormat="1">
      <c r="A321" s="769"/>
      <c r="B321" s="385" t="s">
        <v>803</v>
      </c>
      <c r="C321" s="861"/>
      <c r="D321" s="861"/>
      <c r="E321" s="861"/>
      <c r="F321" s="861"/>
      <c r="G321" s="861"/>
      <c r="H321" s="861"/>
      <c r="I321" s="861"/>
      <c r="J321" s="861"/>
      <c r="K321" s="861"/>
      <c r="L321" s="861"/>
      <c r="M321" s="861"/>
      <c r="N321" s="861"/>
      <c r="O321" s="861"/>
      <c r="P321" s="861"/>
      <c r="Q321" s="861"/>
      <c r="R321" s="861"/>
      <c r="S321" s="861"/>
      <c r="T321" s="861"/>
      <c r="U321" s="861"/>
      <c r="V321" s="861"/>
      <c r="W321" s="861"/>
      <c r="X321" s="861"/>
      <c r="Y321" s="861"/>
      <c r="Z321" s="861"/>
      <c r="AA321" s="861"/>
      <c r="AB321" s="861"/>
      <c r="AC321" s="861"/>
      <c r="AD321" s="861"/>
      <c r="AE321" s="861"/>
      <c r="AF321" s="861"/>
      <c r="AG321" s="861"/>
      <c r="AH321" s="861">
        <f>AH323*AH324*3/10^6</f>
        <v>4231.9530000000004</v>
      </c>
      <c r="AI321" s="861">
        <f t="shared" ref="AI321:AK321" si="1664">AI323*AI324*3/10^6</f>
        <v>5093.2049999999999</v>
      </c>
      <c r="AJ321" s="861">
        <f t="shared" si="1664"/>
        <v>4873.0005000000001</v>
      </c>
      <c r="AK321" s="861">
        <f t="shared" si="1664"/>
        <v>4388.2875000000004</v>
      </c>
      <c r="AL321" s="861">
        <f>SUM(AH321:AK321)</f>
        <v>18586.446</v>
      </c>
      <c r="AM321" s="861">
        <f>AM323*AM324*3/10^6</f>
        <v>4489.5060000000003</v>
      </c>
      <c r="AN321" s="861">
        <f t="shared" ref="AN321:AP321" si="1665">AN323*AN324*3/10^6</f>
        <v>4521.9854999999998</v>
      </c>
      <c r="AO321" s="861">
        <f t="shared" si="1665"/>
        <v>4938.5370000000003</v>
      </c>
      <c r="AP321" s="861">
        <f t="shared" si="1665"/>
        <v>4957.92</v>
      </c>
      <c r="AQ321" s="861">
        <f>SUM(AM321:AP321)</f>
        <v>18907.948499999999</v>
      </c>
      <c r="AR321" s="861">
        <f>AR323*AR324*3/10^6</f>
        <v>4766.625</v>
      </c>
      <c r="AS321" s="861">
        <f t="shared" ref="AS321:AU321" si="1666">AS323*AS324*3/10^6</f>
        <v>4364.1719999999996</v>
      </c>
      <c r="AT321" s="861">
        <f t="shared" si="1666"/>
        <v>4355.9504999999999</v>
      </c>
      <c r="AU321" s="861">
        <f t="shared" si="1666"/>
        <v>4206.2039999999997</v>
      </c>
      <c r="AV321" s="861">
        <f>SUM(AR321:AU321)</f>
        <v>17692.951499999996</v>
      </c>
      <c r="AW321" s="861">
        <f>AW323*AW324*3/10^6</f>
        <v>4484.4960000000001</v>
      </c>
      <c r="AX321" s="861">
        <f t="shared" ref="AX321:AZ321" si="1667">AX323*AX324*3/10^6</f>
        <v>4966.2780000000002</v>
      </c>
      <c r="AY321" s="861">
        <f t="shared" si="1667"/>
        <v>5038.4565000000002</v>
      </c>
      <c r="AZ321" s="861">
        <f t="shared" si="1667"/>
        <v>5180.9669999999996</v>
      </c>
      <c r="BA321" s="861">
        <f>SUM(AW321:AZ321)</f>
        <v>19670.197500000002</v>
      </c>
      <c r="BB321" s="861">
        <f>BB323*BB324*3/10^6</f>
        <v>4632.6194999999998</v>
      </c>
      <c r="BC321" s="861">
        <f t="shared" ref="BC321:BE321" si="1668">BC323*BC324*3/10^6</f>
        <v>4756.5</v>
      </c>
      <c r="BD321" s="861">
        <f t="shared" si="1668"/>
        <v>4720.5</v>
      </c>
      <c r="BE321" s="861">
        <f t="shared" si="1668"/>
        <v>4966.2</v>
      </c>
      <c r="BF321" s="861">
        <f>SUM(BB321:BE321)</f>
        <v>19075.819500000001</v>
      </c>
      <c r="BG321" s="861">
        <f>BG323*BG324*3/10^6</f>
        <v>5017.3500000000004</v>
      </c>
      <c r="BH321" s="861">
        <f t="shared" ref="BH321:BJ321" si="1669">BH323*BH324*3/10^6</f>
        <v>5420.25</v>
      </c>
      <c r="BI321" s="861">
        <f t="shared" si="1669"/>
        <v>5604.9</v>
      </c>
      <c r="BJ321" s="861">
        <f t="shared" si="1669"/>
        <v>5610</v>
      </c>
      <c r="BK321" s="861">
        <f>SUM(BG321:BJ321)</f>
        <v>21652.5</v>
      </c>
      <c r="BL321" s="861">
        <f>BL323*BL324*3/10^6</f>
        <v>5606.94</v>
      </c>
      <c r="BM321" s="861">
        <f t="shared" ref="BM321:BO321" si="1670">BM323*BM324*3/10^6</f>
        <v>5879.52</v>
      </c>
      <c r="BN321" s="861">
        <f t="shared" si="1670"/>
        <v>5789.7</v>
      </c>
      <c r="BO321" s="861">
        <f t="shared" si="1670"/>
        <v>5567.76</v>
      </c>
      <c r="BP321" s="861">
        <f>SUM(BL321:BO321)</f>
        <v>22843.919999999998</v>
      </c>
      <c r="BQ321" s="861">
        <f>BQ323*BQ324*3/10^6</f>
        <v>5522.7150000000001</v>
      </c>
      <c r="BR321" s="861">
        <f t="shared" ref="BR321:BT321" si="1671">BR323*BR324*3/10^6</f>
        <v>5959.98</v>
      </c>
      <c r="BS321" s="861">
        <f t="shared" si="1671"/>
        <v>6061.5</v>
      </c>
      <c r="BT321" s="861">
        <f t="shared" si="1671"/>
        <v>6118.2</v>
      </c>
      <c r="BU321" s="861">
        <f>SUM(BQ321:BT321)</f>
        <v>23662.395</v>
      </c>
      <c r="BV321" s="861">
        <f>BV323*BV324*3/10^6</f>
        <v>6060.42</v>
      </c>
      <c r="BW321" s="861">
        <f t="shared" ref="BW321:BY321" si="1672">BW323*BW324*3/10^6</f>
        <v>6352.65</v>
      </c>
      <c r="BX321" s="861">
        <f t="shared" si="1672"/>
        <v>6367.47</v>
      </c>
      <c r="BY321" s="861">
        <f t="shared" si="1672"/>
        <v>6378.3</v>
      </c>
      <c r="BZ321" s="861">
        <f>SUM(BV321:BY321)</f>
        <v>25158.84</v>
      </c>
      <c r="CA321" s="861">
        <f>CA323*CA324*3/10^6</f>
        <v>6406.8</v>
      </c>
      <c r="CB321" s="861">
        <f>CB323*CB324*3/10^6</f>
        <v>6774</v>
      </c>
      <c r="CC321" s="861">
        <f>CC323*CC324*3/10^6</f>
        <v>6744</v>
      </c>
      <c r="CD321" s="861">
        <f>CD323*CD324*3/10^6</f>
        <v>6875.7</v>
      </c>
      <c r="CE321" s="861">
        <f>SUM(CA321:CD321)</f>
        <v>26800.5</v>
      </c>
      <c r="CF321" s="861">
        <f>CF323*CF324*3/10^6</f>
        <v>7049.7</v>
      </c>
      <c r="CG321" s="861">
        <f>CG323*CG324*3/10^6</f>
        <v>7282.05</v>
      </c>
      <c r="CH321" s="861">
        <f>CH323*CH324*3/10^6</f>
        <v>6828</v>
      </c>
      <c r="CI321" s="861">
        <f>CI323*CI324*3/10^6</f>
        <v>6840</v>
      </c>
      <c r="CJ321" s="861">
        <f>SUM(CF321:CI321)</f>
        <v>27999.75</v>
      </c>
      <c r="CK321" s="861">
        <f>CK323*CK324*3/10^6</f>
        <v>6509.4</v>
      </c>
      <c r="CL321" s="861">
        <f>CL323*CL324*3/10^6</f>
        <v>8715.6</v>
      </c>
      <c r="CM321" s="861">
        <f>CM323*CM324*3/10^6</f>
        <v>8834.49</v>
      </c>
      <c r="CN321" s="861"/>
      <c r="CO321" s="861">
        <f>CO323*CO324*12/10^6</f>
        <v>33389.846685174678</v>
      </c>
      <c r="CP321" s="861">
        <f t="shared" ref="CP321:CT321" si="1673">CP323*CP324*12/10^6</f>
        <v>37399.626840033765</v>
      </c>
      <c r="CQ321" s="861">
        <f t="shared" si="1673"/>
        <v>39038.758366483627</v>
      </c>
      <c r="CR321" s="861">
        <f t="shared" si="1673"/>
        <v>40748.905633671515</v>
      </c>
      <c r="CS321" s="861">
        <f t="shared" si="1673"/>
        <v>42533.115963013312</v>
      </c>
      <c r="CT321" s="861">
        <f t="shared" si="1673"/>
        <v>44394.566370654196</v>
      </c>
      <c r="CU321" s="364"/>
      <c r="CV321" s="1362"/>
      <c r="CW321" s="364"/>
      <c r="CX321" s="364"/>
      <c r="CZ321" s="365"/>
      <c r="DA321" s="365"/>
      <c r="DB321" s="365"/>
      <c r="DC321" s="365"/>
      <c r="DD321" s="365"/>
      <c r="DE321" s="365"/>
    </row>
    <row r="322" spans="1:142">
      <c r="B322" s="390" t="s">
        <v>0</v>
      </c>
      <c r="C322" s="385"/>
      <c r="D322" s="385"/>
      <c r="E322" s="385"/>
      <c r="F322" s="385"/>
      <c r="G322" s="385"/>
      <c r="H322" s="385"/>
      <c r="I322" s="385"/>
      <c r="J322" s="385"/>
      <c r="K322" s="385"/>
      <c r="L322" s="385"/>
      <c r="M322" s="385"/>
      <c r="N322" s="385"/>
      <c r="O322" s="385"/>
      <c r="P322" s="385"/>
      <c r="Q322" s="385"/>
      <c r="R322" s="385"/>
      <c r="S322" s="385"/>
      <c r="T322" s="385"/>
      <c r="U322" s="385"/>
      <c r="V322" s="385"/>
      <c r="W322" s="385"/>
      <c r="X322" s="385"/>
      <c r="Y322" s="385"/>
      <c r="Z322" s="385"/>
      <c r="AA322" s="385"/>
      <c r="AB322" s="385"/>
      <c r="AC322" s="385"/>
      <c r="AD322" s="385"/>
      <c r="AE322" s="385"/>
      <c r="AF322" s="385"/>
      <c r="AG322" s="385"/>
      <c r="AH322" s="385"/>
      <c r="AI322" s="385"/>
      <c r="AJ322" s="385"/>
      <c r="AK322" s="385"/>
      <c r="AL322" s="385"/>
      <c r="AM322" s="353">
        <f>AM321/AH321-1</f>
        <v>6.0859135250320495E-2</v>
      </c>
      <c r="AN322" s="353">
        <f t="shared" ref="AN322" si="1674">AN321/AI321-1</f>
        <v>-0.11215325124356867</v>
      </c>
      <c r="AO322" s="353">
        <f t="shared" ref="AO322" si="1675">AO321/AJ321-1</f>
        <v>1.3448900733747049E-2</v>
      </c>
      <c r="AP322" s="353">
        <f t="shared" ref="AP322" si="1676">AP321/AK321-1</f>
        <v>0.12980747045402108</v>
      </c>
      <c r="AQ322" s="353">
        <f t="shared" ref="AQ322" si="1677">AQ321/AL321-1</f>
        <v>1.7297685636081139E-2</v>
      </c>
      <c r="AR322" s="353">
        <f>AR321/AM321-1</f>
        <v>6.1725944903515018E-2</v>
      </c>
      <c r="AS322" s="353">
        <f t="shared" ref="AS322" si="1678">AS321/AN321-1</f>
        <v>-3.489916099907886E-2</v>
      </c>
      <c r="AT322" s="353">
        <f t="shared" ref="AT322" si="1679">AT321/AO321-1</f>
        <v>-0.11796742638558755</v>
      </c>
      <c r="AU322" s="353">
        <f t="shared" ref="AU322" si="1680">AU321/AP321-1</f>
        <v>-0.15161922741794953</v>
      </c>
      <c r="AV322" s="353">
        <f t="shared" ref="AV322" si="1681">AV321/AQ321-1</f>
        <v>-6.4258531273236885E-2</v>
      </c>
      <c r="AW322" s="353">
        <f>AW321/AR321-1</f>
        <v>-5.9188419479191179E-2</v>
      </c>
      <c r="AX322" s="353">
        <f t="shared" ref="AX322" si="1682">AX321/AS321-1</f>
        <v>0.13796568971158818</v>
      </c>
      <c r="AY322" s="353">
        <f t="shared" ref="AY322" si="1683">AY321/AT321-1</f>
        <v>0.15668359867725767</v>
      </c>
      <c r="AZ322" s="353">
        <f t="shared" ref="AZ322" si="1684">AZ321/AU321-1</f>
        <v>0.23174410941552059</v>
      </c>
      <c r="BA322" s="353">
        <f t="shared" ref="BA322" si="1685">BA321/AV321-1</f>
        <v>0.11175331600270355</v>
      </c>
      <c r="BB322" s="353">
        <f>BB321/AW321-1</f>
        <v>3.3030133152086583E-2</v>
      </c>
      <c r="BC322" s="353">
        <f t="shared" ref="BC322" si="1686">BC321/AX321-1</f>
        <v>-4.2240486738760907E-2</v>
      </c>
      <c r="BD322" s="353">
        <f t="shared" ref="BD322" si="1687">BD321/AY321-1</f>
        <v>-6.3105933334940967E-2</v>
      </c>
      <c r="BE322" s="353">
        <f t="shared" ref="BE322" si="1688">BE321/AZ321-1</f>
        <v>-4.1453072370466693E-2</v>
      </c>
      <c r="BF322" s="353">
        <f t="shared" ref="BF322" si="1689">BF321/BA321-1</f>
        <v>-3.0217185160443916E-2</v>
      </c>
      <c r="BG322" s="353">
        <f>BG321/BB321-1</f>
        <v>8.3048154505242833E-2</v>
      </c>
      <c r="BH322" s="353">
        <f t="shared" ref="BH322" si="1690">BH321/BC321-1</f>
        <v>0.13954588457899719</v>
      </c>
      <c r="BI322" s="353">
        <f t="shared" ref="BI322" si="1691">BI321/BD321-1</f>
        <v>0.18735303463616138</v>
      </c>
      <c r="BJ322" s="353">
        <f t="shared" ref="BJ322" si="1692">BJ321/BE321-1</f>
        <v>0.12963634166968707</v>
      </c>
      <c r="BK322" s="353">
        <f t="shared" ref="BK322" si="1693">BK321/BF321-1</f>
        <v>0.13507574340384165</v>
      </c>
      <c r="BL322" s="353">
        <f>BL321/BG321-1</f>
        <v>0.11751023946904215</v>
      </c>
      <c r="BM322" s="353">
        <f t="shared" ref="BM322" si="1694">BM321/BH321-1</f>
        <v>8.4732254047322542E-2</v>
      </c>
      <c r="BN322" s="353">
        <f t="shared" ref="BN322" si="1695">BN321/BI321-1</f>
        <v>3.2971150243537029E-2</v>
      </c>
      <c r="BO322" s="353">
        <f t="shared" ref="BO322" si="1696">BO321/BJ321-1</f>
        <v>-7.5294117647058956E-3</v>
      </c>
      <c r="BP322" s="353">
        <f t="shared" ref="BP322" si="1697">BP321/BK321-1</f>
        <v>5.5024593003117239E-2</v>
      </c>
      <c r="BQ322" s="353">
        <f>BQ321/BL321-1</f>
        <v>-1.5021562563537261E-2</v>
      </c>
      <c r="BR322" s="353">
        <f t="shared" ref="BR322" si="1698">BR321/BM321-1</f>
        <v>1.3684790595150487E-2</v>
      </c>
      <c r="BS322" s="353">
        <f t="shared" ref="BS322" si="1699">BS321/BN321-1</f>
        <v>4.6945437587439853E-2</v>
      </c>
      <c r="BT322" s="353">
        <f t="shared" ref="BT322" si="1700">BT321/BO321-1</f>
        <v>9.8862019914651489E-2</v>
      </c>
      <c r="BU322" s="353">
        <f t="shared" ref="BU322" si="1701">BU321/BP321-1</f>
        <v>3.5829008331319745E-2</v>
      </c>
      <c r="BV322" s="353">
        <f>BV321/BQ321-1</f>
        <v>9.736243858319682E-2</v>
      </c>
      <c r="BW322" s="353">
        <f t="shared" ref="BW322" si="1702">BW321/BR321-1</f>
        <v>6.5884449276675472E-2</v>
      </c>
      <c r="BX322" s="353">
        <f t="shared" ref="BX322" si="1703">BX321/BS321-1</f>
        <v>5.0477604553328392E-2</v>
      </c>
      <c r="BY322" s="353">
        <f t="shared" ref="BY322" si="1704">BY321/BT321-1</f>
        <v>4.2512503677552216E-2</v>
      </c>
      <c r="BZ322" s="353">
        <f t="shared" ref="BZ322" si="1705">BZ321/BU321-1</f>
        <v>6.3241485065226977E-2</v>
      </c>
      <c r="CA322" s="353">
        <f>CA321/BV321-1</f>
        <v>5.7154454641757502E-2</v>
      </c>
      <c r="CB322" s="353">
        <f t="shared" ref="CB322" si="1706">CB321/BW321-1</f>
        <v>6.6326651082619037E-2</v>
      </c>
      <c r="CC322" s="353">
        <f t="shared" ref="CC322" si="1707">CC321/BX321-1</f>
        <v>5.9133376364552959E-2</v>
      </c>
      <c r="CD322" s="353">
        <f t="shared" ref="CD322:CM322" si="1708">CD321/BY321-1</f>
        <v>7.7983161657494859E-2</v>
      </c>
      <c r="CE322" s="353">
        <f t="shared" ref="CE322" si="1709">CE321/BZ321-1</f>
        <v>6.5251816061471901E-2</v>
      </c>
      <c r="CF322" s="353">
        <f t="shared" si="1708"/>
        <v>0.10034650683648616</v>
      </c>
      <c r="CG322" s="353">
        <f t="shared" si="1708"/>
        <v>7.4999999999999956E-2</v>
      </c>
      <c r="CH322" s="353">
        <f t="shared" si="1708"/>
        <v>1.245551601423478E-2</v>
      </c>
      <c r="CI322" s="353">
        <f t="shared" si="1708"/>
        <v>-5.1921986125048614E-3</v>
      </c>
      <c r="CJ322" s="353">
        <f t="shared" si="1708"/>
        <v>4.4747299490681236E-2</v>
      </c>
      <c r="CK322" s="353">
        <f t="shared" si="1708"/>
        <v>-7.6641559215285815E-2</v>
      </c>
      <c r="CL322" s="353">
        <f t="shared" si="1708"/>
        <v>0.19686077409520664</v>
      </c>
      <c r="CM322" s="353">
        <f t="shared" si="1708"/>
        <v>0.29386203866432337</v>
      </c>
      <c r="CN322" s="353"/>
      <c r="CO322" s="353">
        <f t="shared" ref="CO322" si="1710">CO321/CJ321-1</f>
        <v>0.19250517183812987</v>
      </c>
      <c r="CP322" s="353">
        <f t="shared" ref="CP322" si="1711">CP321/CO321-1</f>
        <v>0.12008980432484151</v>
      </c>
      <c r="CQ322" s="353">
        <f t="shared" ref="CQ322" si="1712">CQ321/CP321-1</f>
        <v>4.3827483452195448E-2</v>
      </c>
      <c r="CR322" s="353">
        <f t="shared" ref="CR322" si="1713">CR321/CQ321-1</f>
        <v>4.3806394945596461E-2</v>
      </c>
      <c r="CS322" s="353">
        <f t="shared" ref="CS322" si="1714">CS321/CR321-1</f>
        <v>4.3785478446505266E-2</v>
      </c>
      <c r="CT322" s="353">
        <f t="shared" ref="CT322" si="1715">CT321/CS321-1</f>
        <v>4.376473168012418E-2</v>
      </c>
      <c r="CU322" s="347"/>
      <c r="CV322" s="1363"/>
      <c r="CW322" s="347"/>
      <c r="CX322" s="347"/>
      <c r="CZ322" s="354"/>
      <c r="DA322" s="354"/>
      <c r="DB322" s="354"/>
      <c r="DC322" s="354"/>
      <c r="DD322" s="354"/>
      <c r="DE322" s="354"/>
    </row>
    <row r="323" spans="1:142">
      <c r="B323" s="390" t="s">
        <v>804</v>
      </c>
      <c r="C323" s="861"/>
      <c r="D323" s="861"/>
      <c r="E323" s="861"/>
      <c r="F323" s="861"/>
      <c r="G323" s="861"/>
      <c r="H323" s="861"/>
      <c r="I323" s="861"/>
      <c r="J323" s="861"/>
      <c r="K323" s="861"/>
      <c r="L323" s="861"/>
      <c r="M323" s="861"/>
      <c r="N323" s="861"/>
      <c r="O323" s="861"/>
      <c r="P323" s="861"/>
      <c r="Q323" s="861"/>
      <c r="R323" s="861"/>
      <c r="S323" s="861"/>
      <c r="T323" s="861"/>
      <c r="U323" s="861"/>
      <c r="V323" s="861"/>
      <c r="W323" s="861"/>
      <c r="X323" s="861"/>
      <c r="Y323" s="861"/>
      <c r="Z323" s="861"/>
      <c r="AA323" s="861"/>
      <c r="AB323" s="861"/>
      <c r="AC323" s="861"/>
      <c r="AD323" s="861"/>
      <c r="AE323" s="861"/>
      <c r="AF323" s="861"/>
      <c r="AG323" s="861"/>
      <c r="AH323" s="862">
        <f t="shared" ref="AH323:BM323" si="1716">AH134</f>
        <v>22000</v>
      </c>
      <c r="AI323" s="862">
        <f t="shared" si="1716"/>
        <v>26000</v>
      </c>
      <c r="AJ323" s="862">
        <f t="shared" si="1716"/>
        <v>27000</v>
      </c>
      <c r="AK323" s="862">
        <f t="shared" si="1716"/>
        <v>25000</v>
      </c>
      <c r="AL323" s="862">
        <f t="shared" si="1716"/>
        <v>25000</v>
      </c>
      <c r="AM323" s="862">
        <f t="shared" si="1716"/>
        <v>27000</v>
      </c>
      <c r="AN323" s="862">
        <f t="shared" si="1716"/>
        <v>31000</v>
      </c>
      <c r="AO323" s="862">
        <f t="shared" si="1716"/>
        <v>38000</v>
      </c>
      <c r="AP323" s="862">
        <f t="shared" si="1716"/>
        <v>40000</v>
      </c>
      <c r="AQ323" s="862">
        <f t="shared" si="1716"/>
        <v>34000</v>
      </c>
      <c r="AR323" s="862">
        <f t="shared" si="1716"/>
        <v>38000</v>
      </c>
      <c r="AS323" s="862">
        <f t="shared" si="1716"/>
        <v>34000</v>
      </c>
      <c r="AT323" s="862">
        <f t="shared" si="1716"/>
        <v>33000</v>
      </c>
      <c r="AU323" s="862">
        <f t="shared" si="1716"/>
        <v>31000</v>
      </c>
      <c r="AV323" s="862">
        <f t="shared" si="1716"/>
        <v>34000</v>
      </c>
      <c r="AW323" s="862">
        <f t="shared" si="1716"/>
        <v>32000</v>
      </c>
      <c r="AX323" s="862">
        <f t="shared" si="1716"/>
        <v>34000</v>
      </c>
      <c r="AY323" s="862">
        <f t="shared" si="1716"/>
        <v>33000</v>
      </c>
      <c r="AZ323" s="862">
        <f t="shared" si="1716"/>
        <v>33000</v>
      </c>
      <c r="BA323" s="862">
        <f t="shared" si="1716"/>
        <v>33000</v>
      </c>
      <c r="BB323" s="862">
        <f t="shared" si="1716"/>
        <v>29000</v>
      </c>
      <c r="BC323" s="862">
        <f t="shared" si="1716"/>
        <v>30000</v>
      </c>
      <c r="BD323" s="862">
        <f t="shared" si="1716"/>
        <v>30000</v>
      </c>
      <c r="BE323" s="862">
        <f t="shared" si="1716"/>
        <v>31000</v>
      </c>
      <c r="BF323" s="862">
        <f t="shared" si="1716"/>
        <v>30000</v>
      </c>
      <c r="BG323" s="862">
        <f t="shared" si="1716"/>
        <v>31000</v>
      </c>
      <c r="BH323" s="862">
        <f t="shared" si="1716"/>
        <v>33000</v>
      </c>
      <c r="BI323" s="862">
        <f t="shared" si="1716"/>
        <v>34000</v>
      </c>
      <c r="BJ323" s="862">
        <f t="shared" si="1716"/>
        <v>34000</v>
      </c>
      <c r="BK323" s="862">
        <f t="shared" si="1716"/>
        <v>33000</v>
      </c>
      <c r="BL323" s="862">
        <f t="shared" si="1716"/>
        <v>34000</v>
      </c>
      <c r="BM323" s="862">
        <f t="shared" si="1716"/>
        <v>36000</v>
      </c>
      <c r="BN323" s="862">
        <f t="shared" ref="BN323:CT323" si="1717">BN134</f>
        <v>35000</v>
      </c>
      <c r="BO323" s="862">
        <f t="shared" si="1717"/>
        <v>33000</v>
      </c>
      <c r="BP323" s="862">
        <f t="shared" si="1717"/>
        <v>34500</v>
      </c>
      <c r="BQ323" s="862">
        <f t="shared" si="1717"/>
        <v>33000</v>
      </c>
      <c r="BR323" s="862">
        <f t="shared" si="1717"/>
        <v>36000</v>
      </c>
      <c r="BS323" s="862">
        <f t="shared" si="1717"/>
        <v>36000</v>
      </c>
      <c r="BT323" s="862">
        <f t="shared" si="1717"/>
        <v>36000</v>
      </c>
      <c r="BU323" s="862">
        <f t="shared" si="1717"/>
        <v>35250</v>
      </c>
      <c r="BV323" s="862">
        <f t="shared" si="1717"/>
        <v>36000</v>
      </c>
      <c r="BW323" s="862">
        <f t="shared" si="1717"/>
        <v>38000</v>
      </c>
      <c r="BX323" s="862">
        <f t="shared" si="1717"/>
        <v>38000</v>
      </c>
      <c r="BY323" s="862">
        <f t="shared" si="1717"/>
        <v>38000</v>
      </c>
      <c r="BZ323" s="862">
        <f t="shared" si="1717"/>
        <v>37242.561506350474</v>
      </c>
      <c r="CA323" s="862">
        <f t="shared" si="1717"/>
        <v>38000</v>
      </c>
      <c r="CB323" s="862">
        <f t="shared" si="1717"/>
        <v>40000</v>
      </c>
      <c r="CC323" s="862">
        <f t="shared" ref="CC323:CE323" si="1718">CC134</f>
        <v>40000</v>
      </c>
      <c r="CD323" s="862">
        <f t="shared" si="1718"/>
        <v>41000</v>
      </c>
      <c r="CE323" s="862">
        <f t="shared" si="1718"/>
        <v>39917.336907953526</v>
      </c>
      <c r="CF323" s="862">
        <f t="shared" ref="CF323:CG323" si="1719">CF134</f>
        <v>42000</v>
      </c>
      <c r="CG323" s="862">
        <f t="shared" si="1719"/>
        <v>43000</v>
      </c>
      <c r="CH323" s="862">
        <f t="shared" ref="CH323:CK323" si="1720">CH134</f>
        <v>40000</v>
      </c>
      <c r="CI323" s="862">
        <f t="shared" si="1720"/>
        <v>40000</v>
      </c>
      <c r="CJ323" s="862">
        <f t="shared" si="1720"/>
        <v>41297.566371681416</v>
      </c>
      <c r="CK323" s="862">
        <f t="shared" si="1720"/>
        <v>38000</v>
      </c>
      <c r="CL323" s="862">
        <f t="shared" ref="CL323" si="1721">CL134</f>
        <v>36000</v>
      </c>
      <c r="CM323" s="862">
        <f t="shared" ref="CM323" si="1722">CM134</f>
        <v>37900</v>
      </c>
      <c r="CN323" s="862"/>
      <c r="CO323" s="862">
        <f t="shared" si="1717"/>
        <v>37167.809734513277</v>
      </c>
      <c r="CP323" s="862">
        <f t="shared" si="1717"/>
        <v>38282.844026548679</v>
      </c>
      <c r="CQ323" s="862">
        <f t="shared" si="1717"/>
        <v>39431.329347345141</v>
      </c>
      <c r="CR323" s="862">
        <f t="shared" si="1717"/>
        <v>40614.269227765493</v>
      </c>
      <c r="CS323" s="862">
        <f t="shared" si="1717"/>
        <v>41832.697304598456</v>
      </c>
      <c r="CT323" s="862">
        <f t="shared" si="1717"/>
        <v>43087.67822373641</v>
      </c>
      <c r="CU323" s="347"/>
      <c r="CV323" s="1363"/>
      <c r="CW323" s="353">
        <f>CJ323/CE323-1</f>
        <v>3.4577193035462139E-2</v>
      </c>
      <c r="CX323" s="353">
        <f>CO323/CJ323-1</f>
        <v>-9.9999999999999978E-2</v>
      </c>
      <c r="CY323" s="353">
        <f t="shared" ref="CY323" si="1723">CP323/CO323-1</f>
        <v>3.0000000000000027E-2</v>
      </c>
      <c r="CZ323" s="354"/>
      <c r="DA323" s="354"/>
      <c r="DB323" s="354"/>
      <c r="DC323" s="354"/>
      <c r="DD323" s="354"/>
      <c r="DE323" s="354"/>
    </row>
    <row r="324" spans="1:142">
      <c r="B324" s="390" t="s">
        <v>806</v>
      </c>
      <c r="C324" s="861"/>
      <c r="D324" s="861"/>
      <c r="E324" s="861"/>
      <c r="F324" s="861"/>
      <c r="G324" s="861"/>
      <c r="H324" s="861"/>
      <c r="I324" s="861"/>
      <c r="J324" s="861"/>
      <c r="K324" s="861"/>
      <c r="L324" s="861"/>
      <c r="M324" s="861"/>
      <c r="N324" s="861"/>
      <c r="O324" s="861"/>
      <c r="P324" s="861"/>
      <c r="Q324" s="861"/>
      <c r="R324" s="861"/>
      <c r="S324" s="861"/>
      <c r="T324" s="861"/>
      <c r="U324" s="861"/>
      <c r="V324" s="861"/>
      <c r="W324" s="861"/>
      <c r="X324" s="861"/>
      <c r="Y324" s="861"/>
      <c r="Z324" s="861"/>
      <c r="AA324" s="861"/>
      <c r="AB324" s="861"/>
      <c r="AC324" s="861"/>
      <c r="AD324" s="861"/>
      <c r="AE324" s="861"/>
      <c r="AF324" s="861"/>
      <c r="AG324" s="861"/>
      <c r="AH324" s="862">
        <f t="shared" ref="AH324:BM324" si="1724">AH90</f>
        <v>64120.5</v>
      </c>
      <c r="AI324" s="862">
        <f t="shared" si="1724"/>
        <v>65297.5</v>
      </c>
      <c r="AJ324" s="862">
        <f t="shared" si="1724"/>
        <v>60160.5</v>
      </c>
      <c r="AK324" s="862">
        <f t="shared" si="1724"/>
        <v>58510.5</v>
      </c>
      <c r="AL324" s="862">
        <f t="shared" si="1724"/>
        <v>59650</v>
      </c>
      <c r="AM324" s="862">
        <f t="shared" si="1724"/>
        <v>55426</v>
      </c>
      <c r="AN324" s="862">
        <f t="shared" si="1724"/>
        <v>48623.5</v>
      </c>
      <c r="AO324" s="862">
        <f t="shared" si="1724"/>
        <v>43320.5</v>
      </c>
      <c r="AP324" s="862">
        <f t="shared" si="1724"/>
        <v>41316</v>
      </c>
      <c r="AQ324" s="862">
        <f t="shared" si="1724"/>
        <v>50370</v>
      </c>
      <c r="AR324" s="862">
        <f t="shared" si="1724"/>
        <v>41812.5</v>
      </c>
      <c r="AS324" s="862">
        <f t="shared" si="1724"/>
        <v>42786</v>
      </c>
      <c r="AT324" s="862">
        <f t="shared" si="1724"/>
        <v>43999.5</v>
      </c>
      <c r="AU324" s="862">
        <f t="shared" si="1724"/>
        <v>45228</v>
      </c>
      <c r="AV324" s="862">
        <f t="shared" si="1724"/>
        <v>43765</v>
      </c>
      <c r="AW324" s="862">
        <f t="shared" si="1724"/>
        <v>46713.5</v>
      </c>
      <c r="AX324" s="862">
        <f t="shared" si="1724"/>
        <v>48689</v>
      </c>
      <c r="AY324" s="862">
        <f t="shared" si="1724"/>
        <v>50893.5</v>
      </c>
      <c r="AZ324" s="862">
        <f t="shared" si="1724"/>
        <v>52333</v>
      </c>
      <c r="BA324" s="862">
        <f t="shared" si="1724"/>
        <v>49382</v>
      </c>
      <c r="BB324" s="862">
        <f t="shared" si="1724"/>
        <v>53248.5</v>
      </c>
      <c r="BC324" s="862">
        <f t="shared" si="1724"/>
        <v>52850</v>
      </c>
      <c r="BD324" s="862">
        <f t="shared" si="1724"/>
        <v>52450</v>
      </c>
      <c r="BE324" s="862">
        <f t="shared" si="1724"/>
        <v>53400</v>
      </c>
      <c r="BF324" s="862">
        <f t="shared" si="1724"/>
        <v>53348.5</v>
      </c>
      <c r="BG324" s="862">
        <f t="shared" si="1724"/>
        <v>53950</v>
      </c>
      <c r="BH324" s="862">
        <f t="shared" si="1724"/>
        <v>54750</v>
      </c>
      <c r="BI324" s="862">
        <f t="shared" si="1724"/>
        <v>54950</v>
      </c>
      <c r="BJ324" s="862">
        <f t="shared" si="1724"/>
        <v>55000</v>
      </c>
      <c r="BK324" s="862">
        <f t="shared" si="1724"/>
        <v>54750</v>
      </c>
      <c r="BL324" s="862">
        <f t="shared" si="1724"/>
        <v>54970</v>
      </c>
      <c r="BM324" s="862">
        <f t="shared" si="1724"/>
        <v>54440</v>
      </c>
      <c r="BN324" s="862">
        <f t="shared" ref="BN324:CL324" si="1725">BN90</f>
        <v>55140</v>
      </c>
      <c r="BO324" s="862">
        <f t="shared" si="1725"/>
        <v>56240</v>
      </c>
      <c r="BP324" s="862">
        <f t="shared" si="1725"/>
        <v>56170</v>
      </c>
      <c r="BQ324" s="862">
        <f t="shared" si="1725"/>
        <v>55785</v>
      </c>
      <c r="BR324" s="862">
        <f t="shared" si="1725"/>
        <v>55185</v>
      </c>
      <c r="BS324" s="862">
        <f t="shared" si="1725"/>
        <v>56125</v>
      </c>
      <c r="BT324" s="862">
        <f t="shared" si="1725"/>
        <v>56650</v>
      </c>
      <c r="BU324" s="862">
        <f t="shared" si="1725"/>
        <v>56665</v>
      </c>
      <c r="BV324" s="862">
        <f t="shared" si="1725"/>
        <v>56115</v>
      </c>
      <c r="BW324" s="862">
        <f t="shared" si="1725"/>
        <v>55725</v>
      </c>
      <c r="BX324" s="862">
        <f t="shared" si="1725"/>
        <v>55855</v>
      </c>
      <c r="BY324" s="862">
        <f t="shared" si="1725"/>
        <v>55950</v>
      </c>
      <c r="BZ324" s="862">
        <f t="shared" si="1725"/>
        <v>56295</v>
      </c>
      <c r="CA324" s="862">
        <f t="shared" si="1725"/>
        <v>56200</v>
      </c>
      <c r="CB324" s="862">
        <f t="shared" si="1725"/>
        <v>56450</v>
      </c>
      <c r="CC324" s="862">
        <f t="shared" si="1725"/>
        <v>56200</v>
      </c>
      <c r="CD324" s="862">
        <f t="shared" si="1725"/>
        <v>55900</v>
      </c>
      <c r="CE324" s="862">
        <f t="shared" si="1725"/>
        <v>55950</v>
      </c>
      <c r="CF324" s="862">
        <f t="shared" si="1725"/>
        <v>55950</v>
      </c>
      <c r="CG324" s="862">
        <f t="shared" si="1725"/>
        <v>56450</v>
      </c>
      <c r="CH324" s="862">
        <f t="shared" si="1725"/>
        <v>56900</v>
      </c>
      <c r="CI324" s="862">
        <f t="shared" si="1725"/>
        <v>57000</v>
      </c>
      <c r="CJ324" s="862">
        <f t="shared" si="1725"/>
        <v>56500</v>
      </c>
      <c r="CK324" s="862">
        <f t="shared" si="1725"/>
        <v>57100</v>
      </c>
      <c r="CL324" s="862">
        <f t="shared" si="1725"/>
        <v>80700</v>
      </c>
      <c r="CM324" s="862">
        <f t="shared" ref="CM324" si="1726">CM90</f>
        <v>77700</v>
      </c>
      <c r="CN324" s="862"/>
      <c r="CO324" s="862">
        <f t="shared" ref="CO324:CT324" si="1727">CO90</f>
        <v>74862.82467650481</v>
      </c>
      <c r="CP324" s="862">
        <f t="shared" si="1727"/>
        <v>81410.763731175917</v>
      </c>
      <c r="CQ324" s="862">
        <f t="shared" si="1727"/>
        <v>82503.682166441358</v>
      </c>
      <c r="CR324" s="862">
        <f t="shared" si="1727"/>
        <v>83609.583545524729</v>
      </c>
      <c r="CS324" s="862">
        <f t="shared" si="1727"/>
        <v>84728.610838619978</v>
      </c>
      <c r="CT324" s="862">
        <f t="shared" si="1727"/>
        <v>85860.908502526057</v>
      </c>
      <c r="CU324" s="347"/>
      <c r="CV324" s="1363"/>
      <c r="CW324" s="353">
        <f>CJ324/CE324-1</f>
        <v>9.8302055406613853E-3</v>
      </c>
      <c r="CX324" s="353">
        <f t="shared" ref="CX324" si="1728">CO324/CJ324-1</f>
        <v>0.3250057464868108</v>
      </c>
      <c r="CY324" s="353">
        <f t="shared" ref="CY324" si="1729">CP324/CO324-1</f>
        <v>8.7465829441593756E-2</v>
      </c>
      <c r="CZ324" s="354"/>
      <c r="DA324" s="354"/>
      <c r="DB324" s="354"/>
      <c r="DC324" s="354"/>
      <c r="DD324" s="354"/>
      <c r="DE324" s="354"/>
    </row>
    <row r="325" spans="1:142">
      <c r="B325" s="385"/>
      <c r="C325" s="385"/>
      <c r="D325" s="385"/>
      <c r="E325" s="385"/>
      <c r="F325" s="385"/>
      <c r="G325" s="385"/>
      <c r="H325" s="385"/>
      <c r="I325" s="385"/>
      <c r="J325" s="385"/>
      <c r="K325" s="385"/>
      <c r="L325" s="385"/>
      <c r="M325" s="385"/>
      <c r="N325" s="385"/>
      <c r="O325" s="385"/>
      <c r="P325" s="385"/>
      <c r="Q325" s="385"/>
      <c r="R325" s="385"/>
      <c r="S325" s="385"/>
      <c r="T325" s="385"/>
      <c r="U325" s="385"/>
      <c r="V325" s="385"/>
      <c r="W325" s="385"/>
      <c r="X325" s="385"/>
      <c r="Y325" s="385"/>
      <c r="Z325" s="385"/>
      <c r="AA325" s="385"/>
      <c r="AB325" s="385"/>
      <c r="AC325" s="385"/>
      <c r="AD325" s="385"/>
      <c r="AE325" s="385"/>
      <c r="AF325" s="385"/>
      <c r="AG325" s="385"/>
      <c r="AH325" s="385"/>
      <c r="AI325" s="385"/>
      <c r="AJ325" s="385"/>
      <c r="AK325" s="385"/>
      <c r="AL325" s="385"/>
      <c r="AM325" s="385"/>
      <c r="AN325" s="385"/>
      <c r="AO325" s="385"/>
      <c r="AP325" s="385"/>
      <c r="AQ325" s="385"/>
      <c r="AR325" s="385"/>
      <c r="AS325" s="385"/>
      <c r="AT325" s="385"/>
      <c r="AU325" s="385"/>
      <c r="AV325" s="385"/>
      <c r="AW325" s="385"/>
      <c r="AX325" s="385"/>
      <c r="AY325" s="385"/>
      <c r="AZ325" s="385"/>
      <c r="BA325" s="385"/>
      <c r="BB325" s="385"/>
      <c r="BC325" s="385"/>
      <c r="BD325" s="385"/>
      <c r="BE325" s="385"/>
      <c r="BF325" s="385"/>
      <c r="BG325" s="385"/>
      <c r="BH325" s="385"/>
      <c r="BI325" s="385"/>
      <c r="BJ325" s="385"/>
      <c r="BK325" s="385"/>
      <c r="BL325" s="385"/>
      <c r="BM325" s="385"/>
      <c r="BN325" s="385"/>
      <c r="BO325" s="385"/>
      <c r="BP325" s="385"/>
      <c r="BQ325" s="385"/>
      <c r="BR325" s="385"/>
      <c r="BS325" s="385"/>
      <c r="BT325" s="459"/>
      <c r="BU325" s="385"/>
      <c r="BV325" s="459"/>
      <c r="BW325" s="459"/>
      <c r="BX325" s="459"/>
      <c r="BY325" s="459"/>
      <c r="BZ325" s="385"/>
      <c r="CA325" s="459"/>
      <c r="CB325" s="459"/>
      <c r="CC325" s="459"/>
      <c r="CD325" s="459"/>
      <c r="CE325" s="385"/>
      <c r="CF325" s="459"/>
      <c r="CG325" s="459"/>
      <c r="CH325" s="459"/>
      <c r="CI325" s="459"/>
      <c r="CJ325" s="385"/>
      <c r="CK325" s="459"/>
      <c r="CL325" s="459"/>
      <c r="CM325" s="459"/>
      <c r="CN325" s="459"/>
      <c r="CO325" s="385"/>
      <c r="CP325" s="385"/>
      <c r="CQ325" s="385"/>
      <c r="CR325" s="385"/>
      <c r="CS325" s="385"/>
      <c r="CT325" s="560"/>
      <c r="CU325" s="347"/>
      <c r="CV325" s="1363"/>
      <c r="CW325" s="347"/>
      <c r="CX325" s="347"/>
      <c r="CZ325" s="354"/>
      <c r="DA325" s="354"/>
      <c r="DB325" s="354"/>
      <c r="DC325" s="354"/>
      <c r="DD325" s="354"/>
      <c r="DE325" s="354"/>
    </row>
    <row r="326" spans="1:142" s="356" customFormat="1">
      <c r="A326" s="794"/>
      <c r="B326" s="666" t="s">
        <v>890</v>
      </c>
      <c r="C326" s="666"/>
      <c r="D326" s="666"/>
      <c r="E326" s="666"/>
      <c r="F326" s="666"/>
      <c r="G326" s="666"/>
      <c r="H326" s="666"/>
      <c r="I326" s="666"/>
      <c r="J326" s="666"/>
      <c r="K326" s="666"/>
      <c r="L326" s="666"/>
      <c r="M326" s="666"/>
      <c r="N326" s="666"/>
      <c r="O326" s="666"/>
      <c r="P326" s="666"/>
      <c r="Q326" s="666"/>
      <c r="R326" s="666"/>
      <c r="S326" s="666"/>
      <c r="T326" s="666"/>
      <c r="U326" s="666"/>
      <c r="V326" s="666"/>
      <c r="W326" s="666"/>
      <c r="X326" s="666"/>
      <c r="Y326" s="666"/>
      <c r="Z326" s="666"/>
      <c r="AA326" s="666"/>
      <c r="AB326" s="666"/>
      <c r="AC326" s="666"/>
      <c r="AD326" s="666"/>
      <c r="AE326" s="666"/>
      <c r="AF326" s="666"/>
      <c r="AG326" s="666"/>
      <c r="AH326" s="577">
        <f>AH306/(AH304+AH305)</f>
        <v>7.5539200021281366E-2</v>
      </c>
      <c r="AI326" s="577">
        <f t="shared" ref="AI326:AP326" si="1730">AI306/(AI304+AI305)</f>
        <v>-2.617818235487607E-4</v>
      </c>
      <c r="AJ326" s="577">
        <f t="shared" si="1730"/>
        <v>4.6666744731311979E-2</v>
      </c>
      <c r="AK326" s="577">
        <f t="shared" si="1730"/>
        <v>0.14482044804079283</v>
      </c>
      <c r="AL326" s="577"/>
      <c r="AM326" s="577">
        <f t="shared" si="1730"/>
        <v>3.6826825254435765E-2</v>
      </c>
      <c r="AN326" s="577">
        <f t="shared" si="1730"/>
        <v>6.3145675984175101E-2</v>
      </c>
      <c r="AO326" s="577">
        <f t="shared" si="1730"/>
        <v>2.3952672032864143E-2</v>
      </c>
      <c r="AP326" s="577">
        <f t="shared" si="1730"/>
        <v>5.2879836929970843E-2</v>
      </c>
      <c r="AQ326" s="353">
        <f t="shared" ref="AQ326:CM326" si="1731">AQ291/AL291-1</f>
        <v>-0.19201888006865475</v>
      </c>
      <c r="AR326" s="353">
        <f t="shared" si="1731"/>
        <v>-0.10762800417972829</v>
      </c>
      <c r="AS326" s="353">
        <f t="shared" si="1731"/>
        <v>-0.17317845828933476</v>
      </c>
      <c r="AT326" s="353">
        <f t="shared" si="1731"/>
        <v>-0.2269272529858849</v>
      </c>
      <c r="AU326" s="353">
        <f t="shared" si="1731"/>
        <v>-0.26886291179596178</v>
      </c>
      <c r="AV326" s="353">
        <f t="shared" si="1731"/>
        <v>-0.19357408390865638</v>
      </c>
      <c r="AW326" s="353">
        <f t="shared" si="1731"/>
        <v>-0.20725995316159251</v>
      </c>
      <c r="AX326" s="353">
        <f t="shared" si="1731"/>
        <v>-0.17369093231162192</v>
      </c>
      <c r="AY326" s="353">
        <f t="shared" si="1731"/>
        <v>-2.2471910112359605E-2</v>
      </c>
      <c r="AZ326" s="353">
        <f t="shared" si="1731"/>
        <v>-9.8837209302325535E-2</v>
      </c>
      <c r="BA326" s="353">
        <f t="shared" si="1731"/>
        <v>-0.1307211063549556</v>
      </c>
      <c r="BB326" s="353">
        <f t="shared" si="1731"/>
        <v>2.5932053175776293E-2</v>
      </c>
      <c r="BC326" s="353">
        <f t="shared" si="1731"/>
        <v>0.20410200927357036</v>
      </c>
      <c r="BD326" s="353">
        <f t="shared" si="1731"/>
        <v>0.2583448275862068</v>
      </c>
      <c r="BE326" s="353">
        <f t="shared" si="1731"/>
        <v>0.23975645161290227</v>
      </c>
      <c r="BF326" s="353">
        <f t="shared" si="1731"/>
        <v>0.18108598484848493</v>
      </c>
      <c r="BG326" s="353">
        <f t="shared" si="1731"/>
        <v>-0.15457932837669019</v>
      </c>
      <c r="BH326" s="353">
        <f t="shared" si="1731"/>
        <v>-0.20723723901039015</v>
      </c>
      <c r="BI326" s="353">
        <f t="shared" si="1731"/>
        <v>-0.37348596952756752</v>
      </c>
      <c r="BJ326" s="353">
        <f t="shared" si="1731"/>
        <v>-0.2792835221277834</v>
      </c>
      <c r="BK326" s="353">
        <f t="shared" si="1731"/>
        <v>-0.25996426632269265</v>
      </c>
      <c r="BL326" s="353">
        <f t="shared" si="1731"/>
        <v>-0.11481934358778623</v>
      </c>
      <c r="BM326" s="353">
        <f t="shared" si="1731"/>
        <v>-0.3059512147731972</v>
      </c>
      <c r="BN326" s="353">
        <f t="shared" si="1731"/>
        <v>-0.18915411896352496</v>
      </c>
      <c r="BO326" s="353">
        <f t="shared" si="1731"/>
        <v>-0.1066594702316721</v>
      </c>
      <c r="BP326" s="353">
        <f t="shared" si="1731"/>
        <v>-0.18169380376263156</v>
      </c>
      <c r="BQ326" s="353">
        <f t="shared" si="1731"/>
        <v>0.15243058962504508</v>
      </c>
      <c r="BR326" s="353">
        <f t="shared" si="1731"/>
        <v>0.34842574793303838</v>
      </c>
      <c r="BS326" s="353">
        <f t="shared" si="1731"/>
        <v>0.20472179018061798</v>
      </c>
      <c r="BT326" s="353">
        <f t="shared" si="1731"/>
        <v>0.10327324602791399</v>
      </c>
      <c r="BU326" s="353">
        <f t="shared" si="1731"/>
        <v>0.19636102881752526</v>
      </c>
      <c r="BV326" s="353">
        <f t="shared" si="1731"/>
        <v>-0.13021702838063443</v>
      </c>
      <c r="BW326" s="353">
        <f t="shared" si="1731"/>
        <v>0.20934256055363321</v>
      </c>
      <c r="BX326" s="353">
        <f t="shared" si="1731"/>
        <v>0.28171641791044766</v>
      </c>
      <c r="BY326" s="353">
        <f t="shared" si="1731"/>
        <v>0.31135531135531136</v>
      </c>
      <c r="BZ326" s="353">
        <f t="shared" si="1731"/>
        <v>0.16113324479858337</v>
      </c>
      <c r="CA326" s="353">
        <f t="shared" si="1731"/>
        <v>0.23032629558541262</v>
      </c>
      <c r="CB326" s="353">
        <f t="shared" si="1731"/>
        <v>3.4334763948497882E-2</v>
      </c>
      <c r="CC326" s="353">
        <f t="shared" si="1731"/>
        <v>0.16011644832605532</v>
      </c>
      <c r="CD326" s="353">
        <f t="shared" si="1731"/>
        <v>8.6592178770949824E-2</v>
      </c>
      <c r="CE326" s="353">
        <f t="shared" si="1731"/>
        <v>0.12047274113610373</v>
      </c>
      <c r="CF326" s="353">
        <f t="shared" si="1731"/>
        <v>-3.5881435257410277E-2</v>
      </c>
      <c r="CG326" s="353">
        <f t="shared" si="1731"/>
        <v>-0.1707800829875521</v>
      </c>
      <c r="CH326" s="353">
        <f t="shared" si="1731"/>
        <v>-3.0112923462986219E-2</v>
      </c>
      <c r="CI326" s="353">
        <f t="shared" si="1731"/>
        <v>6.9408740359897081E-2</v>
      </c>
      <c r="CJ326" s="353">
        <f t="shared" si="1731"/>
        <v>-3.9630486560054523E-2</v>
      </c>
      <c r="CK326" s="353">
        <f t="shared" si="1731"/>
        <v>0.15857605177993528</v>
      </c>
      <c r="CL326" s="353">
        <f t="shared" si="1731"/>
        <v>0.53954957749955845</v>
      </c>
      <c r="CM326" s="353">
        <f t="shared" si="1731"/>
        <v>0.5226390685640363</v>
      </c>
      <c r="CN326" s="353"/>
      <c r="CO326" s="1341">
        <v>0.5</v>
      </c>
      <c r="CP326" s="1341">
        <v>0.1</v>
      </c>
      <c r="CQ326" s="1341">
        <v>0.03</v>
      </c>
      <c r="CR326" s="1341">
        <v>0.03</v>
      </c>
      <c r="CS326" s="1341">
        <v>0.03</v>
      </c>
      <c r="CT326" s="1341">
        <v>0.03</v>
      </c>
      <c r="CV326" s="1366"/>
    </row>
    <row r="327" spans="1:142">
      <c r="B327" s="385"/>
      <c r="C327" s="385"/>
      <c r="D327" s="385"/>
      <c r="E327" s="385"/>
      <c r="F327" s="385"/>
      <c r="G327" s="385"/>
      <c r="H327" s="385"/>
      <c r="I327" s="385"/>
      <c r="J327" s="385"/>
      <c r="K327" s="385"/>
      <c r="L327" s="385"/>
      <c r="M327" s="385"/>
      <c r="N327" s="385"/>
      <c r="O327" s="385"/>
      <c r="P327" s="385"/>
      <c r="Q327" s="385"/>
      <c r="R327" s="385"/>
      <c r="S327" s="385"/>
      <c r="T327" s="385"/>
      <c r="U327" s="385"/>
      <c r="V327" s="385"/>
      <c r="W327" s="385"/>
      <c r="X327" s="385"/>
      <c r="Y327" s="385"/>
      <c r="Z327" s="385"/>
      <c r="AA327" s="385"/>
      <c r="AB327" s="385"/>
      <c r="AC327" s="385"/>
      <c r="AD327" s="385"/>
      <c r="AE327" s="385"/>
      <c r="AF327" s="385"/>
      <c r="AG327" s="385"/>
      <c r="AH327" s="385"/>
      <c r="AI327" s="385"/>
      <c r="AJ327" s="385"/>
      <c r="AK327" s="385"/>
      <c r="AL327" s="385"/>
      <c r="AM327" s="385"/>
      <c r="AN327" s="385"/>
      <c r="AO327" s="385"/>
      <c r="AP327" s="385"/>
      <c r="AQ327" s="385"/>
      <c r="AR327" s="385"/>
      <c r="AS327" s="385"/>
      <c r="AT327" s="385"/>
      <c r="AU327" s="385"/>
      <c r="AV327" s="385"/>
      <c r="AW327" s="385"/>
      <c r="AX327" s="385"/>
      <c r="AY327" s="385"/>
      <c r="AZ327" s="385"/>
      <c r="BA327" s="385"/>
      <c r="BB327" s="385"/>
      <c r="BC327" s="385"/>
      <c r="BD327" s="385"/>
      <c r="BE327" s="385"/>
      <c r="BF327" s="385"/>
      <c r="BG327" s="385"/>
      <c r="BH327" s="385"/>
      <c r="BI327" s="385"/>
      <c r="BJ327" s="385"/>
      <c r="BK327" s="385"/>
      <c r="BL327" s="385"/>
      <c r="BM327" s="385"/>
      <c r="BN327" s="385"/>
      <c r="BO327" s="385"/>
      <c r="BP327" s="385"/>
      <c r="BQ327" s="385"/>
      <c r="BR327" s="385"/>
      <c r="BS327" s="385"/>
      <c r="BT327" s="459"/>
      <c r="BU327" s="385"/>
      <c r="BV327" s="459"/>
      <c r="BW327" s="459"/>
      <c r="BX327" s="459"/>
      <c r="BY327" s="459"/>
      <c r="BZ327" s="385"/>
      <c r="CA327" s="459"/>
      <c r="CB327" s="459"/>
      <c r="CC327" s="459"/>
      <c r="CD327" s="459"/>
      <c r="CE327" s="385"/>
      <c r="CF327" s="459"/>
      <c r="CG327" s="459"/>
      <c r="CH327" s="459"/>
      <c r="CI327" s="459"/>
      <c r="CJ327" s="385"/>
      <c r="CK327" s="459"/>
      <c r="CL327" s="459"/>
      <c r="CM327" s="459"/>
      <c r="CN327" s="459"/>
      <c r="CO327" s="385"/>
      <c r="CP327" s="385"/>
      <c r="CQ327" s="385"/>
      <c r="CR327" s="385"/>
      <c r="CS327" s="385"/>
      <c r="CT327" s="560"/>
      <c r="CU327" s="347"/>
      <c r="CV327" s="1363"/>
      <c r="CW327" s="347"/>
      <c r="CX327" s="347"/>
      <c r="CZ327" s="354"/>
      <c r="DA327" s="354"/>
      <c r="DB327" s="354"/>
      <c r="DC327" s="354"/>
      <c r="DD327" s="354"/>
      <c r="DE327" s="354"/>
    </row>
    <row r="328" spans="1:142">
      <c r="B328" s="385" t="s">
        <v>831</v>
      </c>
      <c r="C328" s="385"/>
      <c r="D328" s="385"/>
      <c r="E328" s="385"/>
      <c r="F328" s="385"/>
      <c r="G328" s="385"/>
      <c r="H328" s="385"/>
      <c r="I328" s="385"/>
      <c r="J328" s="385"/>
      <c r="K328" s="385"/>
      <c r="L328" s="385"/>
      <c r="M328" s="385"/>
      <c r="N328" s="385"/>
      <c r="O328" s="385"/>
      <c r="P328" s="385"/>
      <c r="Q328" s="385"/>
      <c r="R328" s="385"/>
      <c r="S328" s="385"/>
      <c r="T328" s="385"/>
      <c r="U328" s="385"/>
      <c r="V328" s="385"/>
      <c r="W328" s="385"/>
      <c r="X328" s="385"/>
      <c r="Y328" s="385"/>
      <c r="Z328" s="385"/>
      <c r="AA328" s="385"/>
      <c r="AB328" s="385"/>
      <c r="AC328" s="385"/>
      <c r="AD328" s="385"/>
      <c r="AE328" s="385"/>
      <c r="AF328" s="385"/>
      <c r="AG328" s="385"/>
      <c r="AH328" s="385"/>
      <c r="AI328" s="385"/>
      <c r="AJ328" s="385"/>
      <c r="AK328" s="385"/>
      <c r="AL328" s="385"/>
      <c r="AM328" s="385"/>
      <c r="AN328" s="385"/>
      <c r="AO328" s="385"/>
      <c r="AP328" s="385"/>
      <c r="AQ328" s="385"/>
      <c r="AR328" s="385"/>
      <c r="AS328" s="385"/>
      <c r="AT328" s="385"/>
      <c r="AU328" s="385"/>
      <c r="AV328" s="385"/>
      <c r="AW328" s="385"/>
      <c r="AX328" s="385"/>
      <c r="AY328" s="385"/>
      <c r="AZ328" s="385"/>
      <c r="BA328" s="385"/>
      <c r="BB328" s="385"/>
      <c r="BC328" s="385"/>
      <c r="BD328" s="385"/>
      <c r="BE328" s="385"/>
      <c r="BF328" s="385"/>
      <c r="BG328" s="385"/>
      <c r="BH328" s="385"/>
      <c r="BI328" s="385"/>
      <c r="BJ328" s="385"/>
      <c r="BK328" s="385"/>
      <c r="BL328" s="385"/>
      <c r="BM328" s="385"/>
      <c r="BN328" s="385"/>
      <c r="BO328" s="385"/>
      <c r="BP328" s="385"/>
      <c r="BQ328" s="385"/>
      <c r="BR328" s="385"/>
      <c r="BS328" s="385"/>
      <c r="BT328" s="459"/>
      <c r="BU328" s="353">
        <f t="shared" ref="BU328:CB328" si="1732">BU311/BU307</f>
        <v>-4.7586691531786049E-4</v>
      </c>
      <c r="BV328" s="353">
        <f t="shared" si="1732"/>
        <v>-4.8534837244772986E-4</v>
      </c>
      <c r="BW328" s="353">
        <f t="shared" si="1732"/>
        <v>-1.2151998305313055E-3</v>
      </c>
      <c r="BX328" s="353">
        <f t="shared" si="1732"/>
        <v>-1.526641505483259E-3</v>
      </c>
      <c r="BY328" s="353">
        <f t="shared" si="1732"/>
        <v>-1.2141516131465647E-3</v>
      </c>
      <c r="BZ328" s="353">
        <f t="shared" si="1732"/>
        <v>-1.1237005106586491E-3</v>
      </c>
      <c r="CA328" s="353">
        <f t="shared" si="1732"/>
        <v>-4.393397876798743E-4</v>
      </c>
      <c r="CB328" s="353">
        <f t="shared" si="1732"/>
        <v>-6.8631055417551882E-4</v>
      </c>
      <c r="CC328" s="353">
        <f t="shared" ref="CC328:CE328" si="1733">CC311/CC307</f>
        <v>-5.0073734367837603E-4</v>
      </c>
      <c r="CD328" s="353">
        <f t="shared" si="1733"/>
        <v>-2.8347614872669129E-4</v>
      </c>
      <c r="CE328" s="353">
        <f t="shared" si="1733"/>
        <v>-4.772378966289758E-4</v>
      </c>
      <c r="CF328" s="353">
        <f t="shared" ref="CF328:CG328" si="1734">CF311/CF307</f>
        <v>-1.6631675242542162E-4</v>
      </c>
      <c r="CG328" s="353">
        <f t="shared" si="1734"/>
        <v>0</v>
      </c>
      <c r="CH328" s="353">
        <f t="shared" ref="CH328:CK328" si="1735">CH311/CH307</f>
        <v>0</v>
      </c>
      <c r="CI328" s="353">
        <f t="shared" si="1735"/>
        <v>0</v>
      </c>
      <c r="CJ328" s="353">
        <f t="shared" si="1735"/>
        <v>-4.1289431568795854E-5</v>
      </c>
      <c r="CK328" s="353">
        <f t="shared" si="1735"/>
        <v>0</v>
      </c>
      <c r="CL328" s="353">
        <f t="shared" ref="CL328" si="1736">CL311/CL307</f>
        <v>0</v>
      </c>
      <c r="CM328" s="353">
        <f t="shared" ref="CM328" si="1737">CM311/CM307</f>
        <v>0</v>
      </c>
      <c r="CN328" s="353"/>
      <c r="CO328" s="594">
        <f>CJ328</f>
        <v>-4.1289431568795854E-5</v>
      </c>
      <c r="CP328" s="594">
        <f t="shared" ref="CP328:CT328" si="1738">CO328</f>
        <v>-4.1289431568795854E-5</v>
      </c>
      <c r="CQ328" s="594">
        <f t="shared" si="1738"/>
        <v>-4.1289431568795854E-5</v>
      </c>
      <c r="CR328" s="594">
        <f t="shared" si="1738"/>
        <v>-4.1289431568795854E-5</v>
      </c>
      <c r="CS328" s="594">
        <f t="shared" si="1738"/>
        <v>-4.1289431568795854E-5</v>
      </c>
      <c r="CT328" s="594">
        <f t="shared" si="1738"/>
        <v>-4.1289431568795854E-5</v>
      </c>
      <c r="CU328" s="347"/>
      <c r="CV328" s="1363"/>
      <c r="CW328" s="347"/>
      <c r="CX328" s="347"/>
      <c r="CZ328" s="354"/>
      <c r="DA328" s="354"/>
      <c r="DB328" s="354"/>
      <c r="DC328" s="354"/>
      <c r="DD328" s="354"/>
      <c r="DE328" s="354"/>
    </row>
    <row r="329" spans="1:142">
      <c r="B329" s="407"/>
      <c r="BQ329" s="561"/>
      <c r="BR329" s="561"/>
      <c r="BS329" s="561"/>
      <c r="BT329" s="561"/>
      <c r="BU329" s="561"/>
      <c r="BV329" s="561"/>
      <c r="BW329" s="561"/>
      <c r="BX329" s="561"/>
      <c r="BY329" s="561"/>
      <c r="BZ329" s="561"/>
      <c r="CA329" s="561"/>
      <c r="CB329" s="561"/>
      <c r="CC329" s="561"/>
      <c r="CD329" s="561"/>
      <c r="CE329" s="561"/>
      <c r="CF329" s="561"/>
      <c r="CG329" s="561"/>
      <c r="CH329" s="561"/>
      <c r="CI329" s="561"/>
      <c r="CJ329" s="561"/>
      <c r="CK329" s="561"/>
      <c r="CL329" s="561"/>
      <c r="CM329" s="561"/>
      <c r="CN329" s="561"/>
      <c r="CO329" s="365"/>
      <c r="CP329" s="365"/>
      <c r="CQ329" s="365"/>
      <c r="CR329" s="365"/>
      <c r="CS329" s="365"/>
      <c r="CT329" s="365"/>
    </row>
    <row r="330" spans="1:142" s="411" customFormat="1">
      <c r="A330" s="886"/>
      <c r="B330" s="464" t="s">
        <v>833</v>
      </c>
      <c r="C330" s="465"/>
      <c r="D330" s="465"/>
      <c r="E330" s="465"/>
      <c r="F330" s="465"/>
      <c r="G330" s="465"/>
      <c r="H330" s="465"/>
      <c r="I330" s="465"/>
      <c r="J330" s="465"/>
      <c r="K330" s="465"/>
      <c r="L330" s="465"/>
      <c r="M330" s="465"/>
      <c r="N330" s="465"/>
      <c r="O330" s="465"/>
      <c r="P330" s="465"/>
      <c r="Q330" s="465"/>
      <c r="R330" s="465"/>
      <c r="S330" s="465"/>
      <c r="T330" s="465"/>
      <c r="U330" s="465"/>
      <c r="V330" s="465"/>
      <c r="W330" s="465"/>
      <c r="X330" s="465"/>
      <c r="Y330" s="465"/>
      <c r="Z330" s="465"/>
      <c r="AA330" s="465"/>
      <c r="AB330" s="465"/>
      <c r="AC330" s="465"/>
      <c r="AD330" s="465"/>
      <c r="AE330" s="465"/>
      <c r="AF330" s="465"/>
      <c r="AG330" s="465"/>
      <c r="AH330" s="465"/>
      <c r="AI330" s="465"/>
      <c r="AJ330" s="465"/>
      <c r="AK330" s="465"/>
      <c r="AL330" s="465"/>
      <c r="AM330" s="465"/>
      <c r="AN330" s="465"/>
      <c r="AO330" s="465"/>
      <c r="AP330" s="465"/>
      <c r="AQ330" s="465"/>
      <c r="AR330" s="465"/>
      <c r="AS330" s="465"/>
      <c r="AT330" s="465"/>
      <c r="AU330" s="465"/>
      <c r="AV330" s="465"/>
      <c r="AW330" s="466"/>
      <c r="AX330" s="466"/>
      <c r="AY330" s="465"/>
      <c r="AZ330" s="465"/>
      <c r="BA330" s="465"/>
      <c r="BB330" s="466"/>
      <c r="BC330" s="466"/>
      <c r="BD330" s="466"/>
      <c r="BE330" s="465"/>
      <c r="BF330" s="466"/>
      <c r="BG330" s="466"/>
      <c r="BH330" s="466"/>
      <c r="BI330" s="466"/>
      <c r="BJ330" s="466"/>
      <c r="BK330" s="466"/>
      <c r="BL330" s="466"/>
      <c r="BM330" s="466"/>
      <c r="BN330" s="466"/>
      <c r="BO330" s="466"/>
      <c r="BP330" s="466"/>
      <c r="BQ330" s="466"/>
      <c r="BR330" s="466"/>
      <c r="BS330" s="466"/>
      <c r="BT330" s="466"/>
      <c r="BU330" s="466"/>
      <c r="BV330" s="466"/>
      <c r="BW330" s="500">
        <f t="shared" ref="BW330:BZ330" si="1739">BW313</f>
        <v>24.359999999998763</v>
      </c>
      <c r="BX330" s="500">
        <f t="shared" si="1739"/>
        <v>82.87800000000334</v>
      </c>
      <c r="BY330" s="500">
        <f t="shared" si="1739"/>
        <v>104.49799999999868</v>
      </c>
      <c r="BZ330" s="500">
        <f t="shared" si="1739"/>
        <v>211.73600000000079</v>
      </c>
      <c r="CA330" s="500">
        <f t="shared" ref="CA330:CD330" si="1740">CA313</f>
        <v>127.79599999999937</v>
      </c>
      <c r="CB330" s="500">
        <f t="shared" si="1740"/>
        <v>109.07900000000154</v>
      </c>
      <c r="CC330" s="500">
        <f t="shared" si="1740"/>
        <v>121.47399999999743</v>
      </c>
      <c r="CD330" s="500">
        <f t="shared" si="1740"/>
        <v>142.66100000000552</v>
      </c>
      <c r="CE330" s="500">
        <f>CE313</f>
        <v>501.01000000000386</v>
      </c>
      <c r="CF330" s="500">
        <f t="shared" ref="CF330:CG330" si="1741">CF313</f>
        <v>165.70000000000073</v>
      </c>
      <c r="CG330" s="500">
        <f t="shared" si="1741"/>
        <v>192.02400000000125</v>
      </c>
      <c r="CH330" s="500">
        <f t="shared" ref="CH330:CI330" si="1742">CH313</f>
        <v>218.39899999999761</v>
      </c>
      <c r="CI330" s="500">
        <f t="shared" si="1742"/>
        <v>199.0653999999995</v>
      </c>
      <c r="CJ330" s="500">
        <f>CJ313</f>
        <v>775.18839999999909</v>
      </c>
      <c r="CK330" s="500">
        <f t="shared" ref="CK330:CL330" si="1743">CK313</f>
        <v>125.82999999999993</v>
      </c>
      <c r="CL330" s="500">
        <f t="shared" si="1743"/>
        <v>129.92200000000048</v>
      </c>
      <c r="CM330" s="500">
        <f t="shared" ref="CM330" si="1744">CM313</f>
        <v>140.69999999999891</v>
      </c>
      <c r="CN330" s="500"/>
      <c r="CO330" s="500">
        <f>CJ330*(1+CO375)</f>
        <v>852.70723999999905</v>
      </c>
      <c r="CP330" s="500">
        <f t="shared" ref="CP330:CT330" si="1745">CO330*(1+CP375)</f>
        <v>920.923819199999</v>
      </c>
      <c r="CQ330" s="500">
        <f t="shared" si="1745"/>
        <v>976.17924835199904</v>
      </c>
      <c r="CR330" s="500">
        <f t="shared" si="1745"/>
        <v>1034.7500032531191</v>
      </c>
      <c r="CS330" s="500">
        <f t="shared" si="1745"/>
        <v>1096.8350034483062</v>
      </c>
      <c r="CT330" s="500">
        <f t="shared" si="1745"/>
        <v>1162.6451036552046</v>
      </c>
      <c r="CV330" s="1376"/>
    </row>
    <row r="331" spans="1:142" hidden="1" outlineLevel="1">
      <c r="B331" s="383" t="s">
        <v>42</v>
      </c>
      <c r="C331" s="383">
        <f>C287</f>
        <v>2007</v>
      </c>
      <c r="D331" s="383"/>
      <c r="E331" s="383"/>
      <c r="F331" s="383"/>
      <c r="G331" s="383"/>
      <c r="H331" s="383">
        <f>C331+1</f>
        <v>2008</v>
      </c>
      <c r="I331" s="383"/>
      <c r="J331" s="383"/>
      <c r="K331" s="383"/>
      <c r="L331" s="383"/>
      <c r="M331" s="383">
        <f>H331+1</f>
        <v>2009</v>
      </c>
      <c r="N331" s="383"/>
      <c r="O331" s="383"/>
      <c r="P331" s="383"/>
      <c r="Q331" s="383"/>
      <c r="R331" s="383">
        <f>M331+1</f>
        <v>2010</v>
      </c>
      <c r="S331" s="383"/>
      <c r="T331" s="383"/>
      <c r="U331" s="383"/>
      <c r="V331" s="383"/>
      <c r="W331" s="383">
        <f>R331+1</f>
        <v>2011</v>
      </c>
      <c r="X331" s="383"/>
      <c r="Y331" s="383"/>
      <c r="Z331" s="383"/>
      <c r="AA331" s="383"/>
      <c r="AB331" s="383">
        <f>W331+1</f>
        <v>2012</v>
      </c>
      <c r="AC331" s="383"/>
      <c r="AD331" s="383"/>
      <c r="AE331" s="383"/>
      <c r="AF331" s="383"/>
      <c r="AG331" s="383">
        <f>AB331+1</f>
        <v>2013</v>
      </c>
      <c r="AH331" s="383"/>
      <c r="AI331" s="383"/>
      <c r="AJ331" s="383"/>
      <c r="AK331" s="383"/>
      <c r="AL331" s="383">
        <f>AG331+1</f>
        <v>2014</v>
      </c>
      <c r="AM331" s="383"/>
      <c r="AN331" s="383"/>
      <c r="AO331" s="383"/>
      <c r="AP331" s="383"/>
      <c r="AQ331" s="383">
        <f>AL331+1</f>
        <v>2015</v>
      </c>
      <c r="AR331" s="383"/>
      <c r="AS331" s="383"/>
      <c r="AT331" s="383"/>
      <c r="AU331" s="383"/>
      <c r="AV331" s="383">
        <f>AQ331+1</f>
        <v>2016</v>
      </c>
      <c r="AW331" s="383"/>
      <c r="AX331" s="383"/>
      <c r="AY331" s="383"/>
      <c r="AZ331" s="383"/>
      <c r="BA331" s="383">
        <f>AV331+1</f>
        <v>2017</v>
      </c>
      <c r="BB331" s="383"/>
      <c r="BC331" s="383"/>
      <c r="BD331" s="383"/>
      <c r="BE331" s="383"/>
      <c r="BF331" s="383">
        <f>BA331+1</f>
        <v>2018</v>
      </c>
      <c r="BG331" s="383"/>
      <c r="BH331" s="383"/>
      <c r="BI331" s="383"/>
      <c r="BJ331" s="383"/>
      <c r="BK331" s="383">
        <f>BF331+1</f>
        <v>2019</v>
      </c>
      <c r="BL331" s="383"/>
      <c r="BM331" s="383"/>
      <c r="BN331" s="383"/>
      <c r="BO331" s="383"/>
      <c r="BP331" s="383">
        <f>BK331+1</f>
        <v>2020</v>
      </c>
      <c r="BQ331" s="383"/>
      <c r="BR331" s="383"/>
      <c r="BS331" s="383"/>
      <c r="BT331" s="383"/>
      <c r="BU331" s="383">
        <f>BP331+1</f>
        <v>2021</v>
      </c>
      <c r="BV331" s="383"/>
      <c r="BW331" s="383"/>
      <c r="BX331" s="383"/>
      <c r="BY331" s="383"/>
      <c r="BZ331" s="383">
        <f>BU331+1</f>
        <v>2022</v>
      </c>
      <c r="CA331" s="383"/>
      <c r="CB331" s="383"/>
      <c r="CC331" s="383"/>
      <c r="CD331" s="383"/>
      <c r="CE331" s="383">
        <f>BZ331+1</f>
        <v>2023</v>
      </c>
      <c r="CF331" s="383"/>
      <c r="CG331" s="383"/>
      <c r="CH331" s="383"/>
      <c r="CI331" s="383"/>
      <c r="CJ331" s="383">
        <f>CE331+1</f>
        <v>2024</v>
      </c>
      <c r="CK331" s="383"/>
      <c r="CL331" s="383"/>
      <c r="CM331" s="383"/>
      <c r="CN331" s="383"/>
      <c r="CO331" s="383">
        <f>CJ331+1</f>
        <v>2025</v>
      </c>
      <c r="CP331" s="383">
        <f t="shared" ref="CP331:CR331" si="1746">CO331+1</f>
        <v>2026</v>
      </c>
      <c r="CQ331" s="383">
        <f t="shared" si="1746"/>
        <v>2027</v>
      </c>
      <c r="CR331" s="383">
        <f t="shared" si="1746"/>
        <v>2028</v>
      </c>
      <c r="CS331" s="383">
        <f t="shared" ref="CS331" si="1747">CR331+1</f>
        <v>2029</v>
      </c>
      <c r="CT331" s="383">
        <f t="shared" ref="CT331" si="1748">CS331+1</f>
        <v>2030</v>
      </c>
      <c r="CU331" s="347"/>
      <c r="CV331" s="1363"/>
      <c r="CW331" s="347"/>
      <c r="CX331" s="347"/>
      <c r="CY331" s="347"/>
      <c r="CZ331" s="347"/>
      <c r="DA331" s="347"/>
      <c r="EA331" s="467"/>
      <c r="EB331" s="467"/>
      <c r="EC331" s="467"/>
      <c r="ED331" s="467"/>
      <c r="EE331" s="467"/>
      <c r="EF331" s="467"/>
      <c r="EG331" s="467"/>
      <c r="EH331" s="467"/>
      <c r="EI331" s="467"/>
      <c r="EJ331" s="467"/>
      <c r="EK331" s="467"/>
      <c r="EL331" s="467"/>
    </row>
    <row r="332" spans="1:142" hidden="1" outlineLevel="1">
      <c r="B332" s="407" t="s">
        <v>507</v>
      </c>
      <c r="C332" s="429"/>
      <c r="D332" s="429"/>
      <c r="E332" s="429"/>
      <c r="F332" s="429"/>
      <c r="G332" s="429"/>
      <c r="H332" s="429"/>
      <c r="I332" s="429"/>
      <c r="J332" s="429"/>
      <c r="K332" s="429"/>
      <c r="L332" s="429"/>
      <c r="M332" s="429"/>
      <c r="N332" s="429"/>
      <c r="O332" s="429"/>
      <c r="P332" s="429"/>
      <c r="Q332" s="429"/>
      <c r="R332" s="429"/>
      <c r="S332" s="429"/>
      <c r="T332" s="429"/>
      <c r="U332" s="429"/>
      <c r="V332" s="429"/>
      <c r="W332" s="429"/>
      <c r="X332" s="429"/>
      <c r="Y332" s="429"/>
      <c r="Z332" s="429"/>
      <c r="AA332" s="429"/>
      <c r="AB332" s="429"/>
      <c r="AC332" s="429"/>
      <c r="AD332" s="429"/>
      <c r="AE332" s="429"/>
      <c r="AF332" s="429"/>
      <c r="AG332" s="429"/>
      <c r="AH332" s="429"/>
      <c r="AI332" s="429"/>
      <c r="AJ332" s="429"/>
      <c r="AK332" s="429"/>
      <c r="AL332" s="429"/>
      <c r="AM332" s="429"/>
      <c r="AN332" s="429"/>
      <c r="AO332" s="429"/>
      <c r="AP332" s="429"/>
      <c r="AQ332" s="429"/>
      <c r="AR332" s="429"/>
      <c r="AS332" s="429"/>
      <c r="AT332" s="429"/>
      <c r="AU332" s="429"/>
      <c r="AV332" s="429"/>
      <c r="AW332" s="429"/>
      <c r="AX332" s="429"/>
      <c r="AY332" s="429"/>
      <c r="AZ332" s="429"/>
      <c r="BA332" s="429"/>
      <c r="BB332" s="429"/>
      <c r="BC332" s="429"/>
      <c r="BD332" s="429"/>
      <c r="BE332" s="429"/>
      <c r="BF332" s="429"/>
      <c r="BG332" s="429"/>
      <c r="BH332" s="429"/>
      <c r="BI332" s="429"/>
      <c r="BJ332" s="429"/>
      <c r="BK332" s="429"/>
      <c r="BL332" s="429"/>
      <c r="BM332" s="429"/>
      <c r="BN332" s="429"/>
      <c r="BO332" s="429"/>
      <c r="BP332" s="429"/>
      <c r="BQ332" s="429"/>
      <c r="BR332" s="429"/>
      <c r="BS332" s="429"/>
      <c r="BT332" s="429"/>
      <c r="BU332" s="429"/>
      <c r="BV332" s="429"/>
      <c r="BW332" s="429"/>
      <c r="BX332" s="353"/>
      <c r="BY332" s="353"/>
      <c r="BZ332" s="429"/>
      <c r="CA332" s="429"/>
      <c r="CB332" s="429"/>
      <c r="CC332" s="429"/>
      <c r="CD332" s="429"/>
      <c r="CE332" s="429"/>
      <c r="CF332" s="429"/>
      <c r="CG332" s="429"/>
      <c r="CH332" s="429"/>
      <c r="CI332" s="429"/>
      <c r="CJ332" s="429"/>
      <c r="CK332" s="429"/>
      <c r="CL332" s="429"/>
      <c r="CM332" s="429"/>
      <c r="CN332" s="429"/>
      <c r="CO332" s="429"/>
      <c r="CP332" s="429"/>
      <c r="CQ332" s="429"/>
      <c r="CR332" s="429"/>
      <c r="CS332" s="429"/>
      <c r="CT332" s="429"/>
      <c r="CU332" s="347"/>
      <c r="CV332" s="1363"/>
      <c r="CW332" s="347"/>
      <c r="CX332" s="347"/>
      <c r="CY332" s="347"/>
      <c r="CZ332" s="347"/>
      <c r="DA332" s="347"/>
    </row>
    <row r="333" spans="1:142" hidden="1" outlineLevel="1">
      <c r="B333" s="407" t="s">
        <v>39</v>
      </c>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c r="AA333" s="426"/>
      <c r="AB333" s="426"/>
      <c r="AC333" s="426"/>
      <c r="AD333" s="426"/>
      <c r="AE333" s="426"/>
      <c r="AF333" s="426"/>
      <c r="AG333" s="426"/>
      <c r="AH333" s="426"/>
      <c r="AI333" s="426"/>
      <c r="AJ333" s="426"/>
      <c r="AK333" s="426"/>
      <c r="AL333" s="426"/>
      <c r="AM333" s="426"/>
      <c r="AN333" s="426"/>
      <c r="AO333" s="426"/>
      <c r="AP333" s="426"/>
      <c r="AQ333" s="426"/>
      <c r="AR333" s="426"/>
      <c r="AS333" s="426"/>
      <c r="AT333" s="426"/>
      <c r="AU333" s="426"/>
      <c r="AV333" s="426"/>
      <c r="AW333" s="426"/>
      <c r="AX333" s="426"/>
      <c r="AY333" s="426"/>
      <c r="AZ333" s="426"/>
      <c r="BA333" s="426"/>
      <c r="BB333" s="426"/>
      <c r="BC333" s="426"/>
      <c r="BD333" s="426"/>
      <c r="BE333" s="426"/>
      <c r="BF333" s="426"/>
      <c r="BG333" s="426"/>
      <c r="BH333" s="426"/>
      <c r="BI333" s="426"/>
      <c r="BJ333" s="426"/>
      <c r="BK333" s="426"/>
      <c r="BL333" s="426"/>
      <c r="BM333" s="426"/>
      <c r="BN333" s="426"/>
      <c r="BO333" s="426"/>
      <c r="BP333" s="426"/>
      <c r="BQ333" s="426"/>
      <c r="BR333" s="426"/>
      <c r="BS333" s="426"/>
      <c r="BT333" s="426"/>
      <c r="BU333" s="426"/>
      <c r="BV333" s="426"/>
      <c r="BW333" s="426"/>
      <c r="BX333" s="426"/>
      <c r="BY333" s="426"/>
      <c r="BZ333" s="426"/>
      <c r="CA333" s="426"/>
      <c r="CB333" s="426"/>
      <c r="CC333" s="426"/>
      <c r="CD333" s="426"/>
      <c r="CE333" s="426"/>
      <c r="CF333" s="426"/>
      <c r="CG333" s="426"/>
      <c r="CH333" s="426"/>
      <c r="CI333" s="426"/>
      <c r="CJ333" s="426"/>
      <c r="CK333" s="426"/>
      <c r="CL333" s="426"/>
      <c r="CM333" s="426"/>
      <c r="CN333" s="426"/>
      <c r="CO333" s="426"/>
      <c r="CP333" s="426"/>
      <c r="CQ333" s="426"/>
      <c r="CR333" s="426"/>
      <c r="CS333" s="426"/>
      <c r="CT333" s="426"/>
      <c r="CU333" s="347"/>
      <c r="CV333" s="1363"/>
      <c r="CW333" s="347"/>
      <c r="CX333" s="347"/>
      <c r="CY333" s="347"/>
      <c r="CZ333" s="347"/>
      <c r="DA333" s="347"/>
      <c r="EA333" s="399"/>
      <c r="EB333" s="399"/>
      <c r="EC333" s="399"/>
      <c r="ED333" s="399"/>
      <c r="EE333" s="399"/>
      <c r="EF333" s="399"/>
      <c r="EG333" s="399"/>
      <c r="EH333" s="399"/>
      <c r="EI333" s="399"/>
      <c r="EJ333" s="399"/>
      <c r="EK333" s="399"/>
      <c r="EL333" s="399"/>
    </row>
    <row r="334" spans="1:142" hidden="1" outlineLevel="1">
      <c r="B334" s="407" t="s">
        <v>43</v>
      </c>
      <c r="C334" s="405"/>
      <c r="D334" s="405"/>
      <c r="E334" s="405"/>
      <c r="F334" s="405"/>
      <c r="G334" s="405"/>
      <c r="H334" s="405"/>
      <c r="I334" s="405"/>
      <c r="J334" s="405"/>
      <c r="K334" s="405"/>
      <c r="L334" s="405"/>
      <c r="M334" s="405"/>
      <c r="N334" s="405"/>
      <c r="O334" s="405"/>
      <c r="P334" s="405"/>
      <c r="Q334" s="405"/>
      <c r="R334" s="405"/>
      <c r="S334" s="405"/>
      <c r="T334" s="405"/>
      <c r="U334" s="405"/>
      <c r="V334" s="405"/>
      <c r="W334" s="406"/>
      <c r="X334" s="406"/>
      <c r="Y334" s="406"/>
      <c r="Z334" s="406"/>
      <c r="AA334" s="406"/>
      <c r="AB334" s="406"/>
      <c r="AC334" s="406"/>
      <c r="AD334" s="406"/>
      <c r="AE334" s="406"/>
      <c r="AF334" s="406"/>
      <c r="AG334" s="406"/>
      <c r="AH334" s="406"/>
      <c r="AI334" s="406"/>
      <c r="AJ334" s="406"/>
      <c r="AK334" s="406"/>
      <c r="AL334" s="406"/>
      <c r="AM334" s="406"/>
      <c r="AN334" s="406"/>
      <c r="AO334" s="406"/>
      <c r="AP334" s="406"/>
      <c r="AQ334" s="406"/>
      <c r="AR334" s="406"/>
      <c r="AS334" s="406"/>
      <c r="AT334" s="406"/>
      <c r="AU334" s="406"/>
      <c r="AV334" s="406"/>
      <c r="AW334" s="406"/>
      <c r="AX334" s="406"/>
      <c r="AY334" s="406"/>
      <c r="AZ334" s="406"/>
      <c r="BA334" s="406"/>
      <c r="BB334" s="406"/>
      <c r="BC334" s="406"/>
      <c r="BD334" s="406"/>
      <c r="BE334" s="406"/>
      <c r="BF334" s="406"/>
      <c r="BG334" s="406"/>
      <c r="BH334" s="406"/>
      <c r="BI334" s="406"/>
      <c r="BJ334" s="406"/>
      <c r="BK334" s="406"/>
      <c r="BL334" s="348"/>
      <c r="BM334" s="348"/>
      <c r="BN334" s="348"/>
      <c r="BO334" s="429"/>
      <c r="BP334" s="429"/>
      <c r="BQ334" s="429"/>
      <c r="BR334" s="429"/>
      <c r="BS334" s="429"/>
      <c r="BT334" s="429"/>
      <c r="BU334" s="429"/>
      <c r="BV334" s="429"/>
      <c r="BW334" s="429"/>
      <c r="BX334" s="429"/>
      <c r="BY334" s="429"/>
      <c r="BZ334" s="429"/>
      <c r="CA334" s="429"/>
      <c r="CB334" s="429"/>
      <c r="CC334" s="429"/>
      <c r="CD334" s="429"/>
      <c r="CE334" s="429"/>
      <c r="CF334" s="429"/>
      <c r="CG334" s="429"/>
      <c r="CH334" s="429"/>
      <c r="CI334" s="429"/>
      <c r="CJ334" s="429"/>
      <c r="CK334" s="429"/>
      <c r="CL334" s="429"/>
      <c r="CM334" s="429"/>
      <c r="CN334" s="429"/>
      <c r="CO334" s="429"/>
      <c r="CP334" s="429"/>
      <c r="CQ334" s="429"/>
      <c r="CR334" s="429"/>
      <c r="CS334" s="429"/>
      <c r="CT334" s="429"/>
      <c r="CU334" s="347"/>
      <c r="CV334" s="1363"/>
      <c r="CW334" s="347"/>
      <c r="CX334" s="347"/>
      <c r="CY334" s="347"/>
      <c r="CZ334" s="468"/>
      <c r="DA334" s="468"/>
      <c r="DB334" s="468"/>
      <c r="DC334" s="468"/>
      <c r="DD334" s="468"/>
      <c r="DE334" s="468"/>
      <c r="DF334" s="468"/>
    </row>
    <row r="335" spans="1:142" hidden="1" outlineLevel="1">
      <c r="B335" s="407" t="s">
        <v>64</v>
      </c>
      <c r="C335" s="426"/>
      <c r="D335" s="426"/>
      <c r="E335" s="426"/>
      <c r="F335" s="426"/>
      <c r="G335" s="426"/>
      <c r="H335" s="426"/>
      <c r="I335" s="426"/>
      <c r="J335" s="426"/>
      <c r="K335" s="426"/>
      <c r="L335" s="426"/>
      <c r="M335" s="426"/>
      <c r="N335" s="426"/>
      <c r="O335" s="426"/>
      <c r="P335" s="426"/>
      <c r="Q335" s="426"/>
      <c r="R335" s="426"/>
      <c r="S335" s="426"/>
      <c r="T335" s="426"/>
      <c r="U335" s="426"/>
      <c r="V335" s="426"/>
      <c r="W335" s="426"/>
      <c r="X335" s="426"/>
      <c r="Y335" s="426"/>
      <c r="Z335" s="426"/>
      <c r="AA335" s="426"/>
      <c r="AB335" s="426"/>
      <c r="AC335" s="426"/>
      <c r="AD335" s="426"/>
      <c r="AE335" s="426"/>
      <c r="AF335" s="426"/>
      <c r="AG335" s="426"/>
      <c r="AH335" s="426"/>
      <c r="AI335" s="426"/>
      <c r="AJ335" s="426"/>
      <c r="AK335" s="426"/>
      <c r="AL335" s="426"/>
      <c r="AM335" s="426"/>
      <c r="AN335" s="426"/>
      <c r="AO335" s="426"/>
      <c r="AP335" s="426"/>
      <c r="AQ335" s="426"/>
      <c r="AR335" s="426"/>
      <c r="AS335" s="426"/>
      <c r="AT335" s="426"/>
      <c r="AU335" s="426"/>
      <c r="AV335" s="426"/>
      <c r="AW335" s="426"/>
      <c r="AX335" s="426"/>
      <c r="AY335" s="426"/>
      <c r="AZ335" s="426"/>
      <c r="BA335" s="426"/>
      <c r="BB335" s="426"/>
      <c r="BC335" s="426"/>
      <c r="BD335" s="426"/>
      <c r="BE335" s="426"/>
      <c r="BF335" s="426"/>
      <c r="BG335" s="426"/>
      <c r="BH335" s="426"/>
      <c r="BI335" s="426"/>
      <c r="BJ335" s="426"/>
      <c r="BK335" s="426"/>
      <c r="BL335" s="426"/>
      <c r="BM335" s="426"/>
      <c r="BN335" s="426"/>
      <c r="BO335" s="426"/>
      <c r="BP335" s="425"/>
      <c r="BQ335" s="425"/>
      <c r="BR335" s="425"/>
      <c r="BS335" s="425"/>
      <c r="BT335" s="425"/>
      <c r="BU335" s="425"/>
      <c r="BV335" s="425"/>
      <c r="BW335" s="425"/>
      <c r="BX335" s="425"/>
      <c r="BY335" s="425"/>
      <c r="BZ335" s="425"/>
      <c r="CA335" s="425"/>
      <c r="CB335" s="425"/>
      <c r="CC335" s="425"/>
      <c r="CD335" s="425"/>
      <c r="CE335" s="425"/>
      <c r="CF335" s="425"/>
      <c r="CG335" s="425"/>
      <c r="CH335" s="425"/>
      <c r="CI335" s="425"/>
      <c r="CJ335" s="425"/>
      <c r="CK335" s="425"/>
      <c r="CL335" s="425"/>
      <c r="CM335" s="425"/>
      <c r="CN335" s="425"/>
      <c r="CO335" s="425"/>
      <c r="CP335" s="425"/>
      <c r="CQ335" s="425"/>
      <c r="CR335" s="425"/>
      <c r="CS335" s="425"/>
      <c r="CT335" s="425"/>
      <c r="CU335" s="347"/>
      <c r="CV335" s="1363"/>
      <c r="CW335" s="347"/>
      <c r="CX335" s="347"/>
      <c r="CY335" s="469"/>
      <c r="CZ335" s="348"/>
      <c r="DA335" s="348"/>
      <c r="DB335" s="437"/>
      <c r="DC335" s="437"/>
      <c r="DD335" s="437"/>
      <c r="DE335" s="395"/>
      <c r="DF335" s="395"/>
      <c r="EA335" s="348"/>
      <c r="EB335" s="348"/>
      <c r="EC335" s="348"/>
      <c r="ED335" s="348"/>
      <c r="EE335" s="348"/>
      <c r="EF335" s="348"/>
      <c r="EG335" s="348"/>
      <c r="EH335" s="348"/>
      <c r="EI335" s="348"/>
      <c r="EJ335" s="348"/>
      <c r="EK335" s="348"/>
      <c r="EL335" s="348"/>
    </row>
    <row r="336" spans="1:142" hidden="1" outlineLevel="1">
      <c r="B336" s="407"/>
      <c r="C336" s="408"/>
      <c r="D336" s="408"/>
      <c r="E336" s="408"/>
      <c r="F336" s="408"/>
      <c r="G336" s="408"/>
      <c r="H336" s="408"/>
      <c r="I336" s="408"/>
      <c r="J336" s="408"/>
      <c r="K336" s="408"/>
      <c r="L336" s="408"/>
      <c r="M336" s="408"/>
      <c r="N336" s="408"/>
      <c r="O336" s="408"/>
      <c r="P336" s="408"/>
      <c r="Q336" s="408"/>
      <c r="R336" s="408"/>
      <c r="S336" s="408"/>
      <c r="T336" s="408"/>
      <c r="U336" s="408"/>
      <c r="V336" s="408"/>
      <c r="W336" s="408"/>
      <c r="X336" s="408"/>
      <c r="Y336" s="408"/>
      <c r="Z336" s="408"/>
      <c r="AA336" s="408"/>
      <c r="AB336" s="408"/>
      <c r="AC336" s="408"/>
      <c r="AD336" s="408"/>
      <c r="AE336" s="408"/>
      <c r="AF336" s="408"/>
      <c r="AG336" s="408"/>
      <c r="AH336" s="408"/>
      <c r="AI336" s="408"/>
      <c r="AJ336" s="408"/>
      <c r="AK336" s="408"/>
      <c r="AL336" s="408"/>
      <c r="AM336" s="408"/>
      <c r="AN336" s="408"/>
      <c r="AO336" s="408"/>
      <c r="AP336" s="408"/>
      <c r="AQ336" s="408"/>
      <c r="AR336" s="408"/>
      <c r="AS336" s="408"/>
      <c r="AT336" s="408"/>
      <c r="AU336" s="408"/>
      <c r="AV336" s="408"/>
      <c r="AW336" s="408"/>
      <c r="AX336" s="408"/>
      <c r="AY336" s="408"/>
      <c r="AZ336" s="408"/>
      <c r="BA336" s="408"/>
      <c r="BB336" s="408"/>
      <c r="BC336" s="408"/>
      <c r="BD336" s="408"/>
      <c r="BE336" s="408"/>
      <c r="BF336" s="408"/>
      <c r="BG336" s="408"/>
      <c r="BH336" s="408"/>
      <c r="BI336" s="408"/>
      <c r="BJ336" s="408"/>
      <c r="BK336" s="408"/>
      <c r="BL336" s="408"/>
      <c r="BM336" s="408"/>
      <c r="BN336" s="408"/>
      <c r="BO336" s="408"/>
      <c r="BP336" s="408"/>
      <c r="BQ336" s="408"/>
      <c r="BR336" s="408"/>
      <c r="BS336" s="408"/>
      <c r="BT336" s="408"/>
      <c r="BU336" s="408"/>
      <c r="BV336" s="408"/>
      <c r="BW336" s="408"/>
      <c r="BX336" s="408"/>
      <c r="BY336" s="408"/>
      <c r="BZ336" s="408"/>
      <c r="CA336" s="408"/>
      <c r="CB336" s="408"/>
      <c r="CC336" s="408"/>
      <c r="CD336" s="408"/>
      <c r="CE336" s="408"/>
      <c r="CF336" s="408"/>
      <c r="CG336" s="408"/>
      <c r="CH336" s="408"/>
      <c r="CI336" s="408"/>
      <c r="CJ336" s="408"/>
      <c r="CK336" s="408"/>
      <c r="CL336" s="408"/>
      <c r="CM336" s="408"/>
      <c r="CN336" s="408"/>
      <c r="CO336" s="408"/>
      <c r="CP336" s="408"/>
      <c r="CQ336" s="408"/>
      <c r="CR336" s="408"/>
      <c r="CS336" s="408"/>
      <c r="CT336" s="408"/>
      <c r="CU336" s="347"/>
      <c r="CV336" s="1363"/>
      <c r="CW336" s="347"/>
      <c r="CX336" s="347"/>
      <c r="CY336" s="347"/>
      <c r="CZ336" s="347"/>
      <c r="DA336" s="347"/>
      <c r="DB336" s="347"/>
      <c r="DC336" s="347"/>
      <c r="EA336" s="348"/>
      <c r="EB336" s="348"/>
      <c r="EC336" s="348"/>
      <c r="ED336" s="348"/>
      <c r="EE336" s="348"/>
      <c r="EF336" s="348"/>
      <c r="EG336" s="348"/>
      <c r="EH336" s="348"/>
      <c r="EI336" s="348"/>
      <c r="EJ336" s="348"/>
      <c r="EK336" s="348"/>
      <c r="EL336" s="348"/>
    </row>
    <row r="337" spans="1:146" hidden="1" outlineLevel="1">
      <c r="B337" s="383" t="s">
        <v>48</v>
      </c>
      <c r="C337" s="383">
        <f t="shared" ref="C337:AH337" si="1749">C4</f>
        <v>2007</v>
      </c>
      <c r="D337" s="383" t="str">
        <f t="shared" si="1749"/>
        <v>Q1</v>
      </c>
      <c r="E337" s="383" t="str">
        <f t="shared" si="1749"/>
        <v>Q2</v>
      </c>
      <c r="F337" s="383" t="str">
        <f t="shared" si="1749"/>
        <v>Q3</v>
      </c>
      <c r="G337" s="383" t="str">
        <f t="shared" si="1749"/>
        <v>Q4</v>
      </c>
      <c r="H337" s="383">
        <f t="shared" si="1749"/>
        <v>2008</v>
      </c>
      <c r="I337" s="383" t="str">
        <f t="shared" si="1749"/>
        <v>Q1</v>
      </c>
      <c r="J337" s="383" t="str">
        <f t="shared" si="1749"/>
        <v>Q2</v>
      </c>
      <c r="K337" s="383" t="str">
        <f t="shared" si="1749"/>
        <v>Q3</v>
      </c>
      <c r="L337" s="383" t="str">
        <f t="shared" si="1749"/>
        <v>Q4</v>
      </c>
      <c r="M337" s="383">
        <f t="shared" si="1749"/>
        <v>2009</v>
      </c>
      <c r="N337" s="383" t="str">
        <f t="shared" si="1749"/>
        <v>Q1</v>
      </c>
      <c r="O337" s="383" t="str">
        <f t="shared" si="1749"/>
        <v>Q2</v>
      </c>
      <c r="P337" s="383" t="str">
        <f t="shared" si="1749"/>
        <v>Q3</v>
      </c>
      <c r="Q337" s="383" t="str">
        <f t="shared" si="1749"/>
        <v>Q4</v>
      </c>
      <c r="R337" s="383">
        <f t="shared" si="1749"/>
        <v>2010</v>
      </c>
      <c r="S337" s="383" t="str">
        <f t="shared" si="1749"/>
        <v>Q1</v>
      </c>
      <c r="T337" s="383" t="str">
        <f t="shared" si="1749"/>
        <v>Q2</v>
      </c>
      <c r="U337" s="383" t="str">
        <f t="shared" si="1749"/>
        <v>Q3</v>
      </c>
      <c r="V337" s="383" t="str">
        <f t="shared" si="1749"/>
        <v>Q4</v>
      </c>
      <c r="W337" s="383">
        <f t="shared" si="1749"/>
        <v>2011</v>
      </c>
      <c r="X337" s="383" t="str">
        <f t="shared" si="1749"/>
        <v>Q1</v>
      </c>
      <c r="Y337" s="383" t="str">
        <f t="shared" si="1749"/>
        <v>Q2</v>
      </c>
      <c r="Z337" s="383" t="str">
        <f t="shared" si="1749"/>
        <v>Q3</v>
      </c>
      <c r="AA337" s="383" t="str">
        <f t="shared" si="1749"/>
        <v>Q4</v>
      </c>
      <c r="AB337" s="383">
        <f t="shared" si="1749"/>
        <v>2012</v>
      </c>
      <c r="AC337" s="383" t="str">
        <f t="shared" si="1749"/>
        <v>Q1</v>
      </c>
      <c r="AD337" s="383" t="str">
        <f t="shared" si="1749"/>
        <v>Q2</v>
      </c>
      <c r="AE337" s="383" t="str">
        <f t="shared" si="1749"/>
        <v>Q3</v>
      </c>
      <c r="AF337" s="383" t="str">
        <f t="shared" si="1749"/>
        <v>Q4</v>
      </c>
      <c r="AG337" s="383">
        <f t="shared" si="1749"/>
        <v>2013</v>
      </c>
      <c r="AH337" s="383" t="str">
        <f t="shared" si="1749"/>
        <v>Q1</v>
      </c>
      <c r="AI337" s="383" t="str">
        <f t="shared" ref="AI337:BN337" si="1750">AI4</f>
        <v>Q2</v>
      </c>
      <c r="AJ337" s="383" t="str">
        <f t="shared" si="1750"/>
        <v>Q3</v>
      </c>
      <c r="AK337" s="383" t="str">
        <f t="shared" si="1750"/>
        <v>Q4</v>
      </c>
      <c r="AL337" s="383">
        <f t="shared" si="1750"/>
        <v>2014</v>
      </c>
      <c r="AM337" s="383" t="str">
        <f t="shared" si="1750"/>
        <v>Q1</v>
      </c>
      <c r="AN337" s="383" t="str">
        <f t="shared" si="1750"/>
        <v>Q2</v>
      </c>
      <c r="AO337" s="383" t="str">
        <f t="shared" si="1750"/>
        <v>Q3</v>
      </c>
      <c r="AP337" s="383" t="str">
        <f t="shared" si="1750"/>
        <v>Q4</v>
      </c>
      <c r="AQ337" s="383">
        <f t="shared" si="1750"/>
        <v>2015</v>
      </c>
      <c r="AR337" s="383" t="str">
        <f t="shared" si="1750"/>
        <v>Q1</v>
      </c>
      <c r="AS337" s="383" t="str">
        <f t="shared" si="1750"/>
        <v>Q2</v>
      </c>
      <c r="AT337" s="383" t="str">
        <f t="shared" si="1750"/>
        <v>Q3</v>
      </c>
      <c r="AU337" s="383" t="str">
        <f t="shared" si="1750"/>
        <v>Q4</v>
      </c>
      <c r="AV337" s="383">
        <f t="shared" si="1750"/>
        <v>2016</v>
      </c>
      <c r="AW337" s="383" t="str">
        <f t="shared" si="1750"/>
        <v>Q1</v>
      </c>
      <c r="AX337" s="383" t="str">
        <f t="shared" si="1750"/>
        <v>Q2</v>
      </c>
      <c r="AY337" s="383" t="str">
        <f t="shared" si="1750"/>
        <v>Q3</v>
      </c>
      <c r="AZ337" s="383" t="str">
        <f t="shared" si="1750"/>
        <v>Q4</v>
      </c>
      <c r="BA337" s="383">
        <f t="shared" si="1750"/>
        <v>2017</v>
      </c>
      <c r="BB337" s="383" t="str">
        <f t="shared" si="1750"/>
        <v>Q1</v>
      </c>
      <c r="BC337" s="383" t="str">
        <f t="shared" si="1750"/>
        <v>Q2</v>
      </c>
      <c r="BD337" s="383" t="str">
        <f t="shared" si="1750"/>
        <v>Q3</v>
      </c>
      <c r="BE337" s="383" t="str">
        <f t="shared" si="1750"/>
        <v>Q4</v>
      </c>
      <c r="BF337" s="383">
        <f t="shared" si="1750"/>
        <v>2018</v>
      </c>
      <c r="BG337" s="383" t="str">
        <f t="shared" si="1750"/>
        <v>Q1</v>
      </c>
      <c r="BH337" s="383" t="str">
        <f t="shared" si="1750"/>
        <v>Q2</v>
      </c>
      <c r="BI337" s="383" t="str">
        <f t="shared" si="1750"/>
        <v>Q3</v>
      </c>
      <c r="BJ337" s="383" t="str">
        <f t="shared" si="1750"/>
        <v>Q4</v>
      </c>
      <c r="BK337" s="383">
        <f t="shared" si="1750"/>
        <v>2019</v>
      </c>
      <c r="BL337" s="383" t="str">
        <f t="shared" si="1750"/>
        <v>Q1</v>
      </c>
      <c r="BM337" s="383" t="str">
        <f t="shared" si="1750"/>
        <v>Q2</v>
      </c>
      <c r="BN337" s="383" t="str">
        <f t="shared" si="1750"/>
        <v>Q3</v>
      </c>
      <c r="BO337" s="383"/>
      <c r="BP337" s="383">
        <f>BP4</f>
        <v>2020</v>
      </c>
      <c r="BQ337" s="383"/>
      <c r="BR337" s="383"/>
      <c r="BS337" s="383"/>
      <c r="BT337" s="383"/>
      <c r="BU337" s="383">
        <f>BU4</f>
        <v>2021</v>
      </c>
      <c r="BV337" s="383"/>
      <c r="BW337" s="383"/>
      <c r="BX337" s="383"/>
      <c r="BY337" s="383"/>
      <c r="BZ337" s="383">
        <f>BZ4</f>
        <v>2022</v>
      </c>
      <c r="CA337" s="383"/>
      <c r="CB337" s="383"/>
      <c r="CC337" s="383"/>
      <c r="CD337" s="383"/>
      <c r="CE337" s="383">
        <f>CE4</f>
        <v>2023</v>
      </c>
      <c r="CF337" s="383"/>
      <c r="CG337" s="383"/>
      <c r="CH337" s="383"/>
      <c r="CI337" s="383"/>
      <c r="CJ337" s="383">
        <f>CJ4</f>
        <v>2024</v>
      </c>
      <c r="CK337" s="383"/>
      <c r="CL337" s="383"/>
      <c r="CM337" s="383"/>
      <c r="CN337" s="383"/>
      <c r="CO337" s="383">
        <f t="shared" ref="CO337:CT337" si="1751">CO4</f>
        <v>2025</v>
      </c>
      <c r="CP337" s="383">
        <f t="shared" si="1751"/>
        <v>2026</v>
      </c>
      <c r="CQ337" s="383">
        <f t="shared" si="1751"/>
        <v>2027</v>
      </c>
      <c r="CR337" s="383">
        <f t="shared" si="1751"/>
        <v>2028</v>
      </c>
      <c r="CS337" s="383">
        <f t="shared" si="1751"/>
        <v>2029</v>
      </c>
      <c r="CT337" s="383">
        <f t="shared" si="1751"/>
        <v>2030</v>
      </c>
      <c r="CU337" s="347"/>
      <c r="CV337" s="1363"/>
      <c r="CW337" s="347"/>
      <c r="CX337" s="347"/>
      <c r="CY337" s="407"/>
      <c r="CZ337" s="470"/>
      <c r="DA337" s="471"/>
      <c r="DB337" s="471"/>
      <c r="DC337" s="471"/>
      <c r="DD337" s="471"/>
      <c r="DE337" s="471"/>
      <c r="DF337" s="471"/>
    </row>
    <row r="338" spans="1:146" hidden="1" outlineLevel="1">
      <c r="B338" s="407"/>
      <c r="C338" s="426"/>
      <c r="D338" s="426"/>
      <c r="E338" s="426"/>
      <c r="F338" s="426"/>
      <c r="G338" s="426"/>
      <c r="H338" s="426"/>
      <c r="I338" s="426"/>
      <c r="J338" s="426"/>
      <c r="K338" s="426"/>
      <c r="L338" s="426"/>
      <c r="M338" s="426"/>
      <c r="N338" s="426"/>
      <c r="O338" s="426"/>
      <c r="P338" s="426"/>
      <c r="Q338" s="426"/>
      <c r="R338" s="426"/>
      <c r="S338" s="426"/>
      <c r="T338" s="426"/>
      <c r="U338" s="426"/>
      <c r="V338" s="426"/>
      <c r="W338" s="426"/>
      <c r="X338" s="426"/>
      <c r="Y338" s="426"/>
      <c r="Z338" s="426"/>
      <c r="AA338" s="426"/>
      <c r="AB338" s="426"/>
      <c r="AC338" s="426"/>
      <c r="AD338" s="426"/>
      <c r="AE338" s="426"/>
      <c r="AF338" s="426"/>
      <c r="AG338" s="426"/>
      <c r="AH338" s="426"/>
      <c r="AI338" s="426"/>
      <c r="AJ338" s="426"/>
      <c r="AK338" s="426"/>
      <c r="AL338" s="426"/>
      <c r="AM338" s="426"/>
      <c r="AN338" s="426"/>
      <c r="AO338" s="426"/>
      <c r="AP338" s="426"/>
      <c r="AQ338" s="426"/>
      <c r="AR338" s="426"/>
      <c r="AS338" s="426"/>
      <c r="AT338" s="426"/>
      <c r="AU338" s="426"/>
      <c r="AV338" s="426"/>
      <c r="AW338" s="426"/>
      <c r="AX338" s="426"/>
      <c r="AY338" s="426"/>
      <c r="AZ338" s="426"/>
      <c r="BA338" s="426"/>
      <c r="BB338" s="426"/>
      <c r="BC338" s="426"/>
      <c r="BD338" s="426"/>
      <c r="BE338" s="426"/>
      <c r="BF338" s="426"/>
      <c r="BG338" s="426"/>
      <c r="BH338" s="426"/>
      <c r="BI338" s="426"/>
      <c r="BJ338" s="426"/>
      <c r="BK338" s="426"/>
      <c r="BL338" s="426"/>
      <c r="BM338" s="426"/>
      <c r="BN338" s="426"/>
      <c r="BO338" s="426"/>
      <c r="BP338" s="426"/>
      <c r="BQ338" s="426"/>
      <c r="BR338" s="426"/>
      <c r="BS338" s="426"/>
      <c r="BT338" s="426"/>
      <c r="BU338" s="426"/>
      <c r="BV338" s="426"/>
      <c r="BW338" s="426"/>
      <c r="BX338" s="426"/>
      <c r="BY338" s="426"/>
      <c r="BZ338" s="426"/>
      <c r="CA338" s="426"/>
      <c r="CB338" s="426"/>
      <c r="CC338" s="426"/>
      <c r="CD338" s="426"/>
      <c r="CE338" s="426"/>
      <c r="CF338" s="426"/>
      <c r="CG338" s="426"/>
      <c r="CH338" s="426"/>
      <c r="CI338" s="426"/>
      <c r="CJ338" s="426"/>
      <c r="CK338" s="426"/>
      <c r="CL338" s="426"/>
      <c r="CM338" s="426"/>
      <c r="CN338" s="426"/>
      <c r="CO338" s="426"/>
      <c r="CP338" s="426"/>
      <c r="CQ338" s="426"/>
      <c r="CR338" s="426"/>
      <c r="CS338" s="426"/>
      <c r="CT338" s="426"/>
      <c r="CU338" s="347"/>
      <c r="CV338" s="1363"/>
      <c r="CW338" s="347"/>
      <c r="CX338" s="347"/>
      <c r="CY338" s="407"/>
      <c r="CZ338" s="367"/>
      <c r="DA338" s="367"/>
      <c r="DB338" s="367"/>
      <c r="DC338" s="367"/>
      <c r="DD338" s="367"/>
      <c r="DE338" s="367"/>
      <c r="DF338" s="367"/>
    </row>
    <row r="339" spans="1:146" hidden="1" outlineLevel="1">
      <c r="B339" s="385" t="s">
        <v>44</v>
      </c>
      <c r="C339" s="347"/>
      <c r="D339" s="347"/>
      <c r="E339" s="347"/>
      <c r="F339" s="347"/>
      <c r="G339" s="347"/>
      <c r="H339" s="347"/>
      <c r="I339" s="347"/>
      <c r="J339" s="347"/>
      <c r="K339" s="347"/>
      <c r="L339" s="347"/>
      <c r="M339" s="347"/>
      <c r="N339" s="347"/>
      <c r="O339" s="347"/>
      <c r="P339" s="347"/>
      <c r="Q339" s="347"/>
      <c r="R339" s="347"/>
      <c r="S339" s="347"/>
      <c r="T339" s="347"/>
      <c r="U339" s="347"/>
      <c r="V339" s="347"/>
      <c r="W339" s="347"/>
      <c r="X339" s="347"/>
      <c r="Y339" s="347"/>
      <c r="Z339" s="347"/>
      <c r="AA339" s="347"/>
      <c r="AB339" s="347"/>
      <c r="AC339" s="347"/>
      <c r="AD339" s="347"/>
      <c r="AE339" s="347"/>
      <c r="AF339" s="347"/>
      <c r="AG339" s="347"/>
      <c r="AH339" s="347"/>
      <c r="AI339" s="347"/>
      <c r="AJ339" s="347"/>
      <c r="AK339" s="347"/>
      <c r="AL339" s="347"/>
      <c r="AM339" s="347"/>
      <c r="AN339" s="347"/>
      <c r="AO339" s="347"/>
      <c r="AP339" s="347"/>
      <c r="AQ339" s="347"/>
      <c r="AR339" s="347"/>
      <c r="AS339" s="347"/>
      <c r="AT339" s="347"/>
      <c r="AU339" s="347"/>
      <c r="AV339" s="347"/>
      <c r="AW339" s="347"/>
      <c r="AX339" s="347"/>
      <c r="AY339" s="347"/>
      <c r="AZ339" s="347"/>
      <c r="BA339" s="347"/>
      <c r="BB339" s="347"/>
      <c r="BC339" s="347"/>
      <c r="BD339" s="347"/>
      <c r="BE339" s="347"/>
      <c r="BF339" s="347"/>
      <c r="BG339" s="347"/>
      <c r="BH339" s="347"/>
      <c r="BI339" s="347"/>
      <c r="BJ339" s="347"/>
      <c r="BK339" s="347"/>
      <c r="BL339" s="347"/>
      <c r="BM339" s="347"/>
      <c r="BN339" s="347"/>
      <c r="BO339" s="347"/>
      <c r="BP339" s="347"/>
      <c r="BQ339" s="347"/>
      <c r="BR339" s="347"/>
      <c r="BS339" s="347"/>
      <c r="BT339" s="347"/>
      <c r="BU339" s="347"/>
      <c r="BV339" s="347"/>
      <c r="BW339" s="347"/>
      <c r="BX339" s="347"/>
      <c r="BY339" s="347"/>
      <c r="BZ339" s="347"/>
      <c r="CA339" s="347"/>
      <c r="CB339" s="347"/>
      <c r="CC339" s="347"/>
      <c r="CD339" s="347"/>
      <c r="CE339" s="347"/>
      <c r="CF339" s="347"/>
      <c r="CG339" s="347"/>
      <c r="CH339" s="347"/>
      <c r="CI339" s="347"/>
      <c r="CJ339" s="347"/>
      <c r="CK339" s="347"/>
      <c r="CL339" s="347"/>
      <c r="CM339" s="347"/>
      <c r="CN339" s="347"/>
      <c r="CO339" s="347"/>
      <c r="CP339" s="347"/>
      <c r="CQ339" s="347"/>
      <c r="CR339" s="347"/>
      <c r="CS339" s="347"/>
      <c r="CT339" s="347"/>
      <c r="CU339" s="347"/>
      <c r="CV339" s="1363"/>
      <c r="CW339" s="347"/>
      <c r="CX339" s="347"/>
      <c r="CY339" s="347"/>
      <c r="CZ339" s="347"/>
      <c r="DA339" s="347"/>
    </row>
    <row r="340" spans="1:146" hidden="1" outlineLevel="1">
      <c r="B340" s="472" t="s">
        <v>45</v>
      </c>
      <c r="C340" s="372"/>
      <c r="D340" s="372"/>
      <c r="E340" s="372"/>
      <c r="F340" s="372"/>
      <c r="G340" s="372"/>
      <c r="H340" s="372"/>
      <c r="I340" s="372"/>
      <c r="J340" s="372"/>
      <c r="K340" s="372"/>
      <c r="L340" s="372"/>
      <c r="M340" s="372"/>
      <c r="N340" s="372"/>
      <c r="O340" s="372"/>
      <c r="P340" s="372"/>
      <c r="Q340" s="372"/>
      <c r="R340" s="372"/>
      <c r="S340" s="372"/>
      <c r="T340" s="372"/>
      <c r="U340" s="372"/>
      <c r="V340" s="372"/>
      <c r="W340" s="372"/>
      <c r="X340" s="372"/>
      <c r="Y340" s="372"/>
      <c r="Z340" s="372"/>
      <c r="AA340" s="372"/>
      <c r="AB340" s="372"/>
      <c r="AC340" s="372"/>
      <c r="AD340" s="372"/>
      <c r="AE340" s="372"/>
      <c r="AF340" s="372"/>
      <c r="AG340" s="372"/>
      <c r="AH340" s="372"/>
      <c r="AI340" s="372"/>
      <c r="AJ340" s="372"/>
      <c r="AK340" s="372"/>
      <c r="AL340" s="372"/>
      <c r="AM340" s="372"/>
      <c r="AN340" s="372"/>
      <c r="AO340" s="372"/>
      <c r="AP340" s="372"/>
      <c r="AQ340" s="372"/>
      <c r="AR340" s="372"/>
      <c r="AS340" s="372"/>
      <c r="AT340" s="372"/>
      <c r="AU340" s="372"/>
      <c r="AV340" s="372"/>
      <c r="AW340" s="372"/>
      <c r="AX340" s="372"/>
      <c r="AY340" s="372"/>
      <c r="AZ340" s="372"/>
      <c r="BA340" s="372"/>
      <c r="BB340" s="372"/>
      <c r="BC340" s="372"/>
      <c r="BD340" s="372"/>
      <c r="BE340" s="372"/>
      <c r="BF340" s="372"/>
      <c r="BG340" s="372"/>
      <c r="BH340" s="372"/>
      <c r="BI340" s="372"/>
      <c r="BJ340" s="372"/>
      <c r="BK340" s="372"/>
      <c r="BL340" s="372"/>
      <c r="BM340" s="372"/>
      <c r="BN340" s="372"/>
      <c r="BO340" s="372"/>
      <c r="BP340" s="372"/>
      <c r="BQ340" s="372"/>
      <c r="BR340" s="372"/>
      <c r="BS340" s="372"/>
      <c r="BT340" s="372"/>
      <c r="BU340" s="372"/>
      <c r="BV340" s="372"/>
      <c r="BW340" s="372"/>
      <c r="BX340" s="372"/>
      <c r="BY340" s="372"/>
      <c r="BZ340" s="372"/>
      <c r="CA340" s="372"/>
      <c r="CB340" s="372"/>
      <c r="CC340" s="372"/>
      <c r="CD340" s="372"/>
      <c r="CE340" s="372"/>
      <c r="CF340" s="372"/>
      <c r="CG340" s="372"/>
      <c r="CH340" s="372"/>
      <c r="CI340" s="372"/>
      <c r="CJ340" s="372"/>
      <c r="CK340" s="372"/>
      <c r="CL340" s="372"/>
      <c r="CM340" s="372"/>
      <c r="CN340" s="372"/>
      <c r="CO340" s="372"/>
      <c r="CP340" s="372"/>
      <c r="CQ340" s="372"/>
      <c r="CR340" s="372"/>
      <c r="CS340" s="372"/>
      <c r="CT340" s="372"/>
      <c r="CU340" s="347"/>
      <c r="CV340" s="1363"/>
      <c r="CW340" s="347"/>
      <c r="CX340" s="347"/>
      <c r="CY340" s="347"/>
      <c r="CZ340" s="347"/>
      <c r="DA340" s="347"/>
      <c r="DL340" s="348"/>
      <c r="DM340" s="348"/>
      <c r="DN340" s="348"/>
      <c r="DO340" s="348"/>
      <c r="DP340" s="348"/>
    </row>
    <row r="341" spans="1:146" hidden="1" outlineLevel="1">
      <c r="B341" s="407" t="s">
        <v>39</v>
      </c>
      <c r="C341" s="426"/>
      <c r="D341" s="426"/>
      <c r="E341" s="426"/>
      <c r="F341" s="426"/>
      <c r="G341" s="426"/>
      <c r="H341" s="426"/>
      <c r="I341" s="426"/>
      <c r="J341" s="426"/>
      <c r="K341" s="426"/>
      <c r="L341" s="426"/>
      <c r="M341" s="426"/>
      <c r="N341" s="426"/>
      <c r="O341" s="426"/>
      <c r="P341" s="426"/>
      <c r="Q341" s="426"/>
      <c r="R341" s="426"/>
      <c r="S341" s="426"/>
      <c r="T341" s="426"/>
      <c r="U341" s="426"/>
      <c r="V341" s="426"/>
      <c r="W341" s="426"/>
      <c r="X341" s="426"/>
      <c r="Y341" s="426"/>
      <c r="Z341" s="426"/>
      <c r="AA341" s="426"/>
      <c r="AB341" s="426"/>
      <c r="AC341" s="426"/>
      <c r="AD341" s="426"/>
      <c r="AE341" s="426"/>
      <c r="AF341" s="426"/>
      <c r="AG341" s="426"/>
      <c r="AH341" s="426"/>
      <c r="AI341" s="426"/>
      <c r="AJ341" s="426"/>
      <c r="AK341" s="426"/>
      <c r="AL341" s="426"/>
      <c r="AM341" s="426"/>
      <c r="AN341" s="426"/>
      <c r="AO341" s="426"/>
      <c r="AP341" s="426"/>
      <c r="AQ341" s="426"/>
      <c r="AR341" s="426"/>
      <c r="AS341" s="426"/>
      <c r="AT341" s="426"/>
      <c r="AU341" s="426"/>
      <c r="AV341" s="426"/>
      <c r="AW341" s="426"/>
      <c r="AX341" s="426"/>
      <c r="AY341" s="426"/>
      <c r="AZ341" s="426"/>
      <c r="BA341" s="426"/>
      <c r="BB341" s="426"/>
      <c r="BC341" s="426"/>
      <c r="BD341" s="426"/>
      <c r="BE341" s="426"/>
      <c r="BF341" s="426"/>
      <c r="BG341" s="426"/>
      <c r="BH341" s="426"/>
      <c r="BI341" s="426"/>
      <c r="BJ341" s="426"/>
      <c r="BK341" s="426"/>
      <c r="BL341" s="426"/>
      <c r="BM341" s="426"/>
      <c r="BN341" s="426"/>
      <c r="BO341" s="426"/>
      <c r="BP341" s="426"/>
      <c r="BQ341" s="426"/>
      <c r="BR341" s="426"/>
      <c r="BS341" s="426"/>
      <c r="BT341" s="426"/>
      <c r="BU341" s="426"/>
      <c r="BV341" s="426"/>
      <c r="BW341" s="426"/>
      <c r="BX341" s="426"/>
      <c r="BY341" s="426"/>
      <c r="BZ341" s="426"/>
      <c r="CA341" s="426"/>
      <c r="CB341" s="426"/>
      <c r="CC341" s="426"/>
      <c r="CD341" s="426"/>
      <c r="CE341" s="426"/>
      <c r="CF341" s="426"/>
      <c r="CG341" s="426"/>
      <c r="CH341" s="426"/>
      <c r="CI341" s="426"/>
      <c r="CJ341" s="426"/>
      <c r="CK341" s="426"/>
      <c r="CL341" s="426"/>
      <c r="CM341" s="426"/>
      <c r="CN341" s="426"/>
      <c r="CO341" s="426"/>
      <c r="CP341" s="426"/>
      <c r="CQ341" s="426"/>
      <c r="CR341" s="426"/>
      <c r="CS341" s="426"/>
      <c r="CT341" s="426"/>
      <c r="CU341" s="347"/>
      <c r="CV341" s="1363"/>
      <c r="CW341" s="347"/>
      <c r="CX341" s="347"/>
      <c r="CY341" s="347"/>
      <c r="CZ341" s="347"/>
      <c r="DA341" s="347"/>
    </row>
    <row r="342" spans="1:146" s="348" customFormat="1" hidden="1" outlineLevel="1">
      <c r="A342" s="888"/>
      <c r="B342" s="469" t="s">
        <v>49</v>
      </c>
      <c r="C342" s="473"/>
      <c r="D342" s="473"/>
      <c r="E342" s="473"/>
      <c r="F342" s="473"/>
      <c r="G342" s="473"/>
      <c r="H342" s="473"/>
      <c r="I342" s="473"/>
      <c r="J342" s="473"/>
      <c r="K342" s="473"/>
      <c r="L342" s="473"/>
      <c r="M342" s="473"/>
      <c r="N342" s="473"/>
      <c r="O342" s="473"/>
      <c r="P342" s="473"/>
      <c r="Q342" s="473"/>
      <c r="R342" s="473"/>
      <c r="S342" s="473"/>
      <c r="T342" s="473"/>
      <c r="U342" s="473"/>
      <c r="V342" s="473"/>
      <c r="W342" s="473"/>
      <c r="X342" s="473"/>
      <c r="Y342" s="473"/>
      <c r="Z342" s="473"/>
      <c r="AA342" s="473"/>
      <c r="AB342" s="473"/>
      <c r="AC342" s="473"/>
      <c r="AD342" s="473"/>
      <c r="AE342" s="473"/>
      <c r="AF342" s="473"/>
      <c r="AG342" s="473"/>
      <c r="AH342" s="473"/>
      <c r="AI342" s="473"/>
      <c r="AJ342" s="473"/>
      <c r="AK342" s="473"/>
      <c r="AL342" s="473"/>
      <c r="AM342" s="473"/>
      <c r="AN342" s="473"/>
      <c r="AO342" s="473"/>
      <c r="AP342" s="473"/>
      <c r="AQ342" s="473"/>
      <c r="AR342" s="473"/>
      <c r="AS342" s="473"/>
      <c r="AT342" s="473"/>
      <c r="AU342" s="473"/>
      <c r="AV342" s="473"/>
      <c r="AW342" s="473"/>
      <c r="AX342" s="473"/>
      <c r="AY342" s="473"/>
      <c r="AZ342" s="473"/>
      <c r="BA342" s="473"/>
      <c r="BB342" s="473"/>
      <c r="BC342" s="473"/>
      <c r="BD342" s="473"/>
      <c r="BE342" s="473"/>
      <c r="BF342" s="473"/>
      <c r="BG342" s="473"/>
      <c r="BH342" s="473"/>
      <c r="BI342" s="473"/>
      <c r="BJ342" s="473"/>
      <c r="BK342" s="473"/>
      <c r="BL342" s="473"/>
      <c r="BM342" s="473"/>
      <c r="BN342" s="473"/>
      <c r="BO342" s="473"/>
      <c r="BP342" s="473"/>
      <c r="BQ342" s="473"/>
      <c r="BR342" s="473"/>
      <c r="BS342" s="473"/>
      <c r="BT342" s="473"/>
      <c r="BU342" s="473"/>
      <c r="BV342" s="473"/>
      <c r="BW342" s="473"/>
      <c r="BX342" s="473"/>
      <c r="BY342" s="473"/>
      <c r="BZ342" s="473"/>
      <c r="CA342" s="473"/>
      <c r="CB342" s="473"/>
      <c r="CC342" s="473"/>
      <c r="CD342" s="473"/>
      <c r="CE342" s="473"/>
      <c r="CF342" s="473"/>
      <c r="CG342" s="473"/>
      <c r="CH342" s="473"/>
      <c r="CI342" s="473"/>
      <c r="CJ342" s="473"/>
      <c r="CK342" s="473"/>
      <c r="CL342" s="473"/>
      <c r="CM342" s="473"/>
      <c r="CN342" s="473"/>
      <c r="CO342" s="473"/>
      <c r="CP342" s="473"/>
      <c r="CQ342" s="473"/>
      <c r="CR342" s="473"/>
      <c r="CS342" s="473"/>
      <c r="CT342" s="473"/>
      <c r="CV342" s="1378"/>
      <c r="CZ342" s="385"/>
      <c r="DA342" s="385"/>
      <c r="DB342" s="385"/>
      <c r="DC342" s="385"/>
      <c r="DD342" s="385"/>
      <c r="DE342" s="385"/>
      <c r="DF342" s="385"/>
      <c r="DG342" s="385"/>
      <c r="DH342" s="385"/>
      <c r="DI342" s="385"/>
      <c r="DJ342" s="385"/>
      <c r="DL342" s="349"/>
      <c r="DM342" s="349"/>
      <c r="DN342" s="349"/>
      <c r="DO342" s="349"/>
      <c r="DP342" s="349"/>
      <c r="EA342" s="349"/>
      <c r="EB342" s="349"/>
      <c r="EC342" s="349"/>
      <c r="ED342" s="349"/>
      <c r="EE342" s="349"/>
      <c r="EF342" s="349"/>
      <c r="EG342" s="349"/>
      <c r="EH342" s="349"/>
      <c r="EI342" s="349"/>
      <c r="EJ342" s="349"/>
      <c r="EK342" s="349"/>
      <c r="EL342" s="349"/>
      <c r="EM342" s="349"/>
      <c r="EN342" s="349"/>
      <c r="EO342" s="349"/>
      <c r="EP342" s="349"/>
    </row>
    <row r="343" spans="1:146" hidden="1" outlineLevel="1">
      <c r="B343" s="407" t="s">
        <v>39</v>
      </c>
      <c r="C343" s="426"/>
      <c r="D343" s="426"/>
      <c r="E343" s="426"/>
      <c r="F343" s="426"/>
      <c r="G343" s="426"/>
      <c r="H343" s="426" t="e">
        <f>H342/C342-1</f>
        <v>#DIV/0!</v>
      </c>
      <c r="I343" s="426"/>
      <c r="J343" s="426"/>
      <c r="K343" s="426"/>
      <c r="L343" s="426"/>
      <c r="M343" s="426" t="e">
        <f>M342/H342-1</f>
        <v>#DIV/0!</v>
      </c>
      <c r="N343" s="426"/>
      <c r="O343" s="426"/>
      <c r="P343" s="426"/>
      <c r="Q343" s="426"/>
      <c r="R343" s="426" t="e">
        <f>R342/M342-1</f>
        <v>#DIV/0!</v>
      </c>
      <c r="S343" s="426"/>
      <c r="T343" s="426"/>
      <c r="U343" s="426"/>
      <c r="V343" s="426"/>
      <c r="W343" s="426" t="e">
        <f>W342/R342-1</f>
        <v>#DIV/0!</v>
      </c>
      <c r="X343" s="426"/>
      <c r="Y343" s="426"/>
      <c r="Z343" s="426"/>
      <c r="AA343" s="426"/>
      <c r="AB343" s="426" t="e">
        <f>AB342/W342-1</f>
        <v>#DIV/0!</v>
      </c>
      <c r="AC343" s="426"/>
      <c r="AD343" s="426"/>
      <c r="AE343" s="426"/>
      <c r="AF343" s="426"/>
      <c r="AG343" s="426" t="e">
        <f>AG342/AB342-1</f>
        <v>#DIV/0!</v>
      </c>
      <c r="AH343" s="426"/>
      <c r="AI343" s="426"/>
      <c r="AJ343" s="426"/>
      <c r="AK343" s="426"/>
      <c r="AL343" s="426" t="e">
        <f>AL342/AG342-1</f>
        <v>#DIV/0!</v>
      </c>
      <c r="AM343" s="426"/>
      <c r="AN343" s="426"/>
      <c r="AO343" s="426"/>
      <c r="AP343" s="426"/>
      <c r="AQ343" s="426" t="e">
        <f>AQ342/AL342-1</f>
        <v>#DIV/0!</v>
      </c>
      <c r="AR343" s="426"/>
      <c r="AS343" s="426"/>
      <c r="AT343" s="426"/>
      <c r="AU343" s="426"/>
      <c r="AV343" s="426" t="e">
        <f>AV342/AQ342-1</f>
        <v>#DIV/0!</v>
      </c>
      <c r="AW343" s="426"/>
      <c r="AX343" s="426"/>
      <c r="AY343" s="426"/>
      <c r="AZ343" s="426"/>
      <c r="BA343" s="426" t="e">
        <f>BA342/AV342-1</f>
        <v>#DIV/0!</v>
      </c>
      <c r="BB343" s="426"/>
      <c r="BC343" s="426"/>
      <c r="BD343" s="426"/>
      <c r="BE343" s="426"/>
      <c r="BF343" s="426" t="e">
        <f>BF342/BA342-1</f>
        <v>#DIV/0!</v>
      </c>
      <c r="BG343" s="426"/>
      <c r="BH343" s="426"/>
      <c r="BI343" s="426"/>
      <c r="BJ343" s="426"/>
      <c r="BK343" s="426" t="e">
        <f>BK342/BF342-1</f>
        <v>#DIV/0!</v>
      </c>
      <c r="BL343" s="426"/>
      <c r="BM343" s="426"/>
      <c r="BN343" s="426"/>
      <c r="BO343" s="426"/>
      <c r="BP343" s="426" t="e">
        <f>BP342/BK342-1</f>
        <v>#DIV/0!</v>
      </c>
      <c r="BQ343" s="426"/>
      <c r="BR343" s="426"/>
      <c r="BS343" s="426"/>
      <c r="BT343" s="426"/>
      <c r="BU343" s="426" t="e">
        <f>BU342/BP342-1</f>
        <v>#DIV/0!</v>
      </c>
      <c r="BV343" s="426"/>
      <c r="BW343" s="426"/>
      <c r="BX343" s="426"/>
      <c r="BY343" s="426"/>
      <c r="BZ343" s="426" t="e">
        <f>BZ342/BU342-1</f>
        <v>#DIV/0!</v>
      </c>
      <c r="CA343" s="426"/>
      <c r="CB343" s="426"/>
      <c r="CC343" s="426"/>
      <c r="CD343" s="426"/>
      <c r="CE343" s="426" t="e">
        <f>CE342/BZ342-1</f>
        <v>#DIV/0!</v>
      </c>
      <c r="CF343" s="426"/>
      <c r="CG343" s="426"/>
      <c r="CH343" s="426"/>
      <c r="CI343" s="426"/>
      <c r="CJ343" s="426" t="e">
        <f>CJ342/CE342-1</f>
        <v>#DIV/0!</v>
      </c>
      <c r="CK343" s="426"/>
      <c r="CL343" s="426"/>
      <c r="CM343" s="426"/>
      <c r="CN343" s="426"/>
      <c r="CO343" s="426" t="e">
        <f>CO342/CJ342-1</f>
        <v>#DIV/0!</v>
      </c>
      <c r="CP343" s="426" t="e">
        <f t="shared" ref="CP343:CR343" si="1752">CP342/CO342-1</f>
        <v>#DIV/0!</v>
      </c>
      <c r="CQ343" s="426" t="e">
        <f t="shared" si="1752"/>
        <v>#DIV/0!</v>
      </c>
      <c r="CR343" s="426" t="e">
        <f t="shared" si="1752"/>
        <v>#DIV/0!</v>
      </c>
      <c r="CS343" s="426" t="e">
        <f t="shared" ref="CS343" si="1753">CS342/CR342-1</f>
        <v>#DIV/0!</v>
      </c>
      <c r="CT343" s="426" t="e">
        <f t="shared" ref="CT343" si="1754">CT342/CS342-1</f>
        <v>#DIV/0!</v>
      </c>
      <c r="CU343" s="347"/>
      <c r="CV343" s="1363"/>
      <c r="CW343" s="347"/>
      <c r="CX343" s="347"/>
      <c r="CY343" s="469"/>
      <c r="CZ343" s="474"/>
      <c r="DA343" s="474"/>
      <c r="DB343" s="474"/>
      <c r="DC343" s="474"/>
      <c r="DD343" s="474"/>
      <c r="DE343" s="474"/>
      <c r="DF343" s="474"/>
      <c r="DG343" s="474"/>
      <c r="DH343" s="474"/>
      <c r="DI343" s="474"/>
      <c r="DJ343" s="474"/>
    </row>
    <row r="344" spans="1:146" hidden="1" outlineLevel="1">
      <c r="B344" s="407" t="s">
        <v>50</v>
      </c>
      <c r="C344" s="475"/>
      <c r="D344" s="475"/>
      <c r="E344" s="475"/>
      <c r="F344" s="475"/>
      <c r="G344" s="475"/>
      <c r="H344" s="475"/>
      <c r="I344" s="475"/>
      <c r="J344" s="475"/>
      <c r="K344" s="475"/>
      <c r="L344" s="475"/>
      <c r="M344" s="475"/>
      <c r="N344" s="475"/>
      <c r="O344" s="475"/>
      <c r="P344" s="475"/>
      <c r="Q344" s="475"/>
      <c r="R344" s="475"/>
      <c r="S344" s="475"/>
      <c r="T344" s="475"/>
      <c r="U344" s="475"/>
      <c r="V344" s="475"/>
      <c r="W344" s="475"/>
      <c r="X344" s="475"/>
      <c r="Y344" s="475"/>
      <c r="Z344" s="475"/>
      <c r="AA344" s="475"/>
      <c r="AB344" s="475"/>
      <c r="AC344" s="475"/>
      <c r="AD344" s="475"/>
      <c r="AE344" s="475"/>
      <c r="AF344" s="475"/>
      <c r="AG344" s="475"/>
      <c r="AH344" s="475"/>
      <c r="AI344" s="475"/>
      <c r="AJ344" s="475"/>
      <c r="AK344" s="475"/>
      <c r="AL344" s="475"/>
      <c r="AM344" s="475"/>
      <c r="AN344" s="475"/>
      <c r="AO344" s="475"/>
      <c r="AP344" s="475"/>
      <c r="AQ344" s="475"/>
      <c r="AR344" s="475"/>
      <c r="AS344" s="475"/>
      <c r="AT344" s="475"/>
      <c r="AU344" s="475"/>
      <c r="AV344" s="475"/>
      <c r="AW344" s="475"/>
      <c r="AX344" s="475"/>
      <c r="AY344" s="475"/>
      <c r="AZ344" s="475"/>
      <c r="BA344" s="475"/>
      <c r="BB344" s="475"/>
      <c r="BC344" s="475"/>
      <c r="BD344" s="475"/>
      <c r="BE344" s="475"/>
      <c r="BF344" s="475"/>
      <c r="BG344" s="475"/>
      <c r="BH344" s="475"/>
      <c r="BI344" s="475"/>
      <c r="BJ344" s="475"/>
      <c r="BK344" s="475"/>
      <c r="BL344" s="473"/>
      <c r="BM344" s="473"/>
      <c r="BN344" s="473"/>
      <c r="BO344" s="473"/>
      <c r="BP344" s="475"/>
      <c r="BQ344" s="475"/>
      <c r="BR344" s="475"/>
      <c r="BS344" s="475"/>
      <c r="BT344" s="475"/>
      <c r="BU344" s="475"/>
      <c r="BV344" s="475"/>
      <c r="BW344" s="475"/>
      <c r="BX344" s="475"/>
      <c r="BY344" s="475"/>
      <c r="BZ344" s="475"/>
      <c r="CA344" s="475"/>
      <c r="CB344" s="475"/>
      <c r="CC344" s="475"/>
      <c r="CD344" s="475"/>
      <c r="CE344" s="475"/>
      <c r="CF344" s="475"/>
      <c r="CG344" s="475"/>
      <c r="CH344" s="475"/>
      <c r="CI344" s="475"/>
      <c r="CJ344" s="475"/>
      <c r="CK344" s="475"/>
      <c r="CL344" s="475"/>
      <c r="CM344" s="475"/>
      <c r="CN344" s="475"/>
      <c r="CO344" s="475"/>
      <c r="CP344" s="475"/>
      <c r="CQ344" s="475"/>
      <c r="CR344" s="475"/>
      <c r="CS344" s="475"/>
      <c r="CT344" s="475"/>
      <c r="CU344" s="347"/>
      <c r="CV344" s="1363"/>
      <c r="CW344" s="347"/>
      <c r="CX344" s="347"/>
      <c r="CY344" s="347"/>
      <c r="CZ344" s="347"/>
      <c r="DA344" s="347"/>
      <c r="ED344" s="399"/>
      <c r="EE344" s="399"/>
      <c r="EF344" s="399"/>
      <c r="EG344" s="399"/>
    </row>
    <row r="345" spans="1:146" hidden="1" outlineLevel="1">
      <c r="B345" s="407" t="s">
        <v>39</v>
      </c>
      <c r="C345" s="426"/>
      <c r="D345" s="426"/>
      <c r="E345" s="426"/>
      <c r="F345" s="426"/>
      <c r="G345" s="426"/>
      <c r="H345" s="426" t="e">
        <f>H344/C344-1</f>
        <v>#DIV/0!</v>
      </c>
      <c r="I345" s="426"/>
      <c r="J345" s="426"/>
      <c r="K345" s="426"/>
      <c r="L345" s="426"/>
      <c r="M345" s="426" t="e">
        <f>M344/H344-1</f>
        <v>#DIV/0!</v>
      </c>
      <c r="N345" s="426"/>
      <c r="O345" s="426"/>
      <c r="P345" s="426"/>
      <c r="Q345" s="426"/>
      <c r="R345" s="426" t="e">
        <f>R344/M344-1</f>
        <v>#DIV/0!</v>
      </c>
      <c r="S345" s="426"/>
      <c r="T345" s="426"/>
      <c r="U345" s="426"/>
      <c r="V345" s="426"/>
      <c r="W345" s="426" t="e">
        <f>W344/R344-1</f>
        <v>#DIV/0!</v>
      </c>
      <c r="X345" s="426"/>
      <c r="Y345" s="426"/>
      <c r="Z345" s="426"/>
      <c r="AA345" s="426"/>
      <c r="AB345" s="426" t="e">
        <f>AB344/W344-1</f>
        <v>#DIV/0!</v>
      </c>
      <c r="AC345" s="426"/>
      <c r="AD345" s="426"/>
      <c r="AE345" s="426"/>
      <c r="AF345" s="426"/>
      <c r="AG345" s="426" t="e">
        <f>AG344/AB344-1</f>
        <v>#DIV/0!</v>
      </c>
      <c r="AH345" s="426"/>
      <c r="AI345" s="426"/>
      <c r="AJ345" s="426"/>
      <c r="AK345" s="426"/>
      <c r="AL345" s="426" t="e">
        <f>AL344/AG344-1</f>
        <v>#DIV/0!</v>
      </c>
      <c r="AM345" s="426"/>
      <c r="AN345" s="426"/>
      <c r="AO345" s="426"/>
      <c r="AP345" s="426"/>
      <c r="AQ345" s="426" t="e">
        <f>AQ344/AL344-1</f>
        <v>#DIV/0!</v>
      </c>
      <c r="AR345" s="426"/>
      <c r="AS345" s="426"/>
      <c r="AT345" s="426"/>
      <c r="AU345" s="426"/>
      <c r="AV345" s="426" t="e">
        <f>AV344/AQ344-1</f>
        <v>#DIV/0!</v>
      </c>
      <c r="AW345" s="426"/>
      <c r="AX345" s="426"/>
      <c r="AY345" s="426"/>
      <c r="AZ345" s="426"/>
      <c r="BA345" s="426" t="e">
        <f>BA344/AV344-1</f>
        <v>#DIV/0!</v>
      </c>
      <c r="BB345" s="426"/>
      <c r="BC345" s="426"/>
      <c r="BD345" s="426"/>
      <c r="BE345" s="426"/>
      <c r="BF345" s="426" t="e">
        <f>BF344/BA344-1</f>
        <v>#DIV/0!</v>
      </c>
      <c r="BG345" s="426"/>
      <c r="BH345" s="426"/>
      <c r="BI345" s="426"/>
      <c r="BJ345" s="426"/>
      <c r="BK345" s="426" t="e">
        <f>BK344/BF344-1</f>
        <v>#DIV/0!</v>
      </c>
      <c r="BL345" s="426"/>
      <c r="BM345" s="426"/>
      <c r="BN345" s="426"/>
      <c r="BO345" s="426"/>
      <c r="BP345" s="426" t="e">
        <f>BP344/BK344-1</f>
        <v>#DIV/0!</v>
      </c>
      <c r="BQ345" s="426"/>
      <c r="BR345" s="426"/>
      <c r="BS345" s="426"/>
      <c r="BT345" s="426"/>
      <c r="BU345" s="426" t="e">
        <f>BU344/BP344-1</f>
        <v>#DIV/0!</v>
      </c>
      <c r="BV345" s="426"/>
      <c r="BW345" s="426"/>
      <c r="BX345" s="426"/>
      <c r="BY345" s="426"/>
      <c r="BZ345" s="426" t="e">
        <f>BZ344/BU344-1</f>
        <v>#DIV/0!</v>
      </c>
      <c r="CA345" s="426"/>
      <c r="CB345" s="426"/>
      <c r="CC345" s="426"/>
      <c r="CD345" s="426"/>
      <c r="CE345" s="426" t="e">
        <f>CE344/BZ344-1</f>
        <v>#DIV/0!</v>
      </c>
      <c r="CF345" s="426"/>
      <c r="CG345" s="426"/>
      <c r="CH345" s="426"/>
      <c r="CI345" s="426"/>
      <c r="CJ345" s="426" t="e">
        <f>CJ344/CE344-1</f>
        <v>#DIV/0!</v>
      </c>
      <c r="CK345" s="426"/>
      <c r="CL345" s="426"/>
      <c r="CM345" s="426"/>
      <c r="CN345" s="426"/>
      <c r="CO345" s="426" t="e">
        <f>CO344/CJ344-1</f>
        <v>#DIV/0!</v>
      </c>
      <c r="CP345" s="426" t="e">
        <f t="shared" ref="CP345:CR345" si="1755">CP344/CO344-1</f>
        <v>#DIV/0!</v>
      </c>
      <c r="CQ345" s="426" t="e">
        <f t="shared" si="1755"/>
        <v>#DIV/0!</v>
      </c>
      <c r="CR345" s="426" t="e">
        <f t="shared" si="1755"/>
        <v>#DIV/0!</v>
      </c>
      <c r="CS345" s="426" t="e">
        <f t="shared" ref="CS345" si="1756">CS344/CR344-1</f>
        <v>#DIV/0!</v>
      </c>
      <c r="CT345" s="426" t="e">
        <f t="shared" ref="CT345" si="1757">CT344/CS344-1</f>
        <v>#DIV/0!</v>
      </c>
      <c r="CU345" s="347"/>
      <c r="CV345" s="1363"/>
      <c r="CW345" s="347"/>
      <c r="CX345" s="347"/>
      <c r="CY345" s="347"/>
      <c r="CZ345" s="347"/>
      <c r="DA345" s="347"/>
    </row>
    <row r="346" spans="1:146" hidden="1" outlineLevel="1">
      <c r="B346" s="407" t="s">
        <v>51</v>
      </c>
      <c r="C346" s="426" t="e">
        <f>C344/C342</f>
        <v>#DIV/0!</v>
      </c>
      <c r="D346" s="426"/>
      <c r="E346" s="426"/>
      <c r="F346" s="426"/>
      <c r="G346" s="426"/>
      <c r="H346" s="426" t="e">
        <f>H344/H342</f>
        <v>#DIV/0!</v>
      </c>
      <c r="I346" s="426"/>
      <c r="J346" s="426"/>
      <c r="K346" s="426"/>
      <c r="L346" s="426"/>
      <c r="M346" s="426" t="e">
        <f>M344/M342</f>
        <v>#DIV/0!</v>
      </c>
      <c r="N346" s="426"/>
      <c r="O346" s="426"/>
      <c r="P346" s="426"/>
      <c r="Q346" s="426"/>
      <c r="R346" s="426" t="e">
        <f>R344/R342</f>
        <v>#DIV/0!</v>
      </c>
      <c r="S346" s="426"/>
      <c r="T346" s="426"/>
      <c r="U346" s="426"/>
      <c r="V346" s="426"/>
      <c r="W346" s="426" t="e">
        <f>W344/W342</f>
        <v>#DIV/0!</v>
      </c>
      <c r="X346" s="426"/>
      <c r="Y346" s="426"/>
      <c r="Z346" s="426"/>
      <c r="AA346" s="426"/>
      <c r="AB346" s="426" t="e">
        <f>AB344/AB342</f>
        <v>#DIV/0!</v>
      </c>
      <c r="AC346" s="426"/>
      <c r="AD346" s="426"/>
      <c r="AE346" s="426"/>
      <c r="AF346" s="426"/>
      <c r="AG346" s="426" t="e">
        <f>AG344/AG342</f>
        <v>#DIV/0!</v>
      </c>
      <c r="AH346" s="426"/>
      <c r="AI346" s="426"/>
      <c r="AJ346" s="426"/>
      <c r="AK346" s="426"/>
      <c r="AL346" s="426" t="e">
        <f>AL344/AL342</f>
        <v>#DIV/0!</v>
      </c>
      <c r="AM346" s="426"/>
      <c r="AN346" s="426"/>
      <c r="AO346" s="426"/>
      <c r="AP346" s="426"/>
      <c r="AQ346" s="426" t="e">
        <f>AQ344/AQ342</f>
        <v>#DIV/0!</v>
      </c>
      <c r="AR346" s="426"/>
      <c r="AS346" s="426"/>
      <c r="AT346" s="426"/>
      <c r="AU346" s="426"/>
      <c r="AV346" s="426" t="e">
        <f>AV344/AV342</f>
        <v>#DIV/0!</v>
      </c>
      <c r="AW346" s="426"/>
      <c r="AX346" s="426"/>
      <c r="AY346" s="426"/>
      <c r="AZ346" s="426"/>
      <c r="BA346" s="426" t="e">
        <f>BA344/BA342</f>
        <v>#DIV/0!</v>
      </c>
      <c r="BB346" s="426"/>
      <c r="BC346" s="426"/>
      <c r="BD346" s="426"/>
      <c r="BE346" s="426"/>
      <c r="BF346" s="426" t="e">
        <f>BF344/BF342</f>
        <v>#DIV/0!</v>
      </c>
      <c r="BG346" s="426"/>
      <c r="BH346" s="426"/>
      <c r="BI346" s="426"/>
      <c r="BJ346" s="426"/>
      <c r="BK346" s="426" t="e">
        <f>BK344/BK342</f>
        <v>#DIV/0!</v>
      </c>
      <c r="BL346" s="426"/>
      <c r="BM346" s="426"/>
      <c r="BN346" s="426"/>
      <c r="BO346" s="426"/>
      <c r="BP346" s="426" t="e">
        <f>BP344/BP342</f>
        <v>#DIV/0!</v>
      </c>
      <c r="BQ346" s="426"/>
      <c r="BR346" s="426"/>
      <c r="BS346" s="426"/>
      <c r="BT346" s="426"/>
      <c r="BU346" s="426" t="e">
        <f>BU344/BU342</f>
        <v>#DIV/0!</v>
      </c>
      <c r="BV346" s="426"/>
      <c r="BW346" s="426"/>
      <c r="BX346" s="426"/>
      <c r="BY346" s="426"/>
      <c r="BZ346" s="426" t="e">
        <f>BZ344/BZ342</f>
        <v>#DIV/0!</v>
      </c>
      <c r="CA346" s="426"/>
      <c r="CB346" s="426"/>
      <c r="CC346" s="426"/>
      <c r="CD346" s="426"/>
      <c r="CE346" s="426" t="e">
        <f>CE344/CE342</f>
        <v>#DIV/0!</v>
      </c>
      <c r="CF346" s="426"/>
      <c r="CG346" s="426"/>
      <c r="CH346" s="426"/>
      <c r="CI346" s="426"/>
      <c r="CJ346" s="426" t="e">
        <f>CJ344/CJ342</f>
        <v>#DIV/0!</v>
      </c>
      <c r="CK346" s="426"/>
      <c r="CL346" s="426"/>
      <c r="CM346" s="426"/>
      <c r="CN346" s="426"/>
      <c r="CO346" s="426" t="e">
        <f t="shared" ref="CO346:CR346" si="1758">CO344/CO342</f>
        <v>#DIV/0!</v>
      </c>
      <c r="CP346" s="426" t="e">
        <f t="shared" si="1758"/>
        <v>#DIV/0!</v>
      </c>
      <c r="CQ346" s="426" t="e">
        <f t="shared" si="1758"/>
        <v>#DIV/0!</v>
      </c>
      <c r="CR346" s="426" t="e">
        <f t="shared" si="1758"/>
        <v>#DIV/0!</v>
      </c>
      <c r="CS346" s="426" t="e">
        <f t="shared" ref="CS346:CT346" si="1759">CS344/CS342</f>
        <v>#DIV/0!</v>
      </c>
      <c r="CT346" s="426" t="e">
        <f t="shared" si="1759"/>
        <v>#DIV/0!</v>
      </c>
      <c r="CU346" s="347"/>
      <c r="CV346" s="1363"/>
      <c r="CW346" s="347"/>
      <c r="CX346" s="347"/>
      <c r="CY346" s="347"/>
      <c r="CZ346" s="347"/>
      <c r="DA346" s="347"/>
    </row>
    <row r="347" spans="1:146" hidden="1" outlineLevel="1">
      <c r="B347" s="407"/>
      <c r="C347" s="426"/>
      <c r="D347" s="426"/>
      <c r="E347" s="426"/>
      <c r="F347" s="426"/>
      <c r="G347" s="426"/>
      <c r="H347" s="426"/>
      <c r="I347" s="426"/>
      <c r="J347" s="426"/>
      <c r="K347" s="426"/>
      <c r="L347" s="426"/>
      <c r="M347" s="426"/>
      <c r="N347" s="426"/>
      <c r="O347" s="426"/>
      <c r="P347" s="426"/>
      <c r="Q347" s="426"/>
      <c r="R347" s="426"/>
      <c r="S347" s="426"/>
      <c r="T347" s="426"/>
      <c r="U347" s="426"/>
      <c r="V347" s="426"/>
      <c r="W347" s="426"/>
      <c r="X347" s="426"/>
      <c r="Y347" s="426"/>
      <c r="Z347" s="426"/>
      <c r="AA347" s="426"/>
      <c r="AB347" s="426"/>
      <c r="AC347" s="426"/>
      <c r="AD347" s="426"/>
      <c r="AE347" s="426"/>
      <c r="AF347" s="426"/>
      <c r="AG347" s="426"/>
      <c r="AH347" s="426"/>
      <c r="AI347" s="426"/>
      <c r="AJ347" s="426"/>
      <c r="AK347" s="426"/>
      <c r="AL347" s="426"/>
      <c r="AM347" s="426"/>
      <c r="AN347" s="426"/>
      <c r="AO347" s="426"/>
      <c r="AP347" s="426"/>
      <c r="AQ347" s="426"/>
      <c r="AR347" s="426"/>
      <c r="AS347" s="426"/>
      <c r="AT347" s="426"/>
      <c r="AU347" s="426"/>
      <c r="AV347" s="426"/>
      <c r="AW347" s="426"/>
      <c r="AX347" s="426"/>
      <c r="AY347" s="426"/>
      <c r="AZ347" s="426"/>
      <c r="BA347" s="426"/>
      <c r="BB347" s="426"/>
      <c r="BC347" s="426"/>
      <c r="BD347" s="426"/>
      <c r="BE347" s="426"/>
      <c r="BF347" s="426"/>
      <c r="BG347" s="426"/>
      <c r="BH347" s="426"/>
      <c r="BI347" s="426"/>
      <c r="BJ347" s="426"/>
      <c r="BK347" s="426"/>
      <c r="BL347" s="426"/>
      <c r="BM347" s="426"/>
      <c r="BN347" s="426"/>
      <c r="BO347" s="426"/>
      <c r="BP347" s="426"/>
      <c r="BQ347" s="426"/>
      <c r="BR347" s="426"/>
      <c r="BS347" s="426"/>
      <c r="BT347" s="426"/>
      <c r="BU347" s="426"/>
      <c r="BV347" s="426"/>
      <c r="BW347" s="426"/>
      <c r="BX347" s="426"/>
      <c r="BY347" s="426"/>
      <c r="BZ347" s="426"/>
      <c r="CA347" s="426"/>
      <c r="CB347" s="426"/>
      <c r="CC347" s="426"/>
      <c r="CD347" s="426"/>
      <c r="CE347" s="426"/>
      <c r="CF347" s="426"/>
      <c r="CG347" s="426"/>
      <c r="CH347" s="426"/>
      <c r="CI347" s="426"/>
      <c r="CJ347" s="426"/>
      <c r="CK347" s="426"/>
      <c r="CL347" s="426"/>
      <c r="CM347" s="426"/>
      <c r="CN347" s="426"/>
      <c r="CO347" s="426"/>
      <c r="CP347" s="426"/>
      <c r="CQ347" s="426"/>
      <c r="CR347" s="426"/>
      <c r="CS347" s="426"/>
      <c r="CT347" s="426"/>
      <c r="CU347" s="347"/>
      <c r="CV347" s="1363"/>
      <c r="CW347" s="347"/>
      <c r="CX347" s="347"/>
      <c r="CY347" s="347"/>
      <c r="CZ347" s="347"/>
      <c r="DA347" s="347"/>
    </row>
    <row r="348" spans="1:146" hidden="1" outlineLevel="1">
      <c r="B348" s="407" t="s">
        <v>52</v>
      </c>
      <c r="C348" s="475"/>
      <c r="D348" s="475"/>
      <c r="E348" s="475"/>
      <c r="F348" s="475"/>
      <c r="G348" s="475"/>
      <c r="H348" s="475"/>
      <c r="I348" s="475"/>
      <c r="J348" s="475"/>
      <c r="K348" s="475"/>
      <c r="L348" s="475"/>
      <c r="M348" s="475"/>
      <c r="N348" s="475"/>
      <c r="O348" s="475"/>
      <c r="P348" s="475"/>
      <c r="Q348" s="475"/>
      <c r="R348" s="475"/>
      <c r="S348" s="475"/>
      <c r="T348" s="475"/>
      <c r="U348" s="475"/>
      <c r="V348" s="475"/>
      <c r="W348" s="473">
        <f>R348*(1+W349)</f>
        <v>0</v>
      </c>
      <c r="X348" s="473"/>
      <c r="Y348" s="473"/>
      <c r="Z348" s="473"/>
      <c r="AA348" s="473"/>
      <c r="AB348" s="473">
        <f>W348*(1+AB349)</f>
        <v>0</v>
      </c>
      <c r="AC348" s="473"/>
      <c r="AD348" s="473"/>
      <c r="AE348" s="473"/>
      <c r="AF348" s="473"/>
      <c r="AG348" s="473">
        <f>AB348*(1+AG349)</f>
        <v>0</v>
      </c>
      <c r="AH348" s="473"/>
      <c r="AI348" s="473"/>
      <c r="AJ348" s="473"/>
      <c r="AK348" s="473"/>
      <c r="AL348" s="473">
        <f>AG348*(1+AL349)</f>
        <v>0</v>
      </c>
      <c r="AM348" s="473"/>
      <c r="AN348" s="473"/>
      <c r="AO348" s="473"/>
      <c r="AP348" s="473"/>
      <c r="AQ348" s="473">
        <f>1278-AQ342</f>
        <v>1278</v>
      </c>
      <c r="AR348" s="473"/>
      <c r="AS348" s="473"/>
      <c r="AT348" s="473"/>
      <c r="AU348" s="473"/>
      <c r="AV348" s="473">
        <f>AQ348*(1+AV349)</f>
        <v>1278</v>
      </c>
      <c r="AW348" s="473"/>
      <c r="AX348" s="473"/>
      <c r="AY348" s="473"/>
      <c r="AZ348" s="473"/>
      <c r="BA348" s="473">
        <f>AV348*(1+BA349)</f>
        <v>1278</v>
      </c>
      <c r="BB348" s="473"/>
      <c r="BC348" s="473"/>
      <c r="BD348" s="473"/>
      <c r="BE348" s="473"/>
      <c r="BF348" s="473">
        <f>BA348*(1+BF349)</f>
        <v>1278</v>
      </c>
      <c r="BG348" s="473"/>
      <c r="BH348" s="473"/>
      <c r="BI348" s="473"/>
      <c r="BJ348" s="473"/>
      <c r="BK348" s="473">
        <f>BF348*(1+BK349)</f>
        <v>1278</v>
      </c>
      <c r="BL348" s="473"/>
      <c r="BM348" s="473"/>
      <c r="BN348" s="473"/>
      <c r="BO348" s="473"/>
      <c r="BP348" s="473">
        <f>BK348*(1+BP349)</f>
        <v>1278</v>
      </c>
      <c r="BQ348" s="473"/>
      <c r="BR348" s="473"/>
      <c r="BS348" s="473"/>
      <c r="BT348" s="473"/>
      <c r="BU348" s="473">
        <f>BP348*(1+BU349)</f>
        <v>1278</v>
      </c>
      <c r="BV348" s="473"/>
      <c r="BW348" s="473"/>
      <c r="BX348" s="473"/>
      <c r="BY348" s="473"/>
      <c r="BZ348" s="473">
        <f>BU348*(1+BZ349)</f>
        <v>1278</v>
      </c>
      <c r="CA348" s="473"/>
      <c r="CB348" s="473"/>
      <c r="CC348" s="473"/>
      <c r="CD348" s="473"/>
      <c r="CE348" s="473">
        <f>BZ348*(1+CE349)</f>
        <v>1278</v>
      </c>
      <c r="CF348" s="473"/>
      <c r="CG348" s="473"/>
      <c r="CH348" s="473"/>
      <c r="CI348" s="473"/>
      <c r="CJ348" s="473">
        <f>CE348*(1+CJ349)</f>
        <v>1278</v>
      </c>
      <c r="CK348" s="473"/>
      <c r="CL348" s="473"/>
      <c r="CM348" s="473"/>
      <c r="CN348" s="473"/>
      <c r="CO348" s="473">
        <f>CJ348*(1+CO349)</f>
        <v>1278</v>
      </c>
      <c r="CP348" s="473">
        <f t="shared" ref="CP348:CR348" si="1760">CO348*(1+CP349)</f>
        <v>1278</v>
      </c>
      <c r="CQ348" s="473">
        <f t="shared" si="1760"/>
        <v>1278</v>
      </c>
      <c r="CR348" s="473">
        <f t="shared" si="1760"/>
        <v>1278</v>
      </c>
      <c r="CS348" s="473">
        <f t="shared" ref="CS348" si="1761">CR348*(1+CS349)</f>
        <v>1278</v>
      </c>
      <c r="CT348" s="473">
        <f t="shared" ref="CT348" si="1762">CS348*(1+CT349)</f>
        <v>1278</v>
      </c>
      <c r="CU348" s="347"/>
      <c r="CV348" s="1363"/>
      <c r="CW348" s="347"/>
      <c r="CX348" s="347"/>
      <c r="CY348" s="347"/>
      <c r="CZ348" s="347"/>
      <c r="DA348" s="347"/>
      <c r="EC348" s="399"/>
      <c r="EH348" s="399"/>
      <c r="EI348" s="399"/>
      <c r="EJ348" s="399"/>
      <c r="EK348" s="399"/>
      <c r="EL348" s="399"/>
    </row>
    <row r="349" spans="1:146" hidden="1" outlineLevel="1">
      <c r="B349" s="407" t="s">
        <v>39</v>
      </c>
      <c r="C349" s="426"/>
      <c r="D349" s="426"/>
      <c r="E349" s="426"/>
      <c r="F349" s="426"/>
      <c r="G349" s="426"/>
      <c r="H349" s="426" t="e">
        <f>H348/C348-1</f>
        <v>#DIV/0!</v>
      </c>
      <c r="I349" s="426"/>
      <c r="J349" s="426"/>
      <c r="K349" s="426"/>
      <c r="L349" s="426"/>
      <c r="M349" s="426" t="e">
        <f>M348/H348-1</f>
        <v>#DIV/0!</v>
      </c>
      <c r="N349" s="426"/>
      <c r="O349" s="426"/>
      <c r="P349" s="426"/>
      <c r="Q349" s="426"/>
      <c r="R349" s="426" t="e">
        <f>R348/M348-1</f>
        <v>#DIV/0!</v>
      </c>
      <c r="S349" s="426"/>
      <c r="T349" s="426"/>
      <c r="U349" s="426"/>
      <c r="V349" s="426"/>
      <c r="W349" s="430"/>
      <c r="X349" s="430"/>
      <c r="Y349" s="430"/>
      <c r="Z349" s="430"/>
      <c r="AA349" s="430"/>
      <c r="AB349" s="430"/>
      <c r="AC349" s="430"/>
      <c r="AD349" s="430"/>
      <c r="AE349" s="430"/>
      <c r="AF349" s="430"/>
      <c r="AG349" s="430"/>
      <c r="AH349" s="430"/>
      <c r="AI349" s="430"/>
      <c r="AJ349" s="430"/>
      <c r="AK349" s="430"/>
      <c r="AL349" s="430"/>
      <c r="AM349" s="430"/>
      <c r="AN349" s="430"/>
      <c r="AO349" s="430"/>
      <c r="AP349" s="430"/>
      <c r="AQ349" s="430"/>
      <c r="AR349" s="430"/>
      <c r="AS349" s="430"/>
      <c r="AT349" s="430"/>
      <c r="AU349" s="430"/>
      <c r="AV349" s="430"/>
      <c r="AW349" s="430"/>
      <c r="AX349" s="430"/>
      <c r="AY349" s="430"/>
      <c r="AZ349" s="430"/>
      <c r="BA349" s="430"/>
      <c r="BB349" s="430"/>
      <c r="BC349" s="430"/>
      <c r="BD349" s="430"/>
      <c r="BE349" s="430"/>
      <c r="BF349" s="430"/>
      <c r="BG349" s="430"/>
      <c r="BH349" s="430"/>
      <c r="BI349" s="430"/>
      <c r="BJ349" s="430"/>
      <c r="BK349" s="430"/>
      <c r="BL349" s="426"/>
      <c r="BM349" s="426"/>
      <c r="BN349" s="426"/>
      <c r="BO349" s="426"/>
      <c r="BP349" s="430"/>
      <c r="BQ349" s="430"/>
      <c r="BR349" s="430"/>
      <c r="BS349" s="430"/>
      <c r="BT349" s="430"/>
      <c r="BU349" s="430"/>
      <c r="BV349" s="430"/>
      <c r="BW349" s="430"/>
      <c r="BX349" s="430"/>
      <c r="BY349" s="430"/>
      <c r="BZ349" s="430"/>
      <c r="CA349" s="430"/>
      <c r="CB349" s="430"/>
      <c r="CC349" s="430"/>
      <c r="CD349" s="430"/>
      <c r="CE349" s="430"/>
      <c r="CF349" s="430"/>
      <c r="CG349" s="430"/>
      <c r="CH349" s="430"/>
      <c r="CI349" s="430"/>
      <c r="CJ349" s="430"/>
      <c r="CK349" s="430"/>
      <c r="CL349" s="430"/>
      <c r="CM349" s="430"/>
      <c r="CN349" s="430"/>
      <c r="CO349" s="430"/>
      <c r="CP349" s="430"/>
      <c r="CQ349" s="430"/>
      <c r="CR349" s="430"/>
      <c r="CS349" s="430"/>
      <c r="CT349" s="430"/>
      <c r="CU349" s="347"/>
      <c r="CV349" s="1363"/>
      <c r="CW349" s="347"/>
      <c r="CX349" s="347"/>
      <c r="CY349" s="347"/>
      <c r="CZ349" s="347"/>
      <c r="DA349" s="347"/>
    </row>
    <row r="350" spans="1:146" hidden="1" outlineLevel="1">
      <c r="B350" s="407" t="s">
        <v>53</v>
      </c>
      <c r="C350" s="426" t="e">
        <f>(C344+C348)/(C340+C348)</f>
        <v>#DIV/0!</v>
      </c>
      <c r="D350" s="426"/>
      <c r="E350" s="426"/>
      <c r="F350" s="426"/>
      <c r="G350" s="426"/>
      <c r="H350" s="426" t="e">
        <f>(H344+H348)/(H340+H348)</f>
        <v>#DIV/0!</v>
      </c>
      <c r="I350" s="426"/>
      <c r="J350" s="426"/>
      <c r="K350" s="426"/>
      <c r="L350" s="426"/>
      <c r="M350" s="426" t="e">
        <f>(M344+M348)/(M340+M348)</f>
        <v>#DIV/0!</v>
      </c>
      <c r="N350" s="426"/>
      <c r="O350" s="426"/>
      <c r="P350" s="426"/>
      <c r="Q350" s="426"/>
      <c r="R350" s="426" t="e">
        <f>(R344+R348)/(R340+R348)</f>
        <v>#DIV/0!</v>
      </c>
      <c r="S350" s="426"/>
      <c r="T350" s="426"/>
      <c r="U350" s="426"/>
      <c r="V350" s="426"/>
      <c r="W350" s="426" t="e">
        <f>(W344+W348)/(W340+W348)</f>
        <v>#DIV/0!</v>
      </c>
      <c r="X350" s="426"/>
      <c r="Y350" s="426"/>
      <c r="Z350" s="426"/>
      <c r="AA350" s="426"/>
      <c r="AB350" s="426" t="e">
        <f>(AB344+AB348)/(AB340+AB348)</f>
        <v>#DIV/0!</v>
      </c>
      <c r="AC350" s="426"/>
      <c r="AD350" s="426"/>
      <c r="AE350" s="426"/>
      <c r="AF350" s="426"/>
      <c r="AG350" s="426" t="e">
        <f>(AG344+AG348)/(AG340+AG348)</f>
        <v>#DIV/0!</v>
      </c>
      <c r="AH350" s="426"/>
      <c r="AI350" s="426"/>
      <c r="AJ350" s="426"/>
      <c r="AK350" s="426"/>
      <c r="AL350" s="426" t="e">
        <f>(AL344+AL348)/(AL340+AL348)</f>
        <v>#DIV/0!</v>
      </c>
      <c r="AM350" s="426"/>
      <c r="AN350" s="426"/>
      <c r="AO350" s="426"/>
      <c r="AP350" s="426"/>
      <c r="AQ350" s="426">
        <f>(AQ344+AQ348)/(AQ340+AQ348)</f>
        <v>1</v>
      </c>
      <c r="AR350" s="426"/>
      <c r="AS350" s="426"/>
      <c r="AT350" s="426"/>
      <c r="AU350" s="426"/>
      <c r="AV350" s="426">
        <f>(AV344+AV348)/(AV340+AV348)</f>
        <v>1</v>
      </c>
      <c r="AW350" s="426"/>
      <c r="AX350" s="426"/>
      <c r="AY350" s="426"/>
      <c r="AZ350" s="426"/>
      <c r="BA350" s="426">
        <f>(BA344+BA348)/(BA340+BA348)</f>
        <v>1</v>
      </c>
      <c r="BB350" s="426"/>
      <c r="BC350" s="426"/>
      <c r="BD350" s="426"/>
      <c r="BE350" s="426"/>
      <c r="BF350" s="426">
        <f>(BF344+BF348)/(BF340+BF348)</f>
        <v>1</v>
      </c>
      <c r="BG350" s="426"/>
      <c r="BH350" s="426"/>
      <c r="BI350" s="426"/>
      <c r="BJ350" s="426"/>
      <c r="BK350" s="426">
        <f>(BK344+BK348)/(BK340+BK348)</f>
        <v>1</v>
      </c>
      <c r="BL350" s="426"/>
      <c r="BM350" s="426"/>
      <c r="BN350" s="426"/>
      <c r="BO350" s="426"/>
      <c r="BP350" s="426">
        <f>(BP344+BP348)/(BP340+BP348)</f>
        <v>1</v>
      </c>
      <c r="BQ350" s="426"/>
      <c r="BR350" s="426"/>
      <c r="BS350" s="426"/>
      <c r="BT350" s="426"/>
      <c r="BU350" s="426">
        <f>(BU344+BU348)/(BU340+BU348)</f>
        <v>1</v>
      </c>
      <c r="BV350" s="426"/>
      <c r="BW350" s="426"/>
      <c r="BX350" s="426"/>
      <c r="BY350" s="426"/>
      <c r="BZ350" s="426">
        <f>(BZ344+BZ348)/(BZ340+BZ348)</f>
        <v>1</v>
      </c>
      <c r="CA350" s="426"/>
      <c r="CB350" s="426"/>
      <c r="CC350" s="426"/>
      <c r="CD350" s="426"/>
      <c r="CE350" s="426">
        <f>(CE344+CE348)/(CE340+CE348)</f>
        <v>1</v>
      </c>
      <c r="CF350" s="426"/>
      <c r="CG350" s="426"/>
      <c r="CH350" s="426"/>
      <c r="CI350" s="426"/>
      <c r="CJ350" s="426">
        <f>(CJ344+CJ348)/(CJ340+CJ348)</f>
        <v>1</v>
      </c>
      <c r="CK350" s="426"/>
      <c r="CL350" s="426"/>
      <c r="CM350" s="426"/>
      <c r="CN350" s="426"/>
      <c r="CO350" s="426">
        <f t="shared" ref="CO350:CR350" si="1763">(CO344+CO348)/(CO340+CO348)</f>
        <v>1</v>
      </c>
      <c r="CP350" s="426">
        <f t="shared" si="1763"/>
        <v>1</v>
      </c>
      <c r="CQ350" s="426">
        <f t="shared" si="1763"/>
        <v>1</v>
      </c>
      <c r="CR350" s="426">
        <f t="shared" si="1763"/>
        <v>1</v>
      </c>
      <c r="CS350" s="426">
        <f t="shared" ref="CS350:CT350" si="1764">(CS344+CS348)/(CS340+CS348)</f>
        <v>1</v>
      </c>
      <c r="CT350" s="426">
        <f t="shared" si="1764"/>
        <v>1</v>
      </c>
      <c r="CU350" s="347"/>
      <c r="CV350" s="1363"/>
      <c r="CW350" s="347"/>
      <c r="CX350" s="347"/>
      <c r="CY350" s="347"/>
      <c r="CZ350" s="347"/>
      <c r="DA350" s="347"/>
    </row>
    <row r="351" spans="1:146" hidden="1" outlineLevel="1">
      <c r="B351" s="407" t="s">
        <v>54</v>
      </c>
      <c r="C351" s="473">
        <f>C344+C348</f>
        <v>0</v>
      </c>
      <c r="D351" s="473"/>
      <c r="E351" s="473"/>
      <c r="F351" s="473"/>
      <c r="G351" s="473"/>
      <c r="H351" s="473">
        <f>H344+H348</f>
        <v>0</v>
      </c>
      <c r="I351" s="473"/>
      <c r="J351" s="473"/>
      <c r="K351" s="473"/>
      <c r="L351" s="473"/>
      <c r="M351" s="473">
        <f>M344+M348</f>
        <v>0</v>
      </c>
      <c r="N351" s="473"/>
      <c r="O351" s="473"/>
      <c r="P351" s="473"/>
      <c r="Q351" s="473"/>
      <c r="R351" s="473">
        <f>R344+R348</f>
        <v>0</v>
      </c>
      <c r="S351" s="473"/>
      <c r="T351" s="473"/>
      <c r="U351" s="473"/>
      <c r="V351" s="473"/>
      <c r="W351" s="473">
        <f>W344+W348</f>
        <v>0</v>
      </c>
      <c r="X351" s="473"/>
      <c r="Y351" s="473"/>
      <c r="Z351" s="473"/>
      <c r="AA351" s="473"/>
      <c r="AB351" s="473">
        <f>AB344+AB348</f>
        <v>0</v>
      </c>
      <c r="AC351" s="473"/>
      <c r="AD351" s="473"/>
      <c r="AE351" s="473"/>
      <c r="AF351" s="473"/>
      <c r="AG351" s="473">
        <f>AG344+AG348</f>
        <v>0</v>
      </c>
      <c r="AH351" s="473"/>
      <c r="AI351" s="473"/>
      <c r="AJ351" s="473"/>
      <c r="AK351" s="473"/>
      <c r="AL351" s="473">
        <f>AL344+AL348</f>
        <v>0</v>
      </c>
      <c r="AM351" s="473"/>
      <c r="AN351" s="473"/>
      <c r="AO351" s="473"/>
      <c r="AP351" s="473"/>
      <c r="AQ351" s="473">
        <f>AQ344+AQ348</f>
        <v>1278</v>
      </c>
      <c r="AR351" s="473"/>
      <c r="AS351" s="473"/>
      <c r="AT351" s="473"/>
      <c r="AU351" s="473"/>
      <c r="AV351" s="473">
        <f>AV344+AV348</f>
        <v>1278</v>
      </c>
      <c r="AW351" s="473"/>
      <c r="AX351" s="473"/>
      <c r="AY351" s="473"/>
      <c r="AZ351" s="473"/>
      <c r="BA351" s="473">
        <f>BA344+BA348</f>
        <v>1278</v>
      </c>
      <c r="BB351" s="473"/>
      <c r="BC351" s="473"/>
      <c r="BD351" s="473"/>
      <c r="BE351" s="473"/>
      <c r="BF351" s="473">
        <f>BF344+BF348</f>
        <v>1278</v>
      </c>
      <c r="BG351" s="473"/>
      <c r="BH351" s="473"/>
      <c r="BI351" s="473"/>
      <c r="BJ351" s="473"/>
      <c r="BK351" s="473">
        <f>BK344+BK348</f>
        <v>1278</v>
      </c>
      <c r="BL351" s="473"/>
      <c r="BM351" s="473"/>
      <c r="BN351" s="473"/>
      <c r="BO351" s="473"/>
      <c r="BP351" s="473">
        <f>BP344+BP348</f>
        <v>1278</v>
      </c>
      <c r="BQ351" s="473"/>
      <c r="BR351" s="473"/>
      <c r="BS351" s="473"/>
      <c r="BT351" s="473"/>
      <c r="BU351" s="473">
        <f>BU344+BU348</f>
        <v>1278</v>
      </c>
      <c r="BV351" s="473"/>
      <c r="BW351" s="473"/>
      <c r="BX351" s="473"/>
      <c r="BY351" s="473"/>
      <c r="BZ351" s="473">
        <f>BZ344+BZ348</f>
        <v>1278</v>
      </c>
      <c r="CA351" s="473"/>
      <c r="CB351" s="473"/>
      <c r="CC351" s="473"/>
      <c r="CD351" s="473"/>
      <c r="CE351" s="473">
        <f>CE344+CE348</f>
        <v>1278</v>
      </c>
      <c r="CF351" s="473"/>
      <c r="CG351" s="473"/>
      <c r="CH351" s="473"/>
      <c r="CI351" s="473"/>
      <c r="CJ351" s="473">
        <f>CJ344+CJ348</f>
        <v>1278</v>
      </c>
      <c r="CK351" s="473"/>
      <c r="CL351" s="473"/>
      <c r="CM351" s="473"/>
      <c r="CN351" s="473"/>
      <c r="CO351" s="473">
        <f t="shared" ref="CO351:CR351" si="1765">CO344+CO348</f>
        <v>1278</v>
      </c>
      <c r="CP351" s="473">
        <f t="shared" si="1765"/>
        <v>1278</v>
      </c>
      <c r="CQ351" s="473">
        <f t="shared" si="1765"/>
        <v>1278</v>
      </c>
      <c r="CR351" s="473">
        <f t="shared" si="1765"/>
        <v>1278</v>
      </c>
      <c r="CS351" s="473">
        <f t="shared" ref="CS351:CT351" si="1766">CS344+CS348</f>
        <v>1278</v>
      </c>
      <c r="CT351" s="473">
        <f t="shared" si="1766"/>
        <v>1278</v>
      </c>
      <c r="CU351" s="347"/>
      <c r="CV351" s="1363"/>
      <c r="CW351" s="347"/>
      <c r="CX351" s="347"/>
      <c r="CY351" s="347"/>
      <c r="CZ351" s="347"/>
      <c r="DA351" s="347"/>
    </row>
    <row r="352" spans="1:146" hidden="1" outlineLevel="1">
      <c r="B352" s="407" t="s">
        <v>39</v>
      </c>
      <c r="C352" s="426"/>
      <c r="D352" s="426"/>
      <c r="E352" s="426"/>
      <c r="F352" s="426"/>
      <c r="G352" s="426"/>
      <c r="H352" s="426" t="e">
        <f>H351/C351-1</f>
        <v>#DIV/0!</v>
      </c>
      <c r="I352" s="426"/>
      <c r="J352" s="426"/>
      <c r="K352" s="426"/>
      <c r="L352" s="426"/>
      <c r="M352" s="426" t="e">
        <f>M351/H351-1</f>
        <v>#DIV/0!</v>
      </c>
      <c r="N352" s="426"/>
      <c r="O352" s="426"/>
      <c r="P352" s="426"/>
      <c r="Q352" s="426"/>
      <c r="R352" s="426" t="e">
        <f>R351/M351-1</f>
        <v>#DIV/0!</v>
      </c>
      <c r="S352" s="426"/>
      <c r="T352" s="426"/>
      <c r="U352" s="426"/>
      <c r="V352" s="426"/>
      <c r="W352" s="426" t="e">
        <f>W351/R351-1</f>
        <v>#DIV/0!</v>
      </c>
      <c r="X352" s="426"/>
      <c r="Y352" s="426"/>
      <c r="Z352" s="426"/>
      <c r="AA352" s="426"/>
      <c r="AB352" s="426" t="e">
        <f>AB351/W351-1</f>
        <v>#DIV/0!</v>
      </c>
      <c r="AC352" s="426"/>
      <c r="AD352" s="426"/>
      <c r="AE352" s="426"/>
      <c r="AF352" s="426"/>
      <c r="AG352" s="426" t="e">
        <f>AG351/AB351-1</f>
        <v>#DIV/0!</v>
      </c>
      <c r="AH352" s="426"/>
      <c r="AI352" s="426"/>
      <c r="AJ352" s="426"/>
      <c r="AK352" s="426"/>
      <c r="AL352" s="426" t="e">
        <f>AL351/AG351-1</f>
        <v>#DIV/0!</v>
      </c>
      <c r="AM352" s="426"/>
      <c r="AN352" s="426"/>
      <c r="AO352" s="426"/>
      <c r="AP352" s="426"/>
      <c r="AQ352" s="426" t="e">
        <f>AQ351/AL351-1</f>
        <v>#DIV/0!</v>
      </c>
      <c r="AR352" s="426"/>
      <c r="AS352" s="426"/>
      <c r="AT352" s="426"/>
      <c r="AU352" s="426"/>
      <c r="AV352" s="426">
        <f>AV351/AQ351-1</f>
        <v>0</v>
      </c>
      <c r="AW352" s="426"/>
      <c r="AX352" s="426"/>
      <c r="AY352" s="426"/>
      <c r="AZ352" s="426"/>
      <c r="BA352" s="426">
        <f>BA351/AV351-1</f>
        <v>0</v>
      </c>
      <c r="BB352" s="426"/>
      <c r="BC352" s="426"/>
      <c r="BD352" s="426"/>
      <c r="BE352" s="426"/>
      <c r="BF352" s="426">
        <f>BF351/BA351-1</f>
        <v>0</v>
      </c>
      <c r="BG352" s="426"/>
      <c r="BH352" s="426"/>
      <c r="BI352" s="426"/>
      <c r="BJ352" s="426"/>
      <c r="BK352" s="426">
        <f>BK351/BF351-1</f>
        <v>0</v>
      </c>
      <c r="BL352" s="426"/>
      <c r="BM352" s="426"/>
      <c r="BN352" s="426"/>
      <c r="BO352" s="426"/>
      <c r="BP352" s="426">
        <f>BP351/BK351-1</f>
        <v>0</v>
      </c>
      <c r="BQ352" s="426"/>
      <c r="BR352" s="426"/>
      <c r="BS352" s="426"/>
      <c r="BT352" s="426"/>
      <c r="BU352" s="426">
        <f>BU351/BP351-1</f>
        <v>0</v>
      </c>
      <c r="BV352" s="426"/>
      <c r="BW352" s="426"/>
      <c r="BX352" s="426"/>
      <c r="BY352" s="426"/>
      <c r="BZ352" s="426">
        <f>BZ351/BU351-1</f>
        <v>0</v>
      </c>
      <c r="CA352" s="426"/>
      <c r="CB352" s="426"/>
      <c r="CC352" s="426"/>
      <c r="CD352" s="426"/>
      <c r="CE352" s="426">
        <f>CE351/BZ351-1</f>
        <v>0</v>
      </c>
      <c r="CF352" s="426"/>
      <c r="CG352" s="426"/>
      <c r="CH352" s="426"/>
      <c r="CI352" s="426"/>
      <c r="CJ352" s="426">
        <f>CJ351/CE351-1</f>
        <v>0</v>
      </c>
      <c r="CK352" s="426"/>
      <c r="CL352" s="426"/>
      <c r="CM352" s="426"/>
      <c r="CN352" s="426"/>
      <c r="CO352" s="426">
        <f>CO351/CJ351-1</f>
        <v>0</v>
      </c>
      <c r="CP352" s="426">
        <f t="shared" ref="CP352:CR352" si="1767">CP351/CO351-1</f>
        <v>0</v>
      </c>
      <c r="CQ352" s="426">
        <f t="shared" si="1767"/>
        <v>0</v>
      </c>
      <c r="CR352" s="426">
        <f t="shared" si="1767"/>
        <v>0</v>
      </c>
      <c r="CS352" s="426">
        <f t="shared" ref="CS352" si="1768">CS351/CR351-1</f>
        <v>0</v>
      </c>
      <c r="CT352" s="426">
        <f t="shared" ref="CT352" si="1769">CT351/CS351-1</f>
        <v>0</v>
      </c>
      <c r="CU352" s="347"/>
      <c r="CV352" s="1363"/>
      <c r="CW352" s="347"/>
      <c r="CX352" s="347"/>
      <c r="CY352" s="347"/>
      <c r="CZ352" s="347"/>
      <c r="DA352" s="347"/>
    </row>
    <row r="353" spans="1:149" hidden="1" outlineLevel="1">
      <c r="B353" s="407"/>
      <c r="C353" s="426"/>
      <c r="D353" s="426"/>
      <c r="E353" s="426"/>
      <c r="F353" s="426"/>
      <c r="G353" s="426"/>
      <c r="H353" s="426"/>
      <c r="I353" s="426"/>
      <c r="J353" s="426"/>
      <c r="K353" s="426"/>
      <c r="L353" s="426"/>
      <c r="M353" s="426"/>
      <c r="N353" s="426"/>
      <c r="O353" s="426"/>
      <c r="P353" s="426"/>
      <c r="Q353" s="426"/>
      <c r="R353" s="426"/>
      <c r="S353" s="426"/>
      <c r="T353" s="426"/>
      <c r="U353" s="426"/>
      <c r="V353" s="426"/>
      <c r="W353" s="426"/>
      <c r="X353" s="426"/>
      <c r="Y353" s="426"/>
      <c r="Z353" s="426"/>
      <c r="AA353" s="426"/>
      <c r="AB353" s="426"/>
      <c r="AC353" s="426"/>
      <c r="AD353" s="426"/>
      <c r="AE353" s="426"/>
      <c r="AF353" s="426"/>
      <c r="AG353" s="426"/>
      <c r="AH353" s="426"/>
      <c r="AI353" s="426"/>
      <c r="AJ353" s="426"/>
      <c r="AK353" s="426"/>
      <c r="AL353" s="426"/>
      <c r="AM353" s="426"/>
      <c r="AN353" s="426"/>
      <c r="AO353" s="426"/>
      <c r="AP353" s="426"/>
      <c r="AQ353" s="426"/>
      <c r="AR353" s="426"/>
      <c r="AS353" s="426"/>
      <c r="AT353" s="426"/>
      <c r="AU353" s="426"/>
      <c r="AV353" s="426"/>
      <c r="AW353" s="426"/>
      <c r="AX353" s="426"/>
      <c r="AY353" s="426"/>
      <c r="AZ353" s="426"/>
      <c r="BA353" s="426" t="e">
        <f>BA354/AB354-1</f>
        <v>#DIV/0!</v>
      </c>
      <c r="BB353" s="426"/>
      <c r="BC353" s="426"/>
      <c r="BD353" s="426"/>
      <c r="BE353" s="426"/>
      <c r="BF353" s="426"/>
      <c r="BG353" s="426"/>
      <c r="BH353" s="426"/>
      <c r="BI353" s="426"/>
      <c r="BJ353" s="426"/>
      <c r="BK353" s="426"/>
      <c r="BL353" s="426"/>
      <c r="BM353" s="426"/>
      <c r="BN353" s="426"/>
      <c r="BO353" s="426"/>
      <c r="BP353" s="426"/>
      <c r="BQ353" s="426"/>
      <c r="BR353" s="426"/>
      <c r="BS353" s="426"/>
      <c r="BT353" s="426"/>
      <c r="BU353" s="426"/>
      <c r="BV353" s="426"/>
      <c r="BW353" s="426"/>
      <c r="BX353" s="426"/>
      <c r="BY353" s="426"/>
      <c r="BZ353" s="426"/>
      <c r="CA353" s="426"/>
      <c r="CB353" s="426"/>
      <c r="CC353" s="426"/>
      <c r="CD353" s="426"/>
      <c r="CE353" s="426"/>
      <c r="CF353" s="426"/>
      <c r="CG353" s="426"/>
      <c r="CH353" s="426"/>
      <c r="CI353" s="426"/>
      <c r="CJ353" s="426"/>
      <c r="CK353" s="426"/>
      <c r="CL353" s="426"/>
      <c r="CM353" s="426"/>
      <c r="CN353" s="426"/>
      <c r="CO353" s="426"/>
      <c r="CP353" s="426"/>
      <c r="CQ353" s="426"/>
      <c r="CR353" s="426"/>
      <c r="CS353" s="426"/>
      <c r="CT353" s="426"/>
      <c r="CU353" s="347"/>
      <c r="CV353" s="1363"/>
      <c r="CW353" s="347"/>
      <c r="CX353" s="347"/>
      <c r="CY353" s="347"/>
      <c r="CZ353" s="347"/>
      <c r="DA353" s="347"/>
    </row>
    <row r="354" spans="1:149" hidden="1" outlineLevel="1">
      <c r="B354" s="469" t="s">
        <v>55</v>
      </c>
      <c r="C354" s="475"/>
      <c r="D354" s="475"/>
      <c r="E354" s="475"/>
      <c r="F354" s="475"/>
      <c r="G354" s="475"/>
      <c r="H354" s="475"/>
      <c r="I354" s="475"/>
      <c r="J354" s="475"/>
      <c r="K354" s="475"/>
      <c r="L354" s="475"/>
      <c r="M354" s="476"/>
      <c r="N354" s="476"/>
      <c r="O354" s="476"/>
      <c r="P354" s="476"/>
      <c r="Q354" s="476"/>
      <c r="R354" s="476"/>
      <c r="S354" s="476"/>
      <c r="T354" s="476"/>
      <c r="U354" s="476"/>
      <c r="V354" s="476"/>
      <c r="W354" s="477"/>
      <c r="X354" s="477"/>
      <c r="Y354" s="477"/>
      <c r="Z354" s="477"/>
      <c r="AA354" s="477"/>
      <c r="AB354" s="477"/>
      <c r="AC354" s="477"/>
      <c r="AD354" s="477"/>
      <c r="AE354" s="477"/>
      <c r="AF354" s="477"/>
      <c r="AG354" s="477"/>
      <c r="AH354" s="477"/>
      <c r="AI354" s="477"/>
      <c r="AJ354" s="477"/>
      <c r="AK354" s="477"/>
      <c r="AL354" s="477"/>
      <c r="AM354" s="477"/>
      <c r="AN354" s="477"/>
      <c r="AO354" s="477"/>
      <c r="AP354" s="477"/>
      <c r="AQ354" s="477"/>
      <c r="AR354" s="477"/>
      <c r="AS354" s="477"/>
      <c r="AT354" s="477"/>
      <c r="AU354" s="477"/>
      <c r="AV354" s="478">
        <f>AV356*AV351</f>
        <v>0</v>
      </c>
      <c r="AW354" s="478"/>
      <c r="AX354" s="478"/>
      <c r="AY354" s="478"/>
      <c r="AZ354" s="478"/>
      <c r="BA354" s="478">
        <f>BA356*BA351</f>
        <v>0</v>
      </c>
      <c r="BB354" s="478"/>
      <c r="BC354" s="478"/>
      <c r="BD354" s="478"/>
      <c r="BE354" s="478"/>
      <c r="BF354" s="478">
        <f>BF356*BF351</f>
        <v>0</v>
      </c>
      <c r="BG354" s="478"/>
      <c r="BH354" s="478"/>
      <c r="BI354" s="478"/>
      <c r="BJ354" s="478"/>
      <c r="BK354" s="478">
        <f>BK356*BK351</f>
        <v>0</v>
      </c>
      <c r="BL354" s="478"/>
      <c r="BM354" s="478"/>
      <c r="BN354" s="478"/>
      <c r="BO354" s="478"/>
      <c r="BP354" s="478">
        <f>BP356*BP351</f>
        <v>0</v>
      </c>
      <c r="BQ354" s="478"/>
      <c r="BR354" s="478"/>
      <c r="BS354" s="478"/>
      <c r="BT354" s="478"/>
      <c r="BU354" s="478">
        <f>BU356*BU351</f>
        <v>0</v>
      </c>
      <c r="BV354" s="478"/>
      <c r="BW354" s="478"/>
      <c r="BX354" s="478"/>
      <c r="BY354" s="478"/>
      <c r="BZ354" s="478">
        <f>BZ356*BZ351</f>
        <v>0</v>
      </c>
      <c r="CA354" s="478"/>
      <c r="CB354" s="478"/>
      <c r="CC354" s="478"/>
      <c r="CD354" s="478"/>
      <c r="CE354" s="478">
        <f>CE356*CE351</f>
        <v>0</v>
      </c>
      <c r="CF354" s="478"/>
      <c r="CG354" s="478"/>
      <c r="CH354" s="478"/>
      <c r="CI354" s="478"/>
      <c r="CJ354" s="478">
        <f>CJ356*CJ351</f>
        <v>0</v>
      </c>
      <c r="CK354" s="478"/>
      <c r="CL354" s="478"/>
      <c r="CM354" s="478"/>
      <c r="CN354" s="478"/>
      <c r="CO354" s="478">
        <f t="shared" ref="CO354:CR354" si="1770">CO356*CO351</f>
        <v>0</v>
      </c>
      <c r="CP354" s="478">
        <f t="shared" si="1770"/>
        <v>0</v>
      </c>
      <c r="CQ354" s="478">
        <f t="shared" si="1770"/>
        <v>0</v>
      </c>
      <c r="CR354" s="478">
        <f t="shared" si="1770"/>
        <v>0</v>
      </c>
      <c r="CS354" s="478">
        <f t="shared" ref="CS354:CT354" si="1771">CS356*CS351</f>
        <v>0</v>
      </c>
      <c r="CT354" s="478">
        <f t="shared" si="1771"/>
        <v>0</v>
      </c>
      <c r="CU354" s="347"/>
      <c r="CV354" s="1363"/>
      <c r="CW354" s="347"/>
      <c r="CX354" s="347"/>
      <c r="CY354" s="347"/>
      <c r="CZ354" s="347"/>
      <c r="DA354" s="347"/>
    </row>
    <row r="355" spans="1:149" hidden="1" outlineLevel="1">
      <c r="B355" s="407" t="s">
        <v>39</v>
      </c>
      <c r="C355" s="426"/>
      <c r="D355" s="426"/>
      <c r="E355" s="426"/>
      <c r="F355" s="426"/>
      <c r="G355" s="426"/>
      <c r="H355" s="426" t="e">
        <f>H354/C354-1</f>
        <v>#DIV/0!</v>
      </c>
      <c r="I355" s="426"/>
      <c r="J355" s="426"/>
      <c r="K355" s="426"/>
      <c r="L355" s="426"/>
      <c r="M355" s="426" t="e">
        <f>M354/H354-1</f>
        <v>#DIV/0!</v>
      </c>
      <c r="N355" s="426"/>
      <c r="O355" s="426"/>
      <c r="P355" s="426"/>
      <c r="Q355" s="426"/>
      <c r="R355" s="426" t="e">
        <f>R354/M354-1</f>
        <v>#DIV/0!</v>
      </c>
      <c r="S355" s="426"/>
      <c r="T355" s="426"/>
      <c r="U355" s="426"/>
      <c r="V355" s="426"/>
      <c r="W355" s="426" t="e">
        <f>W354/R354-1</f>
        <v>#DIV/0!</v>
      </c>
      <c r="X355" s="426"/>
      <c r="Y355" s="426"/>
      <c r="Z355" s="426"/>
      <c r="AA355" s="426"/>
      <c r="AB355" s="426" t="e">
        <f>AB354/W354-1</f>
        <v>#DIV/0!</v>
      </c>
      <c r="AC355" s="426"/>
      <c r="AD355" s="426"/>
      <c r="AE355" s="426"/>
      <c r="AF355" s="426"/>
      <c r="AG355" s="426" t="e">
        <f>AG354/AB354-1</f>
        <v>#DIV/0!</v>
      </c>
      <c r="AH355" s="426"/>
      <c r="AI355" s="426"/>
      <c r="AJ355" s="426"/>
      <c r="AK355" s="426"/>
      <c r="AL355" s="426" t="e">
        <f>AL354/AG354-1</f>
        <v>#DIV/0!</v>
      </c>
      <c r="AM355" s="426"/>
      <c r="AN355" s="426"/>
      <c r="AO355" s="426"/>
      <c r="AP355" s="426"/>
      <c r="AQ355" s="426" t="e">
        <f>AQ354/AL354-1</f>
        <v>#DIV/0!</v>
      </c>
      <c r="AR355" s="426"/>
      <c r="AS355" s="426"/>
      <c r="AT355" s="426"/>
      <c r="AU355" s="426"/>
      <c r="AV355" s="426" t="e">
        <f>AV354/AQ354-1</f>
        <v>#DIV/0!</v>
      </c>
      <c r="AW355" s="426"/>
      <c r="AX355" s="426"/>
      <c r="AY355" s="426"/>
      <c r="AZ355" s="426"/>
      <c r="BA355" s="426" t="e">
        <f>BA354/AV354-1</f>
        <v>#DIV/0!</v>
      </c>
      <c r="BB355" s="426"/>
      <c r="BC355" s="426"/>
      <c r="BD355" s="426"/>
      <c r="BE355" s="426"/>
      <c r="BF355" s="426" t="e">
        <f>BF354/BA354-1</f>
        <v>#DIV/0!</v>
      </c>
      <c r="BG355" s="426"/>
      <c r="BH355" s="426"/>
      <c r="BI355" s="426"/>
      <c r="BJ355" s="426"/>
      <c r="BK355" s="426" t="e">
        <f>BK354/BF354-1</f>
        <v>#DIV/0!</v>
      </c>
      <c r="BL355" s="426"/>
      <c r="BM355" s="426"/>
      <c r="BN355" s="426"/>
      <c r="BO355" s="426"/>
      <c r="BP355" s="426" t="e">
        <f>BP354/BK354-1</f>
        <v>#DIV/0!</v>
      </c>
      <c r="BQ355" s="426"/>
      <c r="BR355" s="426"/>
      <c r="BS355" s="426"/>
      <c r="BT355" s="426"/>
      <c r="BU355" s="426" t="e">
        <f>BU354/BP354-1</f>
        <v>#DIV/0!</v>
      </c>
      <c r="BV355" s="426"/>
      <c r="BW355" s="426"/>
      <c r="BX355" s="426"/>
      <c r="BY355" s="426"/>
      <c r="BZ355" s="426" t="e">
        <f>BZ354/BU354-1</f>
        <v>#DIV/0!</v>
      </c>
      <c r="CA355" s="426"/>
      <c r="CB355" s="426"/>
      <c r="CC355" s="426"/>
      <c r="CD355" s="426"/>
      <c r="CE355" s="426" t="e">
        <f>CE354/BZ354-1</f>
        <v>#DIV/0!</v>
      </c>
      <c r="CF355" s="426"/>
      <c r="CG355" s="426"/>
      <c r="CH355" s="426"/>
      <c r="CI355" s="426"/>
      <c r="CJ355" s="426" t="e">
        <f>CJ354/CE354-1</f>
        <v>#DIV/0!</v>
      </c>
      <c r="CK355" s="426"/>
      <c r="CL355" s="426"/>
      <c r="CM355" s="426"/>
      <c r="CN355" s="426"/>
      <c r="CO355" s="426" t="e">
        <f>CO354/CJ354-1</f>
        <v>#DIV/0!</v>
      </c>
      <c r="CP355" s="426" t="e">
        <f t="shared" ref="CP355:CR355" si="1772">CP354/CO354-1</f>
        <v>#DIV/0!</v>
      </c>
      <c r="CQ355" s="426" t="e">
        <f t="shared" si="1772"/>
        <v>#DIV/0!</v>
      </c>
      <c r="CR355" s="426" t="e">
        <f t="shared" si="1772"/>
        <v>#DIV/0!</v>
      </c>
      <c r="CS355" s="426" t="e">
        <f t="shared" ref="CS355" si="1773">CS354/CR354-1</f>
        <v>#DIV/0!</v>
      </c>
      <c r="CT355" s="426" t="e">
        <f t="shared" ref="CT355" si="1774">CT354/CS354-1</f>
        <v>#DIV/0!</v>
      </c>
      <c r="CU355" s="347"/>
      <c r="CV355" s="1363"/>
      <c r="CW355" s="347"/>
      <c r="CX355" s="347"/>
      <c r="CY355" s="347"/>
      <c r="CZ355" s="347"/>
      <c r="DA355" s="347"/>
    </row>
    <row r="356" spans="1:149" hidden="1" outlineLevel="1">
      <c r="B356" s="407" t="s">
        <v>56</v>
      </c>
      <c r="C356" s="426" t="e">
        <f>C354/(C344+C348)</f>
        <v>#DIV/0!</v>
      </c>
      <c r="D356" s="426"/>
      <c r="E356" s="426"/>
      <c r="F356" s="426"/>
      <c r="G356" s="426"/>
      <c r="H356" s="426" t="e">
        <f>H354/(H344+H348)</f>
        <v>#DIV/0!</v>
      </c>
      <c r="I356" s="426"/>
      <c r="J356" s="426"/>
      <c r="K356" s="426"/>
      <c r="L356" s="426"/>
      <c r="M356" s="426" t="e">
        <f>M354/(M344+M348)</f>
        <v>#DIV/0!</v>
      </c>
      <c r="N356" s="426"/>
      <c r="O356" s="426"/>
      <c r="P356" s="426"/>
      <c r="Q356" s="426"/>
      <c r="R356" s="426" t="e">
        <f>R354/(R344+R348)</f>
        <v>#DIV/0!</v>
      </c>
      <c r="S356" s="426"/>
      <c r="T356" s="426"/>
      <c r="U356" s="426"/>
      <c r="V356" s="426"/>
      <c r="W356" s="426" t="e">
        <f>W354/(W344+W348)</f>
        <v>#DIV/0!</v>
      </c>
      <c r="X356" s="426"/>
      <c r="Y356" s="426"/>
      <c r="Z356" s="426"/>
      <c r="AA356" s="426"/>
      <c r="AB356" s="426" t="e">
        <f>AB354/(AB344+AB348)</f>
        <v>#DIV/0!</v>
      </c>
      <c r="AC356" s="426"/>
      <c r="AD356" s="426"/>
      <c r="AE356" s="426"/>
      <c r="AF356" s="426"/>
      <c r="AG356" s="426" t="e">
        <f>AG354/(AG344+AG348)</f>
        <v>#DIV/0!</v>
      </c>
      <c r="AH356" s="426"/>
      <c r="AI356" s="426"/>
      <c r="AJ356" s="426"/>
      <c r="AK356" s="426"/>
      <c r="AL356" s="426" t="e">
        <f>AL354/(AL344+AL348)</f>
        <v>#DIV/0!</v>
      </c>
      <c r="AM356" s="426"/>
      <c r="AN356" s="426"/>
      <c r="AO356" s="426"/>
      <c r="AP356" s="426"/>
      <c r="AQ356" s="426">
        <f>AQ354/(AQ344+AQ348)</f>
        <v>0</v>
      </c>
      <c r="AR356" s="426"/>
      <c r="AS356" s="426"/>
      <c r="AT356" s="426"/>
      <c r="AU356" s="426"/>
      <c r="AV356" s="426"/>
      <c r="AW356" s="426"/>
      <c r="AX356" s="426"/>
      <c r="AY356" s="426"/>
      <c r="AZ356" s="426"/>
      <c r="BA356" s="426"/>
      <c r="BB356" s="426"/>
      <c r="BC356" s="426"/>
      <c r="BD356" s="426"/>
      <c r="BE356" s="426"/>
      <c r="BF356" s="426"/>
      <c r="BG356" s="426"/>
      <c r="BH356" s="426"/>
      <c r="BI356" s="426"/>
      <c r="BJ356" s="426"/>
      <c r="BK356" s="426"/>
      <c r="BL356" s="426"/>
      <c r="BM356" s="426"/>
      <c r="BN356" s="426"/>
      <c r="BO356" s="426"/>
      <c r="BP356" s="426"/>
      <c r="BQ356" s="426"/>
      <c r="BR356" s="426"/>
      <c r="BS356" s="426"/>
      <c r="BT356" s="426"/>
      <c r="BU356" s="426"/>
      <c r="BV356" s="426"/>
      <c r="BW356" s="426"/>
      <c r="BX356" s="426"/>
      <c r="BY356" s="426"/>
      <c r="BZ356" s="426"/>
      <c r="CA356" s="426"/>
      <c r="CB356" s="426"/>
      <c r="CC356" s="426"/>
      <c r="CD356" s="426"/>
      <c r="CE356" s="426"/>
      <c r="CF356" s="426"/>
      <c r="CG356" s="426"/>
      <c r="CH356" s="426"/>
      <c r="CI356" s="426"/>
      <c r="CJ356" s="426"/>
      <c r="CK356" s="426"/>
      <c r="CL356" s="426"/>
      <c r="CM356" s="426"/>
      <c r="CN356" s="426"/>
      <c r="CO356" s="426"/>
      <c r="CP356" s="426"/>
      <c r="CQ356" s="426"/>
      <c r="CR356" s="426"/>
      <c r="CS356" s="426"/>
      <c r="CT356" s="426"/>
      <c r="CU356" s="347"/>
      <c r="CV356" s="1363"/>
      <c r="CW356" s="347"/>
      <c r="CX356" s="347"/>
      <c r="CY356" s="347"/>
      <c r="CZ356" s="347"/>
      <c r="DA356" s="347"/>
    </row>
    <row r="357" spans="1:149" hidden="1" outlineLevel="1">
      <c r="B357" s="407" t="s">
        <v>57</v>
      </c>
      <c r="C357" s="426" t="e">
        <f>C356-#REF!</f>
        <v>#DIV/0!</v>
      </c>
      <c r="D357" s="426"/>
      <c r="E357" s="426"/>
      <c r="F357" s="426"/>
      <c r="G357" s="426"/>
      <c r="H357" s="426" t="e">
        <f>H356-C356</f>
        <v>#DIV/0!</v>
      </c>
      <c r="I357" s="426"/>
      <c r="J357" s="426"/>
      <c r="K357" s="426"/>
      <c r="L357" s="426"/>
      <c r="M357" s="426" t="e">
        <f>M356-H356</f>
        <v>#DIV/0!</v>
      </c>
      <c r="N357" s="426"/>
      <c r="O357" s="426"/>
      <c r="P357" s="426"/>
      <c r="Q357" s="426"/>
      <c r="R357" s="426" t="e">
        <f>R356-M356</f>
        <v>#DIV/0!</v>
      </c>
      <c r="S357" s="426"/>
      <c r="T357" s="426"/>
      <c r="U357" s="426"/>
      <c r="V357" s="426"/>
      <c r="W357" s="426" t="e">
        <f>W356-R356</f>
        <v>#DIV/0!</v>
      </c>
      <c r="X357" s="426"/>
      <c r="Y357" s="426"/>
      <c r="Z357" s="426"/>
      <c r="AA357" s="426"/>
      <c r="AB357" s="426" t="e">
        <f>AB356-W356</f>
        <v>#DIV/0!</v>
      </c>
      <c r="AC357" s="426"/>
      <c r="AD357" s="426"/>
      <c r="AE357" s="426"/>
      <c r="AF357" s="426"/>
      <c r="AG357" s="426" t="e">
        <f>AG356-AB356</f>
        <v>#DIV/0!</v>
      </c>
      <c r="AH357" s="426"/>
      <c r="AI357" s="426"/>
      <c r="AJ357" s="426"/>
      <c r="AK357" s="426"/>
      <c r="AL357" s="426" t="e">
        <f>AL356-AG356</f>
        <v>#DIV/0!</v>
      </c>
      <c r="AM357" s="426"/>
      <c r="AN357" s="426"/>
      <c r="AO357" s="426"/>
      <c r="AP357" s="426"/>
      <c r="AQ357" s="426" t="e">
        <f>AQ356-AL356</f>
        <v>#DIV/0!</v>
      </c>
      <c r="AR357" s="426"/>
      <c r="AS357" s="426"/>
      <c r="AT357" s="426"/>
      <c r="AU357" s="426"/>
      <c r="AV357" s="430">
        <v>-0.01</v>
      </c>
      <c r="AW357" s="430"/>
      <c r="AX357" s="430"/>
      <c r="AY357" s="430"/>
      <c r="AZ357" s="430"/>
      <c r="BA357" s="430">
        <v>-0.01</v>
      </c>
      <c r="BB357" s="430"/>
      <c r="BC357" s="430"/>
      <c r="BD357" s="430"/>
      <c r="BE357" s="430"/>
      <c r="BF357" s="430">
        <v>-0.01</v>
      </c>
      <c r="BG357" s="430"/>
      <c r="BH357" s="430"/>
      <c r="BI357" s="430"/>
      <c r="BJ357" s="430"/>
      <c r="BK357" s="430">
        <v>-0.01</v>
      </c>
      <c r="BL357" s="426"/>
      <c r="BM357" s="426"/>
      <c r="BN357" s="426"/>
      <c r="BO357" s="426"/>
      <c r="BP357" s="430">
        <v>-0.01</v>
      </c>
      <c r="BQ357" s="430"/>
      <c r="BR357" s="430"/>
      <c r="BS357" s="430"/>
      <c r="BT357" s="430"/>
      <c r="BU357" s="430">
        <v>-0.01</v>
      </c>
      <c r="BV357" s="430"/>
      <c r="BW357" s="430"/>
      <c r="BX357" s="430"/>
      <c r="BY357" s="430"/>
      <c r="BZ357" s="430">
        <v>-0.01</v>
      </c>
      <c r="CA357" s="430"/>
      <c r="CB357" s="430"/>
      <c r="CC357" s="430"/>
      <c r="CD357" s="430"/>
      <c r="CE357" s="430"/>
      <c r="CF357" s="430"/>
      <c r="CG357" s="430"/>
      <c r="CH357" s="430"/>
      <c r="CI357" s="430"/>
      <c r="CJ357" s="430"/>
      <c r="CK357" s="430"/>
      <c r="CL357" s="430"/>
      <c r="CM357" s="430"/>
      <c r="CN357" s="430"/>
      <c r="CO357" s="430">
        <v>3.99</v>
      </c>
      <c r="CP357" s="430">
        <v>4.99</v>
      </c>
      <c r="CQ357" s="430">
        <v>5.99</v>
      </c>
      <c r="CR357" s="430">
        <v>6.99</v>
      </c>
      <c r="CS357" s="430">
        <v>6.99</v>
      </c>
      <c r="CT357" s="430">
        <v>6.99</v>
      </c>
      <c r="CU357" s="347"/>
      <c r="CV357" s="1363"/>
      <c r="CW357" s="347"/>
      <c r="CX357" s="347"/>
      <c r="CY357" s="347"/>
      <c r="CZ357" s="347"/>
      <c r="DA357" s="347"/>
      <c r="EM357" s="399"/>
    </row>
    <row r="358" spans="1:149" hidden="1" outlineLevel="1">
      <c r="B358" s="469" t="s">
        <v>47</v>
      </c>
      <c r="C358" s="479"/>
      <c r="D358" s="479"/>
      <c r="E358" s="479"/>
      <c r="F358" s="479"/>
      <c r="G358" s="479"/>
      <c r="H358" s="479" t="e">
        <f>(H361/((H354+C354)/2)*1000)/12</f>
        <v>#DIV/0!</v>
      </c>
      <c r="I358" s="479"/>
      <c r="J358" s="479"/>
      <c r="K358" s="479"/>
      <c r="L358" s="479"/>
      <c r="M358" s="479" t="e">
        <f>(M361/((M354+H354)/2)*1000)/12</f>
        <v>#DIV/0!</v>
      </c>
      <c r="N358" s="479"/>
      <c r="O358" s="479"/>
      <c r="P358" s="479"/>
      <c r="Q358" s="479"/>
      <c r="R358" s="479" t="e">
        <f>(R361/((R354+M354)/2)*1000)/12</f>
        <v>#DIV/0!</v>
      </c>
      <c r="S358" s="479"/>
      <c r="T358" s="479"/>
      <c r="U358" s="479"/>
      <c r="V358" s="479"/>
      <c r="W358" s="479" t="e">
        <f>(W361/((W354+R354)/2)*1000)/12</f>
        <v>#DIV/0!</v>
      </c>
      <c r="X358" s="479"/>
      <c r="Y358" s="479"/>
      <c r="Z358" s="479"/>
      <c r="AA358" s="479"/>
      <c r="AB358" s="479" t="e">
        <f>(AB361/((AB354+W354)/2)*1000)/12</f>
        <v>#DIV/0!</v>
      </c>
      <c r="AC358" s="479"/>
      <c r="AD358" s="479"/>
      <c r="AE358" s="479"/>
      <c r="AF358" s="479"/>
      <c r="AG358" s="479" t="e">
        <f>(AG361/((AG354+AB354)/2)*1000)/12</f>
        <v>#DIV/0!</v>
      </c>
      <c r="AH358" s="479"/>
      <c r="AI358" s="479"/>
      <c r="AJ358" s="479"/>
      <c r="AK358" s="479"/>
      <c r="AL358" s="479" t="e">
        <f>(AL361/((AL354+AG354)/2)*1000)/12</f>
        <v>#DIV/0!</v>
      </c>
      <c r="AM358" s="479"/>
      <c r="AN358" s="479"/>
      <c r="AO358" s="479"/>
      <c r="AP358" s="479"/>
      <c r="AQ358" s="479" t="e">
        <f>(AQ361/((AQ354+AL354)/2)*1000)/12</f>
        <v>#DIV/0!</v>
      </c>
      <c r="AR358" s="479"/>
      <c r="AS358" s="479"/>
      <c r="AT358" s="479"/>
      <c r="AU358" s="479"/>
      <c r="AV358" s="479" t="e">
        <f>AQ358*(1+AV359)</f>
        <v>#DIV/0!</v>
      </c>
      <c r="AW358" s="479"/>
      <c r="AX358" s="479"/>
      <c r="AY358" s="479"/>
      <c r="AZ358" s="479"/>
      <c r="BA358" s="479" t="e">
        <f>AV358*(1+BA359)</f>
        <v>#DIV/0!</v>
      </c>
      <c r="BB358" s="479"/>
      <c r="BC358" s="479"/>
      <c r="BD358" s="479"/>
      <c r="BE358" s="479"/>
      <c r="BF358" s="479" t="e">
        <f>BA358*(1+BF359)</f>
        <v>#DIV/0!</v>
      </c>
      <c r="BG358" s="479"/>
      <c r="BH358" s="479"/>
      <c r="BI358" s="479"/>
      <c r="BJ358" s="479"/>
      <c r="BK358" s="479" t="e">
        <f>BF358*(1+BK359)</f>
        <v>#DIV/0!</v>
      </c>
      <c r="BL358" s="479"/>
      <c r="BM358" s="479"/>
      <c r="BN358" s="479"/>
      <c r="BO358" s="479"/>
      <c r="BP358" s="479" t="e">
        <f>BK358*(1+BP359)</f>
        <v>#DIV/0!</v>
      </c>
      <c r="BQ358" s="479"/>
      <c r="BR358" s="479"/>
      <c r="BS358" s="479"/>
      <c r="BT358" s="479"/>
      <c r="BU358" s="479" t="e">
        <f>BP358*(1+BU359)</f>
        <v>#DIV/0!</v>
      </c>
      <c r="BV358" s="479"/>
      <c r="BW358" s="479"/>
      <c r="BX358" s="479"/>
      <c r="BY358" s="479"/>
      <c r="BZ358" s="479" t="e">
        <f>BU358*(1+BZ359)</f>
        <v>#DIV/0!</v>
      </c>
      <c r="CA358" s="479"/>
      <c r="CB358" s="479"/>
      <c r="CC358" s="479"/>
      <c r="CD358" s="479"/>
      <c r="CE358" s="479" t="e">
        <f>BZ358*(1+CE359)</f>
        <v>#DIV/0!</v>
      </c>
      <c r="CF358" s="479"/>
      <c r="CG358" s="479"/>
      <c r="CH358" s="479"/>
      <c r="CI358" s="479"/>
      <c r="CJ358" s="479" t="e">
        <f>CE358*(1+CJ359)</f>
        <v>#DIV/0!</v>
      </c>
      <c r="CK358" s="479"/>
      <c r="CL358" s="479"/>
      <c r="CM358" s="479"/>
      <c r="CN358" s="479"/>
      <c r="CO358" s="479" t="e">
        <f>CJ358*(1+CO359)</f>
        <v>#DIV/0!</v>
      </c>
      <c r="CP358" s="479" t="e">
        <f t="shared" ref="CP358:CR358" si="1775">CO358*(1+CP359)</f>
        <v>#DIV/0!</v>
      </c>
      <c r="CQ358" s="479" t="e">
        <f t="shared" si="1775"/>
        <v>#DIV/0!</v>
      </c>
      <c r="CR358" s="479" t="e">
        <f t="shared" si="1775"/>
        <v>#DIV/0!</v>
      </c>
      <c r="CS358" s="479" t="e">
        <f t="shared" ref="CS358" si="1776">CR358*(1+CS359)</f>
        <v>#DIV/0!</v>
      </c>
      <c r="CT358" s="479" t="e">
        <f t="shared" ref="CT358" si="1777">CS358*(1+CT359)</f>
        <v>#DIV/0!</v>
      </c>
      <c r="CU358" s="347"/>
      <c r="CV358" s="1363"/>
      <c r="CW358" s="347"/>
      <c r="CX358" s="347"/>
      <c r="CY358" s="347"/>
      <c r="CZ358" s="347"/>
      <c r="DA358" s="347"/>
      <c r="EA358" s="399"/>
      <c r="EB358" s="399"/>
      <c r="EN358" s="399"/>
      <c r="EO358" s="399"/>
      <c r="EP358" s="399"/>
    </row>
    <row r="359" spans="1:149" hidden="1" outlineLevel="1">
      <c r="B359" s="407" t="s">
        <v>39</v>
      </c>
      <c r="C359" s="426"/>
      <c r="D359" s="426"/>
      <c r="E359" s="426"/>
      <c r="F359" s="426"/>
      <c r="G359" s="426"/>
      <c r="H359" s="426" t="e">
        <f>H358/C358-1</f>
        <v>#DIV/0!</v>
      </c>
      <c r="I359" s="426"/>
      <c r="J359" s="426"/>
      <c r="K359" s="426"/>
      <c r="L359" s="426"/>
      <c r="M359" s="426" t="e">
        <f>M358/H358-1</f>
        <v>#DIV/0!</v>
      </c>
      <c r="N359" s="426"/>
      <c r="O359" s="426"/>
      <c r="P359" s="426"/>
      <c r="Q359" s="426"/>
      <c r="R359" s="426" t="e">
        <f>R358/M358-1</f>
        <v>#DIV/0!</v>
      </c>
      <c r="S359" s="426"/>
      <c r="T359" s="426"/>
      <c r="U359" s="426"/>
      <c r="V359" s="426"/>
      <c r="W359" s="426" t="e">
        <f>W358/R358-1</f>
        <v>#DIV/0!</v>
      </c>
      <c r="X359" s="426"/>
      <c r="Y359" s="426"/>
      <c r="Z359" s="426"/>
      <c r="AA359" s="426"/>
      <c r="AB359" s="426" t="e">
        <f>AB358/W358-1</f>
        <v>#DIV/0!</v>
      </c>
      <c r="AC359" s="426"/>
      <c r="AD359" s="426"/>
      <c r="AE359" s="426"/>
      <c r="AF359" s="426"/>
      <c r="AG359" s="426" t="e">
        <f>AG358/AB358-1</f>
        <v>#DIV/0!</v>
      </c>
      <c r="AH359" s="426"/>
      <c r="AI359" s="426"/>
      <c r="AJ359" s="426"/>
      <c r="AK359" s="426"/>
      <c r="AL359" s="426" t="e">
        <f>AL358/AG358-1</f>
        <v>#DIV/0!</v>
      </c>
      <c r="AM359" s="426"/>
      <c r="AN359" s="426"/>
      <c r="AO359" s="426"/>
      <c r="AP359" s="426"/>
      <c r="AQ359" s="426" t="e">
        <f>AQ358/AL358-1</f>
        <v>#DIV/0!</v>
      </c>
      <c r="AR359" s="426"/>
      <c r="AS359" s="426"/>
      <c r="AT359" s="426"/>
      <c r="AU359" s="426"/>
      <c r="AV359" s="430">
        <v>0.05</v>
      </c>
      <c r="AW359" s="430"/>
      <c r="AX359" s="430"/>
      <c r="AY359" s="430"/>
      <c r="AZ359" s="430"/>
      <c r="BA359" s="430">
        <v>0.03</v>
      </c>
      <c r="BB359" s="430"/>
      <c r="BC359" s="430"/>
      <c r="BD359" s="430"/>
      <c r="BE359" s="430"/>
      <c r="BF359" s="430">
        <v>0.01</v>
      </c>
      <c r="BG359" s="430"/>
      <c r="BH359" s="430"/>
      <c r="BI359" s="430"/>
      <c r="BJ359" s="430"/>
      <c r="BK359" s="430">
        <v>0</v>
      </c>
      <c r="BL359" s="426"/>
      <c r="BM359" s="426"/>
      <c r="BN359" s="426"/>
      <c r="BO359" s="426"/>
      <c r="BP359" s="430">
        <v>0</v>
      </c>
      <c r="BQ359" s="430"/>
      <c r="BR359" s="430"/>
      <c r="BS359" s="430"/>
      <c r="BT359" s="430"/>
      <c r="BU359" s="430">
        <v>0</v>
      </c>
      <c r="BV359" s="430"/>
      <c r="BW359" s="430"/>
      <c r="BX359" s="430"/>
      <c r="BY359" s="430"/>
      <c r="BZ359" s="430">
        <v>0</v>
      </c>
      <c r="CA359" s="430"/>
      <c r="CB359" s="430"/>
      <c r="CC359" s="430"/>
      <c r="CD359" s="430"/>
      <c r="CE359" s="430"/>
      <c r="CF359" s="430"/>
      <c r="CG359" s="430"/>
      <c r="CH359" s="430"/>
      <c r="CI359" s="430"/>
      <c r="CJ359" s="430"/>
      <c r="CK359" s="430"/>
      <c r="CL359" s="430"/>
      <c r="CM359" s="430"/>
      <c r="CN359" s="430"/>
      <c r="CO359" s="430">
        <v>4</v>
      </c>
      <c r="CP359" s="430">
        <v>5</v>
      </c>
      <c r="CQ359" s="430">
        <v>6</v>
      </c>
      <c r="CR359" s="430">
        <v>7</v>
      </c>
      <c r="CS359" s="430">
        <v>7</v>
      </c>
      <c r="CT359" s="430">
        <v>7</v>
      </c>
      <c r="CU359" s="347"/>
      <c r="CV359" s="1363"/>
      <c r="CW359" s="347"/>
      <c r="CX359" s="347"/>
      <c r="CY359" s="347"/>
      <c r="CZ359" s="347"/>
      <c r="DA359" s="347"/>
    </row>
    <row r="360" spans="1:149" hidden="1" outlineLevel="1">
      <c r="B360" s="407"/>
      <c r="C360" s="426"/>
      <c r="D360" s="426"/>
      <c r="E360" s="426"/>
      <c r="F360" s="426"/>
      <c r="G360" s="426"/>
      <c r="H360" s="426"/>
      <c r="I360" s="426"/>
      <c r="J360" s="426"/>
      <c r="K360" s="426"/>
      <c r="L360" s="426"/>
      <c r="M360" s="426"/>
      <c r="N360" s="426"/>
      <c r="O360" s="426"/>
      <c r="P360" s="426"/>
      <c r="Q360" s="426"/>
      <c r="R360" s="426"/>
      <c r="S360" s="426"/>
      <c r="T360" s="426"/>
      <c r="U360" s="426"/>
      <c r="V360" s="426"/>
      <c r="W360" s="426"/>
      <c r="X360" s="426"/>
      <c r="Y360" s="426"/>
      <c r="Z360" s="426"/>
      <c r="AA360" s="426"/>
      <c r="AB360" s="426"/>
      <c r="AC360" s="426"/>
      <c r="AD360" s="426"/>
      <c r="AE360" s="426"/>
      <c r="AF360" s="426"/>
      <c r="AG360" s="426"/>
      <c r="AH360" s="426"/>
      <c r="AI360" s="426"/>
      <c r="AJ360" s="426"/>
      <c r="AK360" s="426"/>
      <c r="AL360" s="426"/>
      <c r="AM360" s="426"/>
      <c r="AN360" s="426"/>
      <c r="AO360" s="426"/>
      <c r="AP360" s="426"/>
      <c r="AQ360" s="426"/>
      <c r="AR360" s="426"/>
      <c r="AS360" s="426"/>
      <c r="AT360" s="426"/>
      <c r="AU360" s="426"/>
      <c r="AV360" s="426"/>
      <c r="AW360" s="426"/>
      <c r="AX360" s="426"/>
      <c r="AY360" s="426"/>
      <c r="AZ360" s="426"/>
      <c r="BA360" s="426" t="e">
        <f>BA358/AB358-1</f>
        <v>#DIV/0!</v>
      </c>
      <c r="BB360" s="426"/>
      <c r="BC360" s="426"/>
      <c r="BD360" s="426"/>
      <c r="BE360" s="426"/>
      <c r="BF360" s="426"/>
      <c r="BG360" s="426"/>
      <c r="BH360" s="426"/>
      <c r="BI360" s="426"/>
      <c r="BJ360" s="426"/>
      <c r="BK360" s="426"/>
      <c r="BL360" s="426"/>
      <c r="BM360" s="426"/>
      <c r="BN360" s="426"/>
      <c r="BO360" s="426"/>
      <c r="BP360" s="426"/>
      <c r="BQ360" s="426"/>
      <c r="BR360" s="426"/>
      <c r="BS360" s="426"/>
      <c r="BT360" s="426"/>
      <c r="BU360" s="426"/>
      <c r="BV360" s="426"/>
      <c r="BW360" s="426"/>
      <c r="BX360" s="426"/>
      <c r="BY360" s="426"/>
      <c r="BZ360" s="426"/>
      <c r="CA360" s="426"/>
      <c r="CB360" s="426"/>
      <c r="CC360" s="426"/>
      <c r="CD360" s="426"/>
      <c r="CE360" s="426"/>
      <c r="CF360" s="426"/>
      <c r="CG360" s="426"/>
      <c r="CH360" s="426"/>
      <c r="CI360" s="426"/>
      <c r="CJ360" s="426"/>
      <c r="CK360" s="426"/>
      <c r="CL360" s="426"/>
      <c r="CM360" s="426"/>
      <c r="CN360" s="426"/>
      <c r="CO360" s="426"/>
      <c r="CP360" s="426"/>
      <c r="CQ360" s="426"/>
      <c r="CR360" s="426"/>
      <c r="CS360" s="426"/>
      <c r="CT360" s="426"/>
      <c r="CU360" s="347"/>
      <c r="CV360" s="1363"/>
      <c r="CW360" s="347"/>
      <c r="CX360" s="347"/>
      <c r="CY360" s="347"/>
      <c r="CZ360" s="347"/>
      <c r="DA360" s="347"/>
    </row>
    <row r="361" spans="1:149" s="399" customFormat="1" hidden="1" outlineLevel="1">
      <c r="A361" s="769"/>
      <c r="B361" s="414" t="s">
        <v>58</v>
      </c>
      <c r="C361" s="480"/>
      <c r="D361" s="480"/>
      <c r="E361" s="480"/>
      <c r="F361" s="480"/>
      <c r="G361" s="480"/>
      <c r="H361" s="480"/>
      <c r="I361" s="480"/>
      <c r="J361" s="480"/>
      <c r="K361" s="480"/>
      <c r="L361" s="480"/>
      <c r="M361" s="480"/>
      <c r="N361" s="480"/>
      <c r="O361" s="480"/>
      <c r="P361" s="480"/>
      <c r="Q361" s="480"/>
      <c r="R361" s="480"/>
      <c r="S361" s="480"/>
      <c r="T361" s="480"/>
      <c r="U361" s="480"/>
      <c r="V361" s="480"/>
      <c r="W361" s="481"/>
      <c r="X361" s="481"/>
      <c r="Y361" s="481"/>
      <c r="Z361" s="481"/>
      <c r="AA361" s="481"/>
      <c r="AB361" s="481"/>
      <c r="AC361" s="481"/>
      <c r="AD361" s="481"/>
      <c r="AE361" s="481"/>
      <c r="AF361" s="481"/>
      <c r="AG361" s="481"/>
      <c r="AH361" s="481"/>
      <c r="AI361" s="481"/>
      <c r="AJ361" s="481"/>
      <c r="AK361" s="481"/>
      <c r="AL361" s="481"/>
      <c r="AM361" s="481"/>
      <c r="AN361" s="481"/>
      <c r="AO361" s="481"/>
      <c r="AP361" s="481"/>
      <c r="AQ361" s="481"/>
      <c r="AR361" s="481"/>
      <c r="AS361" s="481"/>
      <c r="AT361" s="481"/>
      <c r="AU361" s="481"/>
      <c r="AV361" s="481"/>
      <c r="AW361" s="481"/>
      <c r="AX361" s="481"/>
      <c r="AY361" s="481"/>
      <c r="AZ361" s="481"/>
      <c r="BA361" s="481"/>
      <c r="BB361" s="481"/>
      <c r="BC361" s="481"/>
      <c r="BD361" s="481"/>
      <c r="BE361" s="481"/>
      <c r="BF361" s="481"/>
      <c r="BG361" s="481"/>
      <c r="BH361" s="481"/>
      <c r="BI361" s="481"/>
      <c r="BJ361" s="481"/>
      <c r="BK361" s="482"/>
      <c r="BL361" s="482"/>
      <c r="BM361" s="482"/>
      <c r="BN361" s="482"/>
      <c r="BO361" s="482"/>
      <c r="BP361" s="482"/>
      <c r="BQ361" s="482"/>
      <c r="BR361" s="482"/>
      <c r="BS361" s="482"/>
      <c r="BT361" s="482"/>
      <c r="BU361" s="482"/>
      <c r="BV361" s="482"/>
      <c r="BW361" s="482"/>
      <c r="BX361" s="482"/>
      <c r="BY361" s="482"/>
      <c r="BZ361" s="482"/>
      <c r="CA361" s="482"/>
      <c r="CB361" s="482"/>
      <c r="CC361" s="482"/>
      <c r="CD361" s="482"/>
      <c r="CE361" s="482"/>
      <c r="CF361" s="482"/>
      <c r="CG361" s="482"/>
      <c r="CH361" s="482"/>
      <c r="CI361" s="482"/>
      <c r="CJ361" s="482"/>
      <c r="CK361" s="482"/>
      <c r="CL361" s="482"/>
      <c r="CM361" s="482"/>
      <c r="CN361" s="482"/>
      <c r="CO361" s="482"/>
      <c r="CP361" s="482"/>
      <c r="CQ361" s="482"/>
      <c r="CR361" s="482"/>
      <c r="CS361" s="482"/>
      <c r="CT361" s="482"/>
      <c r="CU361" s="364"/>
      <c r="CV361" s="1362"/>
      <c r="CW361" s="364"/>
      <c r="CX361" s="364"/>
      <c r="CY361" s="364"/>
      <c r="CZ361" s="364"/>
      <c r="DA361" s="364"/>
    </row>
    <row r="362" spans="1:149" hidden="1" outlineLevel="1">
      <c r="B362" s="407" t="s">
        <v>39</v>
      </c>
      <c r="C362" s="426"/>
      <c r="D362" s="426"/>
      <c r="E362" s="426"/>
      <c r="F362" s="426"/>
      <c r="G362" s="426"/>
      <c r="H362" s="426" t="e">
        <f>H361/C361-1</f>
        <v>#DIV/0!</v>
      </c>
      <c r="I362" s="426"/>
      <c r="J362" s="426"/>
      <c r="K362" s="426"/>
      <c r="L362" s="426"/>
      <c r="M362" s="426" t="e">
        <f>M361/H361-1</f>
        <v>#DIV/0!</v>
      </c>
      <c r="N362" s="426"/>
      <c r="O362" s="426"/>
      <c r="P362" s="426"/>
      <c r="Q362" s="426"/>
      <c r="R362" s="426" t="e">
        <f>R361/M361-1</f>
        <v>#DIV/0!</v>
      </c>
      <c r="S362" s="426"/>
      <c r="T362" s="426"/>
      <c r="U362" s="426"/>
      <c r="V362" s="426"/>
      <c r="W362" s="426" t="e">
        <f>W361/R361-1</f>
        <v>#DIV/0!</v>
      </c>
      <c r="X362" s="426"/>
      <c r="Y362" s="426"/>
      <c r="Z362" s="426"/>
      <c r="AA362" s="426"/>
      <c r="AB362" s="426" t="e">
        <f>AB361/W361-1</f>
        <v>#DIV/0!</v>
      </c>
      <c r="AC362" s="426"/>
      <c r="AD362" s="426"/>
      <c r="AE362" s="426"/>
      <c r="AF362" s="426"/>
      <c r="AG362" s="426" t="e">
        <f>AG361/AB361-1</f>
        <v>#DIV/0!</v>
      </c>
      <c r="AH362" s="426"/>
      <c r="AI362" s="426"/>
      <c r="AJ362" s="426"/>
      <c r="AK362" s="426"/>
      <c r="AL362" s="426" t="e">
        <f>AL361/AG361-1</f>
        <v>#DIV/0!</v>
      </c>
      <c r="AM362" s="426"/>
      <c r="AN362" s="426"/>
      <c r="AO362" s="426"/>
      <c r="AP362" s="426"/>
      <c r="AQ362" s="426" t="e">
        <f>AQ361/AL361-1</f>
        <v>#DIV/0!</v>
      </c>
      <c r="AR362" s="426"/>
      <c r="AS362" s="426"/>
      <c r="AT362" s="426"/>
      <c r="AU362" s="426"/>
      <c r="AV362" s="426" t="e">
        <f>AV361/AQ361-1</f>
        <v>#DIV/0!</v>
      </c>
      <c r="AW362" s="426"/>
      <c r="AX362" s="426"/>
      <c r="AY362" s="426"/>
      <c r="AZ362" s="426"/>
      <c r="BA362" s="426" t="e">
        <f>BA361/AV361-1</f>
        <v>#DIV/0!</v>
      </c>
      <c r="BB362" s="426"/>
      <c r="BC362" s="426"/>
      <c r="BD362" s="426"/>
      <c r="BE362" s="426"/>
      <c r="BF362" s="426" t="e">
        <f>BF361/BA361-1</f>
        <v>#DIV/0!</v>
      </c>
      <c r="BG362" s="426"/>
      <c r="BH362" s="426"/>
      <c r="BI362" s="426"/>
      <c r="BJ362" s="426"/>
      <c r="BK362" s="426" t="e">
        <f>BK361/BF361-1</f>
        <v>#DIV/0!</v>
      </c>
      <c r="BL362" s="426"/>
      <c r="BM362" s="426"/>
      <c r="BN362" s="426"/>
      <c r="BO362" s="426"/>
      <c r="BP362" s="426" t="e">
        <f>BP361/BK361-1</f>
        <v>#DIV/0!</v>
      </c>
      <c r="BQ362" s="426"/>
      <c r="BR362" s="426"/>
      <c r="BS362" s="426"/>
      <c r="BT362" s="426"/>
      <c r="BU362" s="426" t="e">
        <f>BU361/BP361-1</f>
        <v>#DIV/0!</v>
      </c>
      <c r="BV362" s="426"/>
      <c r="BW362" s="426"/>
      <c r="BX362" s="426"/>
      <c r="BY362" s="426"/>
      <c r="BZ362" s="426" t="e">
        <f>BZ361/BU361-1</f>
        <v>#DIV/0!</v>
      </c>
      <c r="CA362" s="426"/>
      <c r="CB362" s="426"/>
      <c r="CC362" s="426"/>
      <c r="CD362" s="426"/>
      <c r="CE362" s="426" t="e">
        <f>CE361/BZ361-1</f>
        <v>#DIV/0!</v>
      </c>
      <c r="CF362" s="426"/>
      <c r="CG362" s="426"/>
      <c r="CH362" s="426"/>
      <c r="CI362" s="426"/>
      <c r="CJ362" s="426" t="e">
        <f>CJ361/CE361-1</f>
        <v>#DIV/0!</v>
      </c>
      <c r="CK362" s="426"/>
      <c r="CL362" s="426"/>
      <c r="CM362" s="426"/>
      <c r="CN362" s="426"/>
      <c r="CO362" s="426" t="e">
        <f>CO361/CJ361-1</f>
        <v>#DIV/0!</v>
      </c>
      <c r="CP362" s="426" t="e">
        <f t="shared" ref="CP362:CR362" si="1778">CP361/CO361-1</f>
        <v>#DIV/0!</v>
      </c>
      <c r="CQ362" s="426" t="e">
        <f t="shared" si="1778"/>
        <v>#DIV/0!</v>
      </c>
      <c r="CR362" s="426" t="e">
        <f t="shared" si="1778"/>
        <v>#DIV/0!</v>
      </c>
      <c r="CS362" s="426" t="e">
        <f t="shared" ref="CS362" si="1779">CS361/CR361-1</f>
        <v>#DIV/0!</v>
      </c>
      <c r="CT362" s="426" t="e">
        <f t="shared" ref="CT362" si="1780">CT361/CS361-1</f>
        <v>#DIV/0!</v>
      </c>
      <c r="CU362" s="347"/>
      <c r="CV362" s="1363"/>
      <c r="CW362" s="347"/>
      <c r="CX362" s="347"/>
      <c r="CY362" s="347"/>
      <c r="CZ362" s="347"/>
      <c r="DA362" s="347"/>
    </row>
    <row r="363" spans="1:149" hidden="1" outlineLevel="1">
      <c r="B363" s="407"/>
      <c r="C363" s="426"/>
      <c r="D363" s="426"/>
      <c r="E363" s="426"/>
      <c r="F363" s="426"/>
      <c r="G363" s="426"/>
      <c r="H363" s="426"/>
      <c r="I363" s="426"/>
      <c r="J363" s="426"/>
      <c r="K363" s="426"/>
      <c r="L363" s="426"/>
      <c r="M363" s="426"/>
      <c r="N363" s="426"/>
      <c r="O363" s="426"/>
      <c r="P363" s="426"/>
      <c r="Q363" s="426"/>
      <c r="R363" s="426"/>
      <c r="S363" s="426"/>
      <c r="T363" s="426"/>
      <c r="U363" s="426"/>
      <c r="V363" s="426"/>
      <c r="W363" s="426"/>
      <c r="X363" s="426"/>
      <c r="Y363" s="426"/>
      <c r="Z363" s="426"/>
      <c r="AA363" s="426"/>
      <c r="AB363" s="426"/>
      <c r="AC363" s="426"/>
      <c r="AD363" s="426"/>
      <c r="AE363" s="426"/>
      <c r="AF363" s="426"/>
      <c r="AG363" s="426"/>
      <c r="AH363" s="426"/>
      <c r="AI363" s="426"/>
      <c r="AJ363" s="426"/>
      <c r="AK363" s="426"/>
      <c r="AL363" s="426"/>
      <c r="AM363" s="426"/>
      <c r="AN363" s="426"/>
      <c r="AO363" s="426"/>
      <c r="AP363" s="426"/>
      <c r="AQ363" s="426"/>
      <c r="AR363" s="426"/>
      <c r="AS363" s="426"/>
      <c r="AT363" s="426"/>
      <c r="AU363" s="426"/>
      <c r="AV363" s="426"/>
      <c r="AW363" s="426"/>
      <c r="AX363" s="426"/>
      <c r="AY363" s="426"/>
      <c r="AZ363" s="426"/>
      <c r="BA363" s="426"/>
      <c r="BB363" s="426"/>
      <c r="BC363" s="426"/>
      <c r="BD363" s="426"/>
      <c r="BE363" s="426"/>
      <c r="BF363" s="426"/>
      <c r="BG363" s="426"/>
      <c r="BH363" s="426"/>
      <c r="BI363" s="426"/>
      <c r="BJ363" s="426"/>
      <c r="BK363" s="426"/>
      <c r="BL363" s="426"/>
      <c r="BM363" s="426"/>
      <c r="BN363" s="426"/>
      <c r="BO363" s="426"/>
      <c r="BP363" s="426"/>
      <c r="BQ363" s="426"/>
      <c r="BR363" s="426"/>
      <c r="BS363" s="426"/>
      <c r="BT363" s="426"/>
      <c r="BU363" s="426"/>
      <c r="BV363" s="426"/>
      <c r="BW363" s="426"/>
      <c r="BX363" s="426"/>
      <c r="BY363" s="426"/>
      <c r="BZ363" s="426"/>
      <c r="CA363" s="426"/>
      <c r="CB363" s="426"/>
      <c r="CC363" s="426"/>
      <c r="CD363" s="426"/>
      <c r="CE363" s="426"/>
      <c r="CF363" s="426"/>
      <c r="CG363" s="426"/>
      <c r="CH363" s="426"/>
      <c r="CI363" s="426"/>
      <c r="CJ363" s="426"/>
      <c r="CK363" s="426"/>
      <c r="CL363" s="426"/>
      <c r="CM363" s="426"/>
      <c r="CN363" s="426"/>
      <c r="CO363" s="426"/>
      <c r="CP363" s="426"/>
      <c r="CQ363" s="426"/>
      <c r="CR363" s="426"/>
      <c r="CS363" s="426"/>
      <c r="CT363" s="426"/>
      <c r="CU363" s="347"/>
      <c r="CV363" s="1363"/>
      <c r="CW363" s="347"/>
      <c r="CX363" s="347"/>
      <c r="CY363" s="347"/>
      <c r="CZ363" s="347"/>
      <c r="DA363" s="347"/>
    </row>
    <row r="364" spans="1:149" hidden="1" outlineLevel="1">
      <c r="B364" s="483" t="s">
        <v>59</v>
      </c>
      <c r="C364" s="484">
        <f>C$4</f>
        <v>2007</v>
      </c>
      <c r="D364" s="484"/>
      <c r="E364" s="484"/>
      <c r="F364" s="484"/>
      <c r="G364" s="484"/>
      <c r="H364" s="484">
        <f>C364+1</f>
        <v>2008</v>
      </c>
      <c r="I364" s="484"/>
      <c r="J364" s="484"/>
      <c r="K364" s="484"/>
      <c r="L364" s="484"/>
      <c r="M364" s="485">
        <f>H364+1</f>
        <v>2009</v>
      </c>
      <c r="N364" s="485"/>
      <c r="O364" s="485"/>
      <c r="P364" s="485"/>
      <c r="Q364" s="485"/>
      <c r="R364" s="485">
        <f>M364+1</f>
        <v>2010</v>
      </c>
      <c r="S364" s="485"/>
      <c r="T364" s="485"/>
      <c r="U364" s="485"/>
      <c r="V364" s="485"/>
      <c r="W364" s="485">
        <f>R364+1</f>
        <v>2011</v>
      </c>
      <c r="X364" s="485"/>
      <c r="Y364" s="485"/>
      <c r="Z364" s="485"/>
      <c r="AA364" s="485"/>
      <c r="AB364" s="485">
        <f>W364+1</f>
        <v>2012</v>
      </c>
      <c r="AC364" s="485"/>
      <c r="AD364" s="485"/>
      <c r="AE364" s="485"/>
      <c r="AF364" s="485"/>
      <c r="AG364" s="485">
        <f>AB364+1</f>
        <v>2013</v>
      </c>
      <c r="AH364" s="485"/>
      <c r="AI364" s="485"/>
      <c r="AJ364" s="485"/>
      <c r="AK364" s="485"/>
      <c r="AL364" s="485">
        <f>AG364+1</f>
        <v>2014</v>
      </c>
      <c r="AM364" s="485"/>
      <c r="AN364" s="485"/>
      <c r="AO364" s="485"/>
      <c r="AP364" s="485"/>
      <c r="AQ364" s="485">
        <f>AL364+1</f>
        <v>2015</v>
      </c>
      <c r="AR364" s="485"/>
      <c r="AS364" s="485"/>
      <c r="AT364" s="485"/>
      <c r="AU364" s="485"/>
      <c r="AV364" s="485">
        <f>AQ364+1</f>
        <v>2016</v>
      </c>
      <c r="AW364" s="485"/>
      <c r="AX364" s="485"/>
      <c r="AY364" s="485"/>
      <c r="AZ364" s="485"/>
      <c r="BA364" s="485">
        <f>AV364+1</f>
        <v>2017</v>
      </c>
      <c r="BB364" s="485"/>
      <c r="BC364" s="485"/>
      <c r="BD364" s="485"/>
      <c r="BE364" s="485"/>
      <c r="BF364" s="485">
        <f>BA364+1</f>
        <v>2018</v>
      </c>
      <c r="BG364" s="485"/>
      <c r="BH364" s="485"/>
      <c r="BI364" s="485"/>
      <c r="BJ364" s="485"/>
      <c r="BK364" s="485">
        <f>BF364+1</f>
        <v>2019</v>
      </c>
      <c r="BL364" s="485"/>
      <c r="BM364" s="485"/>
      <c r="BN364" s="485"/>
      <c r="BO364" s="485"/>
      <c r="BP364" s="485">
        <f>BK364+1</f>
        <v>2020</v>
      </c>
      <c r="BQ364" s="485"/>
      <c r="BR364" s="485"/>
      <c r="BS364" s="485"/>
      <c r="BT364" s="485"/>
      <c r="BU364" s="485">
        <f>BP364+1</f>
        <v>2021</v>
      </c>
      <c r="BV364" s="485"/>
      <c r="BW364" s="485"/>
      <c r="BX364" s="485"/>
      <c r="BY364" s="485"/>
      <c r="BZ364" s="485">
        <f>BU364+1</f>
        <v>2022</v>
      </c>
      <c r="CA364" s="485"/>
      <c r="CB364" s="485"/>
      <c r="CC364" s="485"/>
      <c r="CD364" s="485"/>
      <c r="CE364" s="485">
        <f>BZ364+1</f>
        <v>2023</v>
      </c>
      <c r="CF364" s="485"/>
      <c r="CG364" s="485"/>
      <c r="CH364" s="485"/>
      <c r="CI364" s="485"/>
      <c r="CJ364" s="485">
        <f>CE364+1</f>
        <v>2024</v>
      </c>
      <c r="CK364" s="485"/>
      <c r="CL364" s="485"/>
      <c r="CM364" s="485"/>
      <c r="CN364" s="485"/>
      <c r="CO364" s="485">
        <f>CJ364+1</f>
        <v>2025</v>
      </c>
      <c r="CP364" s="485">
        <f t="shared" ref="CP364:CR364" si="1781">CO364+1</f>
        <v>2026</v>
      </c>
      <c r="CQ364" s="485">
        <f t="shared" si="1781"/>
        <v>2027</v>
      </c>
      <c r="CR364" s="485">
        <f t="shared" si="1781"/>
        <v>2028</v>
      </c>
      <c r="CS364" s="485">
        <f t="shared" ref="CS364" si="1782">CR364+1</f>
        <v>2029</v>
      </c>
      <c r="CT364" s="485">
        <f t="shared" ref="CT364" si="1783">CS364+1</f>
        <v>2030</v>
      </c>
      <c r="CU364" s="364"/>
      <c r="CV364" s="1362"/>
      <c r="CW364" s="364"/>
      <c r="CX364" s="364"/>
      <c r="CY364" s="364"/>
      <c r="CZ364" s="347"/>
      <c r="DA364" s="347"/>
      <c r="ER364" s="486">
        <v>39940</v>
      </c>
      <c r="ES364" s="487">
        <v>1.002</v>
      </c>
    </row>
    <row r="365" spans="1:149" hidden="1" outlineLevel="1">
      <c r="B365" s="407"/>
      <c r="C365" s="426"/>
      <c r="D365" s="426"/>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c r="AA365" s="426"/>
      <c r="AB365" s="426"/>
      <c r="AC365" s="426"/>
      <c r="AD365" s="426"/>
      <c r="AE365" s="426"/>
      <c r="AF365" s="426"/>
      <c r="AG365" s="426"/>
      <c r="AH365" s="426"/>
      <c r="AI365" s="426"/>
      <c r="AJ365" s="426"/>
      <c r="AK365" s="426"/>
      <c r="AL365" s="426"/>
      <c r="AM365" s="426"/>
      <c r="AN365" s="426"/>
      <c r="AO365" s="426"/>
      <c r="AP365" s="426"/>
      <c r="AQ365" s="426"/>
      <c r="AR365" s="426"/>
      <c r="AS365" s="426"/>
      <c r="AT365" s="426"/>
      <c r="AU365" s="426"/>
      <c r="AV365" s="426"/>
      <c r="AW365" s="426"/>
      <c r="AX365" s="426"/>
      <c r="AY365" s="426"/>
      <c r="AZ365" s="426"/>
      <c r="BA365" s="426"/>
      <c r="BB365" s="426"/>
      <c r="BC365" s="426"/>
      <c r="BD365" s="426"/>
      <c r="BE365" s="426"/>
      <c r="BF365" s="426"/>
      <c r="BG365" s="426"/>
      <c r="BH365" s="426"/>
      <c r="BI365" s="426"/>
      <c r="BJ365" s="426"/>
      <c r="BK365" s="426"/>
      <c r="BL365" s="426"/>
      <c r="BM365" s="426"/>
      <c r="BN365" s="426"/>
      <c r="BO365" s="426"/>
      <c r="BP365" s="426"/>
      <c r="BQ365" s="426"/>
      <c r="BR365" s="426"/>
      <c r="BS365" s="426"/>
      <c r="BT365" s="426"/>
      <c r="BU365" s="426"/>
      <c r="BV365" s="426"/>
      <c r="BW365" s="426"/>
      <c r="BX365" s="426"/>
      <c r="BY365" s="426"/>
      <c r="BZ365" s="426"/>
      <c r="CA365" s="426"/>
      <c r="CB365" s="426"/>
      <c r="CC365" s="426"/>
      <c r="CD365" s="426"/>
      <c r="CE365" s="426"/>
      <c r="CF365" s="426"/>
      <c r="CG365" s="426"/>
      <c r="CH365" s="426"/>
      <c r="CI365" s="426"/>
      <c r="CJ365" s="426"/>
      <c r="CK365" s="426"/>
      <c r="CL365" s="426"/>
      <c r="CM365" s="426"/>
      <c r="CN365" s="426"/>
      <c r="CO365" s="426"/>
      <c r="CP365" s="426"/>
      <c r="CQ365" s="426"/>
      <c r="CR365" s="426"/>
      <c r="CS365" s="426"/>
      <c r="CT365" s="426"/>
      <c r="CU365" s="347"/>
      <c r="CV365" s="1363"/>
      <c r="CW365" s="347"/>
      <c r="CX365" s="347"/>
      <c r="CY365" s="347"/>
      <c r="CZ365" s="347"/>
      <c r="DA365" s="347"/>
      <c r="ER365" s="486">
        <v>39941</v>
      </c>
      <c r="ES365" s="487">
        <v>1.0123</v>
      </c>
    </row>
    <row r="366" spans="1:149" hidden="1" outlineLevel="1">
      <c r="B366" s="407" t="s">
        <v>60</v>
      </c>
      <c r="C366" s="347"/>
      <c r="D366" s="347"/>
      <c r="E366" s="347"/>
      <c r="F366" s="347"/>
      <c r="G366" s="347"/>
      <c r="H366" s="347"/>
      <c r="I366" s="347"/>
      <c r="J366" s="347"/>
      <c r="K366" s="347"/>
      <c r="L366" s="347"/>
      <c r="M366" s="347"/>
      <c r="N366" s="347"/>
      <c r="O366" s="347"/>
      <c r="P366" s="347"/>
      <c r="Q366" s="347"/>
      <c r="R366" s="347"/>
      <c r="S366" s="347"/>
      <c r="T366" s="347"/>
      <c r="U366" s="347"/>
      <c r="V366" s="347"/>
      <c r="W366" s="347"/>
      <c r="X366" s="347"/>
      <c r="Y366" s="347"/>
      <c r="Z366" s="347"/>
      <c r="AA366" s="347"/>
      <c r="AB366" s="347"/>
      <c r="AC366" s="347"/>
      <c r="AD366" s="347"/>
      <c r="AE366" s="347"/>
      <c r="AF366" s="347"/>
      <c r="AG366" s="347"/>
      <c r="AH366" s="347"/>
      <c r="AI366" s="347"/>
      <c r="AJ366" s="347"/>
      <c r="AK366" s="347"/>
      <c r="AL366" s="347"/>
      <c r="AM366" s="347"/>
      <c r="AN366" s="347"/>
      <c r="AO366" s="347"/>
      <c r="AP366" s="347"/>
      <c r="AQ366" s="347"/>
      <c r="AR366" s="347"/>
      <c r="AS366" s="347"/>
      <c r="AT366" s="347"/>
      <c r="AU366" s="347"/>
      <c r="AV366" s="347"/>
      <c r="AW366" s="347"/>
      <c r="AX366" s="347"/>
      <c r="AY366" s="347"/>
      <c r="AZ366" s="347"/>
      <c r="BA366" s="347"/>
      <c r="BB366" s="347"/>
      <c r="BC366" s="347"/>
      <c r="BD366" s="347"/>
      <c r="BE366" s="347"/>
      <c r="BF366" s="347"/>
      <c r="BG366" s="347"/>
      <c r="BH366" s="347"/>
      <c r="BI366" s="347"/>
      <c r="BJ366" s="347"/>
      <c r="BK366" s="347"/>
      <c r="BL366" s="347"/>
      <c r="BM366" s="347"/>
      <c r="BN366" s="347"/>
      <c r="BO366" s="347"/>
      <c r="BP366" s="347"/>
      <c r="BQ366" s="347"/>
      <c r="BR366" s="347"/>
      <c r="BS366" s="347"/>
      <c r="BT366" s="347"/>
      <c r="BU366" s="347"/>
      <c r="BV366" s="347"/>
      <c r="BW366" s="347"/>
      <c r="BX366" s="347"/>
      <c r="BY366" s="347"/>
      <c r="BZ366" s="347"/>
      <c r="CA366" s="347"/>
      <c r="CB366" s="347"/>
      <c r="CC366" s="347"/>
      <c r="CD366" s="347"/>
      <c r="CE366" s="347"/>
      <c r="CF366" s="347"/>
      <c r="CG366" s="347"/>
      <c r="CH366" s="347"/>
      <c r="CI366" s="347"/>
      <c r="CJ366" s="347"/>
      <c r="CK366" s="347"/>
      <c r="CL366" s="347"/>
      <c r="CM366" s="347"/>
      <c r="CN366" s="347"/>
      <c r="CO366" s="347"/>
      <c r="CP366" s="347"/>
      <c r="CQ366" s="347"/>
      <c r="CR366" s="347"/>
      <c r="CS366" s="347"/>
      <c r="CT366" s="347"/>
      <c r="CU366" s="347"/>
      <c r="CV366" s="1363"/>
      <c r="CW366" s="347"/>
      <c r="CX366" s="347"/>
      <c r="CY366" s="347"/>
      <c r="CZ366" s="347"/>
      <c r="DA366" s="347"/>
      <c r="ER366" s="486">
        <v>39942</v>
      </c>
      <c r="ES366" s="487">
        <v>0.99250000000000005</v>
      </c>
    </row>
    <row r="367" spans="1:149" hidden="1" outlineLevel="1">
      <c r="B367" s="407" t="s">
        <v>61</v>
      </c>
      <c r="C367" s="347"/>
      <c r="D367" s="347"/>
      <c r="E367" s="347"/>
      <c r="F367" s="347"/>
      <c r="G367" s="347"/>
      <c r="H367" s="347"/>
      <c r="I367" s="347"/>
      <c r="J367" s="347"/>
      <c r="K367" s="347"/>
      <c r="L367" s="347"/>
      <c r="M367" s="347"/>
      <c r="N367" s="347"/>
      <c r="O367" s="347"/>
      <c r="P367" s="347"/>
      <c r="Q367" s="347"/>
      <c r="R367" s="347"/>
      <c r="S367" s="347"/>
      <c r="T367" s="347"/>
      <c r="U367" s="347"/>
      <c r="V367" s="347"/>
      <c r="W367" s="347"/>
      <c r="X367" s="347"/>
      <c r="Y367" s="347"/>
      <c r="Z367" s="347"/>
      <c r="AA367" s="347"/>
      <c r="AB367" s="347"/>
      <c r="AC367" s="347"/>
      <c r="AD367" s="347"/>
      <c r="AE367" s="347"/>
      <c r="AF367" s="347"/>
      <c r="AG367" s="347"/>
      <c r="AH367" s="347"/>
      <c r="AI367" s="347"/>
      <c r="AJ367" s="347"/>
      <c r="AK367" s="347"/>
      <c r="AL367" s="347"/>
      <c r="AM367" s="347"/>
      <c r="AN367" s="347"/>
      <c r="AO367" s="347"/>
      <c r="AP367" s="347"/>
      <c r="AQ367" s="347"/>
      <c r="AR367" s="347"/>
      <c r="AS367" s="347"/>
      <c r="AT367" s="347"/>
      <c r="AU367" s="347"/>
      <c r="AV367" s="347"/>
      <c r="AW367" s="347"/>
      <c r="AX367" s="347"/>
      <c r="AY367" s="347"/>
      <c r="AZ367" s="347"/>
      <c r="BA367" s="347"/>
      <c r="BB367" s="347"/>
      <c r="BC367" s="347"/>
      <c r="BD367" s="347"/>
      <c r="BE367" s="347"/>
      <c r="BF367" s="347"/>
      <c r="BG367" s="347"/>
      <c r="BH367" s="347"/>
      <c r="BI367" s="347"/>
      <c r="BJ367" s="347"/>
      <c r="BK367" s="347"/>
      <c r="BL367" s="347"/>
      <c r="BM367" s="347"/>
      <c r="BN367" s="347"/>
      <c r="BO367" s="347"/>
      <c r="BP367" s="347"/>
      <c r="BQ367" s="347"/>
      <c r="BR367" s="347"/>
      <c r="BS367" s="347"/>
      <c r="BT367" s="347"/>
      <c r="BU367" s="347"/>
      <c r="BV367" s="347"/>
      <c r="BW367" s="347"/>
      <c r="BX367" s="347"/>
      <c r="BY367" s="347"/>
      <c r="BZ367" s="347"/>
      <c r="CA367" s="347"/>
      <c r="CB367" s="347"/>
      <c r="CC367" s="347"/>
      <c r="CD367" s="347"/>
      <c r="CE367" s="347"/>
      <c r="CF367" s="347"/>
      <c r="CG367" s="347"/>
      <c r="CH367" s="347"/>
      <c r="CI367" s="347"/>
      <c r="CJ367" s="347"/>
      <c r="CK367" s="347"/>
      <c r="CL367" s="347"/>
      <c r="CM367" s="347"/>
      <c r="CN367" s="347"/>
      <c r="CO367" s="347"/>
      <c r="CP367" s="347"/>
      <c r="CQ367" s="347"/>
      <c r="CR367" s="347"/>
      <c r="CS367" s="347"/>
      <c r="CT367" s="347"/>
      <c r="CU367" s="347"/>
      <c r="CV367" s="1363"/>
      <c r="CW367" s="347"/>
      <c r="CX367" s="347"/>
      <c r="CY367" s="347"/>
      <c r="CZ367" s="347"/>
      <c r="DA367" s="347"/>
      <c r="DL367" s="399"/>
      <c r="DM367" s="399"/>
      <c r="DN367" s="399"/>
      <c r="DO367" s="399"/>
      <c r="DP367" s="399"/>
      <c r="ER367" s="486">
        <v>39943</v>
      </c>
      <c r="ES367" s="487">
        <v>0.9839</v>
      </c>
    </row>
    <row r="368" spans="1:149" hidden="1" outlineLevel="1">
      <c r="B368" s="407" t="s">
        <v>62</v>
      </c>
      <c r="C368" s="347">
        <f>C354</f>
        <v>0</v>
      </c>
      <c r="D368" s="347"/>
      <c r="E368" s="347"/>
      <c r="F368" s="347"/>
      <c r="G368" s="347"/>
      <c r="H368" s="347">
        <f>H354</f>
        <v>0</v>
      </c>
      <c r="I368" s="347"/>
      <c r="J368" s="347"/>
      <c r="K368" s="347"/>
      <c r="L368" s="347"/>
      <c r="M368" s="347">
        <f>M354</f>
        <v>0</v>
      </c>
      <c r="N368" s="347"/>
      <c r="O368" s="347"/>
      <c r="P368" s="347"/>
      <c r="Q368" s="347"/>
      <c r="R368" s="347">
        <f>R354</f>
        <v>0</v>
      </c>
      <c r="S368" s="347"/>
      <c r="T368" s="347"/>
      <c r="U368" s="347"/>
      <c r="V368" s="347"/>
      <c r="W368" s="347">
        <f>W354</f>
        <v>0</v>
      </c>
      <c r="X368" s="347"/>
      <c r="Y368" s="347"/>
      <c r="Z368" s="347"/>
      <c r="AA368" s="347"/>
      <c r="AB368" s="347">
        <f>AB354</f>
        <v>0</v>
      </c>
      <c r="AC368" s="347"/>
      <c r="AD368" s="347"/>
      <c r="AE368" s="347"/>
      <c r="AF368" s="347"/>
      <c r="AG368" s="347">
        <f>AG354</f>
        <v>0</v>
      </c>
      <c r="AH368" s="347"/>
      <c r="AI368" s="347"/>
      <c r="AJ368" s="347"/>
      <c r="AK368" s="347"/>
      <c r="AL368" s="347">
        <f>AL354</f>
        <v>0</v>
      </c>
      <c r="AM368" s="347"/>
      <c r="AN368" s="347"/>
      <c r="AO368" s="347"/>
      <c r="AP368" s="347"/>
      <c r="AQ368" s="347">
        <f>AQ354</f>
        <v>0</v>
      </c>
      <c r="AR368" s="347"/>
      <c r="AS368" s="347"/>
      <c r="AT368" s="347"/>
      <c r="AU368" s="347"/>
      <c r="AV368" s="347">
        <f>AV354</f>
        <v>0</v>
      </c>
      <c r="AW368" s="347"/>
      <c r="AX368" s="347"/>
      <c r="AY368" s="347"/>
      <c r="AZ368" s="347"/>
      <c r="BA368" s="347">
        <f>BA354</f>
        <v>0</v>
      </c>
      <c r="BB368" s="347"/>
      <c r="BC368" s="347"/>
      <c r="BD368" s="347"/>
      <c r="BE368" s="347"/>
      <c r="BF368" s="347">
        <f>BF354</f>
        <v>0</v>
      </c>
      <c r="BG368" s="347"/>
      <c r="BH368" s="347"/>
      <c r="BI368" s="347"/>
      <c r="BJ368" s="347"/>
      <c r="BK368" s="347">
        <f>BK354</f>
        <v>0</v>
      </c>
      <c r="BL368" s="347"/>
      <c r="BM368" s="347"/>
      <c r="BN368" s="347"/>
      <c r="BO368" s="347"/>
      <c r="BP368" s="347">
        <f>BP354</f>
        <v>0</v>
      </c>
      <c r="BQ368" s="347"/>
      <c r="BR368" s="347"/>
      <c r="BS368" s="347"/>
      <c r="BT368" s="347"/>
      <c r="BU368" s="347">
        <f>BU354</f>
        <v>0</v>
      </c>
      <c r="BV368" s="347"/>
      <c r="BW368" s="347"/>
      <c r="BX368" s="347"/>
      <c r="BY368" s="347"/>
      <c r="BZ368" s="347">
        <f>BZ354</f>
        <v>0</v>
      </c>
      <c r="CA368" s="347"/>
      <c r="CB368" s="347"/>
      <c r="CC368" s="347"/>
      <c r="CD368" s="347"/>
      <c r="CE368" s="347">
        <f>CE354</f>
        <v>0</v>
      </c>
      <c r="CF368" s="347"/>
      <c r="CG368" s="347"/>
      <c r="CH368" s="347"/>
      <c r="CI368" s="347"/>
      <c r="CJ368" s="347">
        <f>CJ354</f>
        <v>0</v>
      </c>
      <c r="CK368" s="347"/>
      <c r="CL368" s="347"/>
      <c r="CM368" s="347"/>
      <c r="CN368" s="347"/>
      <c r="CO368" s="347">
        <f t="shared" ref="CO368:CR368" si="1784">CO354</f>
        <v>0</v>
      </c>
      <c r="CP368" s="347">
        <f t="shared" si="1784"/>
        <v>0</v>
      </c>
      <c r="CQ368" s="347">
        <f t="shared" si="1784"/>
        <v>0</v>
      </c>
      <c r="CR368" s="347">
        <f t="shared" si="1784"/>
        <v>0</v>
      </c>
      <c r="CS368" s="347">
        <f t="shared" ref="CS368:CT368" si="1785">CS354</f>
        <v>0</v>
      </c>
      <c r="CT368" s="347">
        <f t="shared" si="1785"/>
        <v>0</v>
      </c>
      <c r="CU368" s="347"/>
      <c r="CV368" s="1363"/>
      <c r="CW368" s="347"/>
      <c r="CX368" s="347"/>
      <c r="CY368" s="347"/>
      <c r="CZ368" s="364"/>
      <c r="DA368" s="364"/>
      <c r="ER368" s="486">
        <v>39944</v>
      </c>
      <c r="ES368" s="487">
        <v>0.98560000000000003</v>
      </c>
    </row>
    <row r="369" spans="1:149" s="399" customFormat="1" hidden="1" outlineLevel="1">
      <c r="A369" s="769"/>
      <c r="B369" s="414" t="s">
        <v>63</v>
      </c>
      <c r="C369" s="364">
        <f>SUM(C366:C368)</f>
        <v>0</v>
      </c>
      <c r="D369" s="364"/>
      <c r="E369" s="364"/>
      <c r="F369" s="364"/>
      <c r="G369" s="364"/>
      <c r="H369" s="364">
        <f>SUM(H366:H368)</f>
        <v>0</v>
      </c>
      <c r="I369" s="364"/>
      <c r="J369" s="364"/>
      <c r="K369" s="364"/>
      <c r="L369" s="364"/>
      <c r="M369" s="364">
        <f>SUM(M366:M368)</f>
        <v>0</v>
      </c>
      <c r="N369" s="364"/>
      <c r="O369" s="364"/>
      <c r="P369" s="364"/>
      <c r="Q369" s="364"/>
      <c r="R369" s="364">
        <f>SUM(R366:R368)</f>
        <v>0</v>
      </c>
      <c r="S369" s="364"/>
      <c r="T369" s="364"/>
      <c r="U369" s="364"/>
      <c r="V369" s="364"/>
      <c r="W369" s="364">
        <f>SUM(W366:W368)</f>
        <v>0</v>
      </c>
      <c r="X369" s="364"/>
      <c r="Y369" s="364"/>
      <c r="Z369" s="364"/>
      <c r="AA369" s="364"/>
      <c r="AB369" s="364">
        <f>SUM(AB366:AB368)</f>
        <v>0</v>
      </c>
      <c r="AC369" s="364"/>
      <c r="AD369" s="364"/>
      <c r="AE369" s="364"/>
      <c r="AF369" s="364"/>
      <c r="AG369" s="364">
        <f>SUM(AG366:AG368)</f>
        <v>0</v>
      </c>
      <c r="AH369" s="364"/>
      <c r="AI369" s="364"/>
      <c r="AJ369" s="364"/>
      <c r="AK369" s="364"/>
      <c r="AL369" s="364">
        <f>SUM(AL366:AL368)</f>
        <v>0</v>
      </c>
      <c r="AM369" s="364"/>
      <c r="AN369" s="364"/>
      <c r="AO369" s="364"/>
      <c r="AP369" s="364"/>
      <c r="AQ369" s="364">
        <f>SUM(AQ366:AQ368)</f>
        <v>0</v>
      </c>
      <c r="AR369" s="364"/>
      <c r="AS369" s="364"/>
      <c r="AT369" s="364"/>
      <c r="AU369" s="364"/>
      <c r="AV369" s="364">
        <f>SUM(AV366:AV368)</f>
        <v>0</v>
      </c>
      <c r="AW369" s="364"/>
      <c r="AX369" s="364"/>
      <c r="AY369" s="364"/>
      <c r="AZ369" s="364"/>
      <c r="BA369" s="364">
        <f>SUM(BA366:BA368)</f>
        <v>0</v>
      </c>
      <c r="BB369" s="364"/>
      <c r="BC369" s="364"/>
      <c r="BD369" s="364"/>
      <c r="BE369" s="364"/>
      <c r="BF369" s="364">
        <f>SUM(BF366:BF368)</f>
        <v>0</v>
      </c>
      <c r="BG369" s="364"/>
      <c r="BH369" s="364"/>
      <c r="BI369" s="364"/>
      <c r="BJ369" s="364"/>
      <c r="BK369" s="364">
        <f>SUM(BK366:BK368)</f>
        <v>0</v>
      </c>
      <c r="BL369" s="364"/>
      <c r="BM369" s="364"/>
      <c r="BN369" s="364"/>
      <c r="BO369" s="364"/>
      <c r="BP369" s="364">
        <f>SUM(BP366:BP368)</f>
        <v>0</v>
      </c>
      <c r="BQ369" s="364"/>
      <c r="BR369" s="364"/>
      <c r="BS369" s="364"/>
      <c r="BT369" s="364"/>
      <c r="BU369" s="364">
        <f>SUM(BU366:BU368)</f>
        <v>0</v>
      </c>
      <c r="BV369" s="364"/>
      <c r="BW369" s="364"/>
      <c r="BX369" s="364"/>
      <c r="BY369" s="364"/>
      <c r="BZ369" s="364">
        <f>SUM(BZ366:BZ368)</f>
        <v>0</v>
      </c>
      <c r="CA369" s="364"/>
      <c r="CB369" s="364"/>
      <c r="CC369" s="364"/>
      <c r="CD369" s="364"/>
      <c r="CE369" s="364">
        <f>SUM(CE366:CE368)</f>
        <v>0</v>
      </c>
      <c r="CF369" s="364"/>
      <c r="CG369" s="364"/>
      <c r="CH369" s="364"/>
      <c r="CI369" s="364"/>
      <c r="CJ369" s="364">
        <f>SUM(CJ366:CJ368)</f>
        <v>0</v>
      </c>
      <c r="CK369" s="364"/>
      <c r="CL369" s="364"/>
      <c r="CM369" s="364"/>
      <c r="CN369" s="364"/>
      <c r="CO369" s="364">
        <f t="shared" ref="CO369:CR369" si="1786">SUM(CO366:CO368)</f>
        <v>0</v>
      </c>
      <c r="CP369" s="364">
        <f t="shared" si="1786"/>
        <v>0</v>
      </c>
      <c r="CQ369" s="364">
        <f t="shared" si="1786"/>
        <v>0</v>
      </c>
      <c r="CR369" s="364">
        <f t="shared" si="1786"/>
        <v>0</v>
      </c>
      <c r="CS369" s="364">
        <f t="shared" ref="CS369:CT369" si="1787">SUM(CS366:CS368)</f>
        <v>0</v>
      </c>
      <c r="CT369" s="364">
        <f t="shared" si="1787"/>
        <v>0</v>
      </c>
      <c r="CU369" s="364"/>
      <c r="CV369" s="1362"/>
      <c r="CW369" s="364"/>
      <c r="CX369" s="364"/>
      <c r="CY369" s="364"/>
      <c r="CZ369" s="347"/>
      <c r="DA369" s="347"/>
      <c r="DL369" s="349"/>
      <c r="DM369" s="349"/>
      <c r="DN369" s="349"/>
      <c r="DO369" s="349"/>
      <c r="DP369" s="349"/>
      <c r="EA369" s="349"/>
      <c r="EB369" s="349"/>
      <c r="EC369" s="349"/>
      <c r="ED369" s="349"/>
      <c r="EE369" s="349"/>
      <c r="EF369" s="349"/>
      <c r="EG369" s="349"/>
      <c r="EH369" s="349"/>
      <c r="EI369" s="349"/>
      <c r="EJ369" s="349"/>
      <c r="EK369" s="349"/>
      <c r="EL369" s="349"/>
      <c r="EM369" s="349"/>
      <c r="EN369" s="349"/>
      <c r="EO369" s="349"/>
      <c r="EP369" s="349"/>
      <c r="ER369" s="488">
        <v>39945</v>
      </c>
      <c r="ES369" s="489">
        <v>0.98099999999999998</v>
      </c>
    </row>
    <row r="370" spans="1:149" hidden="1" outlineLevel="1">
      <c r="B370" s="407" t="s">
        <v>64</v>
      </c>
      <c r="C370" s="426"/>
      <c r="D370" s="426"/>
      <c r="E370" s="426"/>
      <c r="F370" s="426"/>
      <c r="G370" s="426"/>
      <c r="H370" s="426" t="e">
        <f>H369/C369-1</f>
        <v>#DIV/0!</v>
      </c>
      <c r="I370" s="426"/>
      <c r="J370" s="426"/>
      <c r="K370" s="426"/>
      <c r="L370" s="426"/>
      <c r="M370" s="426" t="e">
        <f>M369/H369-1</f>
        <v>#DIV/0!</v>
      </c>
      <c r="N370" s="426"/>
      <c r="O370" s="426"/>
      <c r="P370" s="426"/>
      <c r="Q370" s="426"/>
      <c r="R370" s="426" t="e">
        <f>R369/M369-1</f>
        <v>#DIV/0!</v>
      </c>
      <c r="S370" s="426"/>
      <c r="T370" s="426"/>
      <c r="U370" s="426"/>
      <c r="V370" s="426"/>
      <c r="W370" s="426" t="e">
        <f>W369/R369-1</f>
        <v>#DIV/0!</v>
      </c>
      <c r="X370" s="426"/>
      <c r="Y370" s="426"/>
      <c r="Z370" s="426"/>
      <c r="AA370" s="426"/>
      <c r="AB370" s="426" t="e">
        <f>AB369/W369-1</f>
        <v>#DIV/0!</v>
      </c>
      <c r="AC370" s="426"/>
      <c r="AD370" s="426"/>
      <c r="AE370" s="426"/>
      <c r="AF370" s="426"/>
      <c r="AG370" s="426" t="e">
        <f>AG369/AB369-1</f>
        <v>#DIV/0!</v>
      </c>
      <c r="AH370" s="426"/>
      <c r="AI370" s="426"/>
      <c r="AJ370" s="426"/>
      <c r="AK370" s="426"/>
      <c r="AL370" s="426" t="e">
        <f>AL369/AG369-1</f>
        <v>#DIV/0!</v>
      </c>
      <c r="AM370" s="426"/>
      <c r="AN370" s="426"/>
      <c r="AO370" s="426"/>
      <c r="AP370" s="426"/>
      <c r="AQ370" s="426" t="e">
        <f>AQ369/AL369-1</f>
        <v>#DIV/0!</v>
      </c>
      <c r="AR370" s="426"/>
      <c r="AS370" s="426"/>
      <c r="AT370" s="426"/>
      <c r="AU370" s="426"/>
      <c r="AV370" s="426" t="e">
        <f>AV369/AQ369-1</f>
        <v>#DIV/0!</v>
      </c>
      <c r="AW370" s="426"/>
      <c r="AX370" s="426"/>
      <c r="AY370" s="426"/>
      <c r="AZ370" s="426"/>
      <c r="BA370" s="426" t="e">
        <f>BA369/AV369-1</f>
        <v>#DIV/0!</v>
      </c>
      <c r="BB370" s="426"/>
      <c r="BC370" s="426"/>
      <c r="BD370" s="426"/>
      <c r="BE370" s="426"/>
      <c r="BF370" s="426" t="e">
        <f>BF369/BA369-1</f>
        <v>#DIV/0!</v>
      </c>
      <c r="BG370" s="426"/>
      <c r="BH370" s="426"/>
      <c r="BI370" s="426"/>
      <c r="BJ370" s="426"/>
      <c r="BK370" s="426" t="e">
        <f>BK369/BF369-1</f>
        <v>#DIV/0!</v>
      </c>
      <c r="BL370" s="426"/>
      <c r="BM370" s="426"/>
      <c r="BN370" s="426"/>
      <c r="BO370" s="426"/>
      <c r="BP370" s="426" t="e">
        <f>BP369/BK369-1</f>
        <v>#DIV/0!</v>
      </c>
      <c r="BQ370" s="426"/>
      <c r="BR370" s="426"/>
      <c r="BS370" s="426"/>
      <c r="BT370" s="426"/>
      <c r="BU370" s="426" t="e">
        <f>BU369/BP369-1</f>
        <v>#DIV/0!</v>
      </c>
      <c r="BV370" s="426"/>
      <c r="BW370" s="426"/>
      <c r="BX370" s="426"/>
      <c r="BY370" s="426"/>
      <c r="BZ370" s="426" t="e">
        <f>BZ369/BU369-1</f>
        <v>#DIV/0!</v>
      </c>
      <c r="CA370" s="426"/>
      <c r="CB370" s="426"/>
      <c r="CC370" s="426"/>
      <c r="CD370" s="426"/>
      <c r="CE370" s="426" t="e">
        <f>CE369/BZ369-1</f>
        <v>#DIV/0!</v>
      </c>
      <c r="CF370" s="426"/>
      <c r="CG370" s="426"/>
      <c r="CH370" s="426"/>
      <c r="CI370" s="426"/>
      <c r="CJ370" s="426" t="e">
        <f>CJ369/CE369-1</f>
        <v>#DIV/0!</v>
      </c>
      <c r="CK370" s="426"/>
      <c r="CL370" s="426"/>
      <c r="CM370" s="426"/>
      <c r="CN370" s="426"/>
      <c r="CO370" s="426" t="e">
        <f>CO369/CJ369-1</f>
        <v>#DIV/0!</v>
      </c>
      <c r="CP370" s="426" t="e">
        <f t="shared" ref="CP370:CR370" si="1788">CP369/CO369-1</f>
        <v>#DIV/0!</v>
      </c>
      <c r="CQ370" s="426" t="e">
        <f t="shared" si="1788"/>
        <v>#DIV/0!</v>
      </c>
      <c r="CR370" s="426" t="e">
        <f t="shared" si="1788"/>
        <v>#DIV/0!</v>
      </c>
      <c r="CS370" s="426" t="e">
        <f t="shared" ref="CS370" si="1789">CS369/CR369-1</f>
        <v>#DIV/0!</v>
      </c>
      <c r="CT370" s="426" t="e">
        <f t="shared" ref="CT370" si="1790">CT369/CS369-1</f>
        <v>#DIV/0!</v>
      </c>
      <c r="CU370" s="347"/>
      <c r="CV370" s="1363"/>
      <c r="CW370" s="347"/>
      <c r="CX370" s="347"/>
      <c r="CY370" s="347"/>
      <c r="CZ370" s="347"/>
      <c r="DA370" s="347"/>
      <c r="ER370" s="486">
        <v>39946</v>
      </c>
      <c r="ES370" s="487">
        <v>0.99360000000000004</v>
      </c>
    </row>
    <row r="371" spans="1:149" hidden="1" outlineLevel="1">
      <c r="B371" s="407" t="s">
        <v>18</v>
      </c>
      <c r="C371" s="347">
        <f>C447+C453</f>
        <v>7990</v>
      </c>
      <c r="D371" s="347"/>
      <c r="E371" s="347"/>
      <c r="F371" s="347"/>
      <c r="G371" s="347"/>
      <c r="H371" s="347">
        <f>H447+H453</f>
        <v>12061.33</v>
      </c>
      <c r="I371" s="347"/>
      <c r="J371" s="347"/>
      <c r="K371" s="347"/>
      <c r="L371" s="347"/>
      <c r="M371" s="347">
        <f>M447+M453</f>
        <v>13707</v>
      </c>
      <c r="N371" s="347"/>
      <c r="O371" s="347"/>
      <c r="P371" s="347"/>
      <c r="Q371" s="347"/>
      <c r="R371" s="347">
        <f>R447+R453</f>
        <v>17460</v>
      </c>
      <c r="S371" s="347"/>
      <c r="T371" s="347"/>
      <c r="U371" s="347"/>
      <c r="V371" s="347"/>
      <c r="W371" s="347">
        <f>W447+W453</f>
        <v>18262</v>
      </c>
      <c r="X371" s="347"/>
      <c r="Y371" s="347"/>
      <c r="Z371" s="347"/>
      <c r="AA371" s="347"/>
      <c r="AB371" s="347">
        <f>AB447+AB453</f>
        <v>20969</v>
      </c>
      <c r="AC371" s="347"/>
      <c r="AD371" s="347"/>
      <c r="AE371" s="347"/>
      <c r="AF371" s="347"/>
      <c r="AG371" s="347">
        <f>AG447+AG453</f>
        <v>21266</v>
      </c>
      <c r="AH371" s="347"/>
      <c r="AI371" s="347"/>
      <c r="AJ371" s="347"/>
      <c r="AK371" s="347"/>
      <c r="AL371" s="347">
        <f>AL447+AL453</f>
        <v>23460</v>
      </c>
      <c r="AM371" s="347"/>
      <c r="AN371" s="347"/>
      <c r="AO371" s="347"/>
      <c r="AP371" s="347"/>
      <c r="AQ371" s="347">
        <f>AQ447+AQ453</f>
        <v>22875</v>
      </c>
      <c r="AR371" s="347"/>
      <c r="AS371" s="347"/>
      <c r="AT371" s="347"/>
      <c r="AU371" s="347"/>
      <c r="AV371" s="347">
        <f t="shared" ref="AV371:BU371" si="1791">AV447+AV453</f>
        <v>21342</v>
      </c>
      <c r="AW371" s="347"/>
      <c r="AX371" s="347"/>
      <c r="AY371" s="347"/>
      <c r="AZ371" s="347"/>
      <c r="BA371" s="347">
        <f t="shared" si="1791"/>
        <v>22875</v>
      </c>
      <c r="BB371" s="347"/>
      <c r="BC371" s="347"/>
      <c r="BD371" s="347"/>
      <c r="BE371" s="347"/>
      <c r="BF371" s="347">
        <f t="shared" si="1791"/>
        <v>22938.812000000002</v>
      </c>
      <c r="BG371" s="347"/>
      <c r="BH371" s="347"/>
      <c r="BI371" s="347"/>
      <c r="BJ371" s="347"/>
      <c r="BK371" s="347">
        <f t="shared" si="1791"/>
        <v>25132.851999999999</v>
      </c>
      <c r="BL371" s="347"/>
      <c r="BM371" s="347"/>
      <c r="BN371" s="347"/>
      <c r="BO371" s="347"/>
      <c r="BP371" s="347">
        <f t="shared" si="1791"/>
        <v>26009.094999999998</v>
      </c>
      <c r="BQ371" s="347"/>
      <c r="BR371" s="347"/>
      <c r="BS371" s="347"/>
      <c r="BT371" s="347"/>
      <c r="BU371" s="347">
        <f t="shared" si="1791"/>
        <v>26754.05</v>
      </c>
      <c r="BV371" s="347"/>
      <c r="BW371" s="347"/>
      <c r="BX371" s="347"/>
      <c r="BY371" s="347"/>
      <c r="BZ371" s="347">
        <f t="shared" ref="BZ371" si="1792">BZ447+BZ453</f>
        <v>31765.998</v>
      </c>
      <c r="CA371" s="347"/>
      <c r="CB371" s="347"/>
      <c r="CC371" s="347"/>
      <c r="CD371" s="347"/>
      <c r="CE371" s="347">
        <f t="shared" ref="CE371" si="1793">CE447+CE453</f>
        <v>35257.812999999995</v>
      </c>
      <c r="CF371" s="347"/>
      <c r="CG371" s="347"/>
      <c r="CH371" s="347"/>
      <c r="CI371" s="347"/>
      <c r="CJ371" s="347">
        <f t="shared" ref="CJ371" si="1794">CJ447+CJ453</f>
        <v>2950.0410000000015</v>
      </c>
      <c r="CK371" s="347"/>
      <c r="CL371" s="347"/>
      <c r="CM371" s="347"/>
      <c r="CN371" s="347"/>
      <c r="CO371" s="347">
        <f t="shared" ref="CO371:CR371" si="1795">CO447+CO453</f>
        <v>2979.7249000000015</v>
      </c>
      <c r="CP371" s="347">
        <f t="shared" si="1795"/>
        <v>3009.7056390000016</v>
      </c>
      <c r="CQ371" s="347">
        <f t="shared" si="1795"/>
        <v>3039.9861853900015</v>
      </c>
      <c r="CR371" s="347">
        <f t="shared" si="1795"/>
        <v>3070.5695372439018</v>
      </c>
      <c r="CS371" s="347">
        <f t="shared" ref="CS371:CT371" si="1796">CS447+CS453</f>
        <v>3101.4587226163408</v>
      </c>
      <c r="CT371" s="347">
        <f t="shared" si="1796"/>
        <v>3132.6567998425044</v>
      </c>
      <c r="CU371" s="347"/>
      <c r="CV371" s="1363"/>
      <c r="CW371" s="347"/>
      <c r="CX371" s="347"/>
      <c r="CY371" s="347"/>
      <c r="CZ371" s="347"/>
      <c r="DA371" s="347"/>
      <c r="ER371" s="486">
        <v>39947</v>
      </c>
      <c r="ES371" s="487">
        <v>1.0008999999999999</v>
      </c>
    </row>
    <row r="372" spans="1:149" hidden="1" outlineLevel="1">
      <c r="B372" s="407" t="s">
        <v>64</v>
      </c>
      <c r="C372" s="426" t="e">
        <f>C371/#REF!-1</f>
        <v>#REF!</v>
      </c>
      <c r="D372" s="426"/>
      <c r="E372" s="426"/>
      <c r="F372" s="426"/>
      <c r="G372" s="426"/>
      <c r="H372" s="426">
        <f>H371/C371-1</f>
        <v>0.50955319148936162</v>
      </c>
      <c r="I372" s="426"/>
      <c r="J372" s="426"/>
      <c r="K372" s="426"/>
      <c r="L372" s="426"/>
      <c r="M372" s="426">
        <f>M371/H371-1</f>
        <v>0.13644183518733</v>
      </c>
      <c r="N372" s="426"/>
      <c r="O372" s="426"/>
      <c r="P372" s="426"/>
      <c r="Q372" s="426"/>
      <c r="R372" s="426">
        <f>R371/M371-1</f>
        <v>0.2738017071569272</v>
      </c>
      <c r="S372" s="426"/>
      <c r="T372" s="426"/>
      <c r="U372" s="426"/>
      <c r="V372" s="426"/>
      <c r="W372" s="426">
        <f>W371/R371-1</f>
        <v>4.5933562428407848E-2</v>
      </c>
      <c r="X372" s="426"/>
      <c r="Y372" s="426"/>
      <c r="Z372" s="426"/>
      <c r="AA372" s="426"/>
      <c r="AB372" s="426">
        <f>AB371/W371-1</f>
        <v>0.1482312999671449</v>
      </c>
      <c r="AC372" s="426"/>
      <c r="AD372" s="426"/>
      <c r="AE372" s="426"/>
      <c r="AF372" s="426"/>
      <c r="AG372" s="426">
        <f>AG371/AB371-1</f>
        <v>1.4163765558681929E-2</v>
      </c>
      <c r="AH372" s="426"/>
      <c r="AI372" s="426"/>
      <c r="AJ372" s="426"/>
      <c r="AK372" s="426"/>
      <c r="AL372" s="426">
        <f>AL371/AG371-1</f>
        <v>0.10316937835041862</v>
      </c>
      <c r="AM372" s="426"/>
      <c r="AN372" s="426"/>
      <c r="AO372" s="426"/>
      <c r="AP372" s="426"/>
      <c r="AQ372" s="426">
        <f>AQ371/AL371-1</f>
        <v>-2.4936061381074182E-2</v>
      </c>
      <c r="AR372" s="426"/>
      <c r="AS372" s="426"/>
      <c r="AT372" s="426"/>
      <c r="AU372" s="426"/>
      <c r="AV372" s="426">
        <f>AV371/AQ371-1</f>
        <v>-6.7016393442623001E-2</v>
      </c>
      <c r="AW372" s="426"/>
      <c r="AX372" s="426"/>
      <c r="AY372" s="426"/>
      <c r="AZ372" s="426"/>
      <c r="BA372" s="426">
        <f>BA371/AV371-1</f>
        <v>7.1830193983694057E-2</v>
      </c>
      <c r="BB372" s="426"/>
      <c r="BC372" s="426"/>
      <c r="BD372" s="426"/>
      <c r="BE372" s="426"/>
      <c r="BF372" s="426">
        <f>BF371/BA371-1</f>
        <v>2.7895956284154089E-3</v>
      </c>
      <c r="BG372" s="426"/>
      <c r="BH372" s="426"/>
      <c r="BI372" s="426"/>
      <c r="BJ372" s="426"/>
      <c r="BK372" s="426">
        <f>BK371/BF371-1</f>
        <v>9.5647499094547506E-2</v>
      </c>
      <c r="BL372" s="426"/>
      <c r="BM372" s="426"/>
      <c r="BN372" s="426"/>
      <c r="BO372" s="426"/>
      <c r="BP372" s="426">
        <f>BP371/BK371-1</f>
        <v>3.4864447536634424E-2</v>
      </c>
      <c r="BQ372" s="426"/>
      <c r="BR372" s="426"/>
      <c r="BS372" s="426"/>
      <c r="BT372" s="426"/>
      <c r="BU372" s="426">
        <f>BU371/BP371-1</f>
        <v>2.8642096159055219E-2</v>
      </c>
      <c r="BV372" s="426"/>
      <c r="BW372" s="426"/>
      <c r="BX372" s="426"/>
      <c r="BY372" s="426"/>
      <c r="BZ372" s="426">
        <f>BZ371/BU371-1</f>
        <v>0.1873341793111698</v>
      </c>
      <c r="CA372" s="426"/>
      <c r="CB372" s="426"/>
      <c r="CC372" s="426"/>
      <c r="CD372" s="426"/>
      <c r="CE372" s="426">
        <f>CE371/BZ371-1</f>
        <v>0.10992303783435342</v>
      </c>
      <c r="CF372" s="426"/>
      <c r="CG372" s="426"/>
      <c r="CH372" s="426"/>
      <c r="CI372" s="426"/>
      <c r="CJ372" s="426">
        <f>CJ371/CE371-1</f>
        <v>-0.91632943881119333</v>
      </c>
      <c r="CK372" s="426"/>
      <c r="CL372" s="426"/>
      <c r="CM372" s="426"/>
      <c r="CN372" s="426"/>
      <c r="CO372" s="426">
        <f>CO371/CJ371-1</f>
        <v>1.0062199135537409E-2</v>
      </c>
      <c r="CP372" s="426">
        <f t="shared" ref="CP372:CR372" si="1797">CP371/CO371-1</f>
        <v>1.006157951024278E-2</v>
      </c>
      <c r="CQ372" s="426">
        <f t="shared" si="1797"/>
        <v>1.0060966095030155E-2</v>
      </c>
      <c r="CR372" s="426">
        <f t="shared" si="1797"/>
        <v>1.0060358826919025E-2</v>
      </c>
      <c r="CS372" s="426">
        <f t="shared" ref="CS372" si="1798">CS371/CR371-1</f>
        <v>1.0059757643581912E-2</v>
      </c>
      <c r="CT372" s="426">
        <f t="shared" ref="CT372" si="1799">CT371/CS371-1</f>
        <v>1.0059162483337936E-2</v>
      </c>
      <c r="CU372" s="347"/>
      <c r="CV372" s="1363"/>
      <c r="CW372" s="347"/>
      <c r="CX372" s="347"/>
      <c r="CY372" s="347"/>
      <c r="CZ372" s="347"/>
      <c r="DA372" s="347"/>
      <c r="ER372" s="486">
        <v>39948</v>
      </c>
      <c r="ES372" s="487">
        <v>0.99380000000000002</v>
      </c>
    </row>
    <row r="373" spans="1:149" hidden="1" outlineLevel="1">
      <c r="B373" s="407" t="s">
        <v>65</v>
      </c>
      <c r="C373" s="347" t="e">
        <f>(C371*1000)/C369</f>
        <v>#DIV/0!</v>
      </c>
      <c r="D373" s="347"/>
      <c r="E373" s="347"/>
      <c r="F373" s="347"/>
      <c r="G373" s="347"/>
      <c r="H373" s="347" t="e">
        <f>(H371*1000)/H369</f>
        <v>#DIV/0!</v>
      </c>
      <c r="I373" s="347"/>
      <c r="J373" s="347"/>
      <c r="K373" s="347"/>
      <c r="L373" s="347"/>
      <c r="M373" s="347" t="e">
        <f>(M371*1000)/M369</f>
        <v>#DIV/0!</v>
      </c>
      <c r="N373" s="347"/>
      <c r="O373" s="347"/>
      <c r="P373" s="347"/>
      <c r="Q373" s="347"/>
      <c r="R373" s="347" t="e">
        <f>(R371*1000)/R369</f>
        <v>#DIV/0!</v>
      </c>
      <c r="S373" s="347"/>
      <c r="T373" s="347"/>
      <c r="U373" s="347"/>
      <c r="V373" s="347"/>
      <c r="W373" s="347" t="e">
        <f>(W371*1000)/W369</f>
        <v>#DIV/0!</v>
      </c>
      <c r="X373" s="347"/>
      <c r="Y373" s="347"/>
      <c r="Z373" s="347"/>
      <c r="AA373" s="347"/>
      <c r="AB373" s="347" t="e">
        <f>(AB371*1000)/AB369</f>
        <v>#DIV/0!</v>
      </c>
      <c r="AC373" s="347"/>
      <c r="AD373" s="347"/>
      <c r="AE373" s="347"/>
      <c r="AF373" s="347"/>
      <c r="AG373" s="347" t="e">
        <f>(AG371*1000)/AG369</f>
        <v>#DIV/0!</v>
      </c>
      <c r="AH373" s="347"/>
      <c r="AI373" s="347"/>
      <c r="AJ373" s="347"/>
      <c r="AK373" s="347"/>
      <c r="AL373" s="347" t="e">
        <f>(AL371*1000)/AL369</f>
        <v>#DIV/0!</v>
      </c>
      <c r="AM373" s="347"/>
      <c r="AN373" s="347"/>
      <c r="AO373" s="347"/>
      <c r="AP373" s="347"/>
      <c r="AQ373" s="347" t="e">
        <f>(AQ371*1000)/AQ369</f>
        <v>#DIV/0!</v>
      </c>
      <c r="AR373" s="347"/>
      <c r="AS373" s="347"/>
      <c r="AT373" s="347"/>
      <c r="AU373" s="347"/>
      <c r="AV373" s="347" t="e">
        <f>(AV371*1000)/AV369</f>
        <v>#DIV/0!</v>
      </c>
      <c r="AW373" s="347"/>
      <c r="AX373" s="347"/>
      <c r="AY373" s="347"/>
      <c r="AZ373" s="347"/>
      <c r="BA373" s="347" t="e">
        <f>(BA371*1000)/BA369</f>
        <v>#DIV/0!</v>
      </c>
      <c r="BB373" s="347"/>
      <c r="BC373" s="347"/>
      <c r="BD373" s="347"/>
      <c r="BE373" s="347"/>
      <c r="BF373" s="347" t="e">
        <f>(BF371*1000)/BF369</f>
        <v>#DIV/0!</v>
      </c>
      <c r="BG373" s="347"/>
      <c r="BH373" s="347"/>
      <c r="BI373" s="347"/>
      <c r="BJ373" s="347"/>
      <c r="BK373" s="347" t="e">
        <f>(BK371*1000)/BK369</f>
        <v>#DIV/0!</v>
      </c>
      <c r="BL373" s="347"/>
      <c r="BM373" s="347"/>
      <c r="BN373" s="347"/>
      <c r="BO373" s="347"/>
      <c r="BP373" s="347" t="e">
        <f>(BP371*1000)/BP369</f>
        <v>#DIV/0!</v>
      </c>
      <c r="BQ373" s="347"/>
      <c r="BR373" s="347"/>
      <c r="BS373" s="347"/>
      <c r="BT373" s="347"/>
      <c r="BU373" s="347" t="e">
        <f>(BU371*1000)/BU369</f>
        <v>#DIV/0!</v>
      </c>
      <c r="BV373" s="347"/>
      <c r="BW373" s="347"/>
      <c r="BX373" s="347"/>
      <c r="BY373" s="347"/>
      <c r="BZ373" s="347" t="e">
        <f>(BZ371*1000)/BZ369</f>
        <v>#DIV/0!</v>
      </c>
      <c r="CA373" s="347"/>
      <c r="CB373" s="347"/>
      <c r="CC373" s="347"/>
      <c r="CD373" s="347"/>
      <c r="CE373" s="347" t="e">
        <f>(CE371*1000)/CE369</f>
        <v>#DIV/0!</v>
      </c>
      <c r="CF373" s="347"/>
      <c r="CG373" s="347"/>
      <c r="CH373" s="347"/>
      <c r="CI373" s="347"/>
      <c r="CJ373" s="347" t="e">
        <f>(CJ371*1000)/CJ369</f>
        <v>#DIV/0!</v>
      </c>
      <c r="CK373" s="347"/>
      <c r="CL373" s="347"/>
      <c r="CM373" s="347"/>
      <c r="CN373" s="347"/>
      <c r="CO373" s="347" t="e">
        <f t="shared" ref="CO373:CR373" si="1800">(CO371*1000)/CO369</f>
        <v>#DIV/0!</v>
      </c>
      <c r="CP373" s="347" t="e">
        <f t="shared" si="1800"/>
        <v>#DIV/0!</v>
      </c>
      <c r="CQ373" s="347" t="e">
        <f t="shared" si="1800"/>
        <v>#DIV/0!</v>
      </c>
      <c r="CR373" s="347" t="e">
        <f t="shared" si="1800"/>
        <v>#DIV/0!</v>
      </c>
      <c r="CS373" s="347" t="e">
        <f t="shared" ref="CS373:CT373" si="1801">(CS371*1000)/CS369</f>
        <v>#DIV/0!</v>
      </c>
      <c r="CT373" s="347" t="e">
        <f t="shared" si="1801"/>
        <v>#DIV/0!</v>
      </c>
      <c r="CU373" s="347"/>
      <c r="CV373" s="1363"/>
      <c r="CW373" s="347"/>
      <c r="CX373" s="347"/>
      <c r="CY373" s="347"/>
      <c r="CZ373" s="347"/>
      <c r="DA373" s="347"/>
      <c r="ER373" s="486">
        <v>39949</v>
      </c>
      <c r="ES373" s="487">
        <v>0.9708</v>
      </c>
    </row>
    <row r="374" spans="1:149" hidden="1" outlineLevel="1">
      <c r="B374" s="407" t="s">
        <v>64</v>
      </c>
      <c r="C374" s="426" t="e">
        <f>C373/#REF!-1</f>
        <v>#DIV/0!</v>
      </c>
      <c r="D374" s="426"/>
      <c r="E374" s="426"/>
      <c r="F374" s="426"/>
      <c r="G374" s="426"/>
      <c r="H374" s="426" t="e">
        <f>H373/C373-1</f>
        <v>#DIV/0!</v>
      </c>
      <c r="I374" s="426"/>
      <c r="J374" s="426"/>
      <c r="K374" s="426"/>
      <c r="L374" s="426"/>
      <c r="M374" s="426" t="e">
        <f>M373/H373-1</f>
        <v>#DIV/0!</v>
      </c>
      <c r="N374" s="426"/>
      <c r="O374" s="426"/>
      <c r="P374" s="426"/>
      <c r="Q374" s="426"/>
      <c r="R374" s="426" t="e">
        <f>R373/M373-1</f>
        <v>#DIV/0!</v>
      </c>
      <c r="S374" s="426"/>
      <c r="T374" s="426"/>
      <c r="U374" s="426"/>
      <c r="V374" s="426"/>
      <c r="W374" s="426" t="e">
        <f>W373/R373-1</f>
        <v>#DIV/0!</v>
      </c>
      <c r="X374" s="426"/>
      <c r="Y374" s="426"/>
      <c r="Z374" s="426"/>
      <c r="AA374" s="426"/>
      <c r="AB374" s="426" t="e">
        <f>AB373/W373-1</f>
        <v>#DIV/0!</v>
      </c>
      <c r="AC374" s="426"/>
      <c r="AD374" s="426"/>
      <c r="AE374" s="426"/>
      <c r="AF374" s="426"/>
      <c r="AG374" s="426" t="e">
        <f>AG373/AB373-1</f>
        <v>#DIV/0!</v>
      </c>
      <c r="AH374" s="426"/>
      <c r="AI374" s="426"/>
      <c r="AJ374" s="426"/>
      <c r="AK374" s="426"/>
      <c r="AL374" s="426" t="e">
        <f>AL373/AG373-1</f>
        <v>#DIV/0!</v>
      </c>
      <c r="AM374" s="426"/>
      <c r="AN374" s="426"/>
      <c r="AO374" s="426"/>
      <c r="AP374" s="426"/>
      <c r="AQ374" s="426" t="e">
        <f>AQ373/AL373-1</f>
        <v>#DIV/0!</v>
      </c>
      <c r="AR374" s="426"/>
      <c r="AS374" s="426"/>
      <c r="AT374" s="426"/>
      <c r="AU374" s="426"/>
      <c r="AV374" s="426" t="e">
        <f>AV373/AQ373-1</f>
        <v>#DIV/0!</v>
      </c>
      <c r="AW374" s="426"/>
      <c r="AX374" s="426"/>
      <c r="AY374" s="426"/>
      <c r="AZ374" s="426"/>
      <c r="BA374" s="426" t="e">
        <f>BA373/AV373-1</f>
        <v>#DIV/0!</v>
      </c>
      <c r="BB374" s="426"/>
      <c r="BC374" s="426"/>
      <c r="BD374" s="426"/>
      <c r="BE374" s="426"/>
      <c r="BF374" s="426" t="e">
        <f>BF373/BA373-1</f>
        <v>#DIV/0!</v>
      </c>
      <c r="BG374" s="426"/>
      <c r="BH374" s="426"/>
      <c r="BI374" s="426"/>
      <c r="BJ374" s="426"/>
      <c r="BK374" s="426" t="e">
        <f>BK373/BF373-1</f>
        <v>#DIV/0!</v>
      </c>
      <c r="BL374" s="426"/>
      <c r="BM374" s="426"/>
      <c r="BN374" s="426"/>
      <c r="BO374" s="426"/>
      <c r="BP374" s="426" t="e">
        <f>BP373/BK373-1</f>
        <v>#DIV/0!</v>
      </c>
      <c r="BQ374" s="426"/>
      <c r="BR374" s="426"/>
      <c r="BS374" s="426"/>
      <c r="BT374" s="426"/>
      <c r="BU374" s="426" t="e">
        <f>BU373/BP373-1</f>
        <v>#DIV/0!</v>
      </c>
      <c r="BV374" s="426"/>
      <c r="BW374" s="426"/>
      <c r="BX374" s="426"/>
      <c r="BY374" s="426"/>
      <c r="BZ374" s="426" t="e">
        <f>BZ373/BU373-1</f>
        <v>#DIV/0!</v>
      </c>
      <c r="CA374" s="426"/>
      <c r="CB374" s="426"/>
      <c r="CC374" s="426"/>
      <c r="CD374" s="426"/>
      <c r="CE374" s="426" t="e">
        <f>CE373/BZ373-1</f>
        <v>#DIV/0!</v>
      </c>
      <c r="CF374" s="426"/>
      <c r="CG374" s="426"/>
      <c r="CH374" s="426"/>
      <c r="CI374" s="426"/>
      <c r="CJ374" s="426" t="e">
        <f>CJ373/CE373-1</f>
        <v>#DIV/0!</v>
      </c>
      <c r="CK374" s="426"/>
      <c r="CL374" s="426"/>
      <c r="CM374" s="426"/>
      <c r="CN374" s="426"/>
      <c r="CO374" s="426" t="e">
        <f>CO373/CJ373-1</f>
        <v>#DIV/0!</v>
      </c>
      <c r="CP374" s="426" t="e">
        <f t="shared" ref="CP374:CR374" si="1802">CP373/CO373-1</f>
        <v>#DIV/0!</v>
      </c>
      <c r="CQ374" s="426" t="e">
        <f t="shared" si="1802"/>
        <v>#DIV/0!</v>
      </c>
      <c r="CR374" s="426" t="e">
        <f t="shared" si="1802"/>
        <v>#DIV/0!</v>
      </c>
      <c r="CS374" s="426" t="e">
        <f t="shared" ref="CS374" si="1803">CS373/CR373-1</f>
        <v>#DIV/0!</v>
      </c>
      <c r="CT374" s="426" t="e">
        <f t="shared" ref="CT374" si="1804">CT373/CS373-1</f>
        <v>#DIV/0!</v>
      </c>
      <c r="CU374" s="347"/>
      <c r="CV374" s="1363"/>
      <c r="CW374" s="347"/>
      <c r="CX374" s="347"/>
      <c r="CY374" s="347"/>
      <c r="CZ374" s="347"/>
      <c r="DA374" s="347"/>
      <c r="ER374" s="486">
        <v>39950</v>
      </c>
      <c r="ES374" s="487">
        <v>0.9577</v>
      </c>
    </row>
    <row r="375" spans="1:149" collapsed="1">
      <c r="B375" s="407"/>
      <c r="C375" s="347"/>
      <c r="D375" s="347"/>
      <c r="E375" s="347"/>
      <c r="F375" s="347"/>
      <c r="G375" s="347"/>
      <c r="H375" s="347"/>
      <c r="I375" s="347"/>
      <c r="J375" s="347"/>
      <c r="K375" s="347"/>
      <c r="L375" s="347"/>
      <c r="M375" s="347"/>
      <c r="N375" s="347"/>
      <c r="O375" s="347"/>
      <c r="P375" s="347"/>
      <c r="Q375" s="347"/>
      <c r="R375" s="347"/>
      <c r="S375" s="347"/>
      <c r="T375" s="347"/>
      <c r="U375" s="347"/>
      <c r="V375" s="347"/>
      <c r="W375" s="347"/>
      <c r="X375" s="347"/>
      <c r="Y375" s="347"/>
      <c r="Z375" s="347"/>
      <c r="AA375" s="347"/>
      <c r="AB375" s="347"/>
      <c r="AC375" s="347"/>
      <c r="AD375" s="347"/>
      <c r="AE375" s="347"/>
      <c r="AF375" s="347"/>
      <c r="AG375" s="347"/>
      <c r="AH375" s="347"/>
      <c r="AI375" s="347"/>
      <c r="AJ375" s="347"/>
      <c r="AK375" s="347"/>
      <c r="AL375" s="347"/>
      <c r="AM375" s="347"/>
      <c r="AN375" s="347"/>
      <c r="AO375" s="347"/>
      <c r="AP375" s="347"/>
      <c r="AQ375" s="347"/>
      <c r="AR375" s="347"/>
      <c r="AS375" s="347"/>
      <c r="AT375" s="347"/>
      <c r="AU375" s="347"/>
      <c r="AV375" s="347"/>
      <c r="AW375" s="347"/>
      <c r="AX375" s="347"/>
      <c r="AY375" s="347"/>
      <c r="AZ375" s="347"/>
      <c r="BA375" s="347"/>
      <c r="BB375" s="347"/>
      <c r="BC375" s="347"/>
      <c r="BD375" s="347"/>
      <c r="BE375" s="347"/>
      <c r="BF375" s="347"/>
      <c r="BG375" s="347"/>
      <c r="BH375" s="347"/>
      <c r="BI375" s="347"/>
      <c r="BJ375" s="347"/>
      <c r="BK375" s="347"/>
      <c r="BL375" s="347"/>
      <c r="BM375" s="347"/>
      <c r="BN375" s="347"/>
      <c r="BO375" s="347"/>
      <c r="BP375" s="347"/>
      <c r="BQ375" s="347"/>
      <c r="BR375" s="347"/>
      <c r="BS375" s="490"/>
      <c r="BT375" s="347"/>
      <c r="BU375" s="347"/>
      <c r="BV375" s="491"/>
      <c r="BW375" s="491"/>
      <c r="BX375" s="490"/>
      <c r="BY375" s="491"/>
      <c r="BZ375" s="347"/>
      <c r="CA375" s="491"/>
      <c r="CB375" s="353">
        <f t="shared" ref="CB375:CM375" si="1805">CB330/BW330-1</f>
        <v>3.4777914614124414</v>
      </c>
      <c r="CC375" s="353">
        <f t="shared" si="1805"/>
        <v>0.46569656603673515</v>
      </c>
      <c r="CD375" s="353">
        <f t="shared" si="1805"/>
        <v>0.36520316178307066</v>
      </c>
      <c r="CE375" s="353">
        <f t="shared" si="1805"/>
        <v>1.3662013072883306</v>
      </c>
      <c r="CF375" s="353">
        <f t="shared" si="1805"/>
        <v>0.29659770258851248</v>
      </c>
      <c r="CG375" s="353">
        <f t="shared" si="1805"/>
        <v>0.76041217832945418</v>
      </c>
      <c r="CH375" s="353">
        <f t="shared" si="1805"/>
        <v>0.79790737112470356</v>
      </c>
      <c r="CI375" s="353">
        <f t="shared" si="1805"/>
        <v>0.39537364801867225</v>
      </c>
      <c r="CJ375" s="353">
        <f t="shared" si="1805"/>
        <v>0.54725135226840416</v>
      </c>
      <c r="CK375" s="353">
        <f t="shared" si="1805"/>
        <v>-0.24061557030778891</v>
      </c>
      <c r="CL375" s="353">
        <f t="shared" si="1805"/>
        <v>-0.32340749073032726</v>
      </c>
      <c r="CM375" s="353">
        <f t="shared" si="1805"/>
        <v>-0.35576628098113794</v>
      </c>
      <c r="CN375" s="353"/>
      <c r="CO375" s="595">
        <v>0.1</v>
      </c>
      <c r="CP375" s="595">
        <v>0.08</v>
      </c>
      <c r="CQ375" s="595">
        <v>0.06</v>
      </c>
      <c r="CR375" s="595">
        <v>0.06</v>
      </c>
      <c r="CS375" s="595">
        <v>0.06</v>
      </c>
      <c r="CT375" s="595">
        <v>0.06</v>
      </c>
      <c r="CU375" s="347"/>
      <c r="CV375" s="1363"/>
      <c r="CW375" s="347"/>
      <c r="CX375" s="347"/>
    </row>
    <row r="376" spans="1:149">
      <c r="B376" s="407"/>
      <c r="C376" s="426"/>
      <c r="D376" s="426"/>
      <c r="E376" s="426"/>
      <c r="F376" s="426"/>
      <c r="G376" s="426"/>
      <c r="H376" s="426"/>
      <c r="I376" s="426"/>
      <c r="J376" s="426"/>
      <c r="K376" s="426"/>
      <c r="L376" s="426"/>
      <c r="M376" s="426"/>
      <c r="N376" s="426"/>
      <c r="O376" s="426"/>
      <c r="P376" s="426"/>
      <c r="Q376" s="426"/>
      <c r="R376" s="426"/>
      <c r="S376" s="426"/>
      <c r="T376" s="426"/>
      <c r="U376" s="426"/>
      <c r="V376" s="426"/>
      <c r="W376" s="426"/>
      <c r="X376" s="426"/>
      <c r="Y376" s="426"/>
      <c r="Z376" s="426"/>
      <c r="AA376" s="426"/>
      <c r="AB376" s="426"/>
      <c r="AC376" s="426"/>
      <c r="AD376" s="426"/>
      <c r="AE376" s="426"/>
      <c r="AF376" s="426"/>
      <c r="AG376" s="426"/>
      <c r="AH376" s="426"/>
      <c r="AI376" s="426"/>
      <c r="AJ376" s="426"/>
      <c r="AK376" s="426"/>
      <c r="AL376" s="426"/>
      <c r="AM376" s="426"/>
      <c r="AN376" s="426"/>
      <c r="AO376" s="426"/>
      <c r="AP376" s="426"/>
      <c r="AQ376" s="426"/>
      <c r="AR376" s="426"/>
      <c r="AS376" s="426"/>
      <c r="AT376" s="426"/>
      <c r="AU376" s="426"/>
      <c r="AV376" s="426"/>
      <c r="AW376" s="426"/>
      <c r="AX376" s="426"/>
      <c r="AY376" s="426"/>
      <c r="AZ376" s="426"/>
      <c r="BA376" s="426"/>
      <c r="BB376" s="426"/>
      <c r="BC376" s="426"/>
      <c r="BD376" s="426"/>
      <c r="BE376" s="426"/>
      <c r="BF376" s="426"/>
      <c r="BG376" s="426"/>
      <c r="BH376" s="426"/>
      <c r="BI376" s="426"/>
      <c r="BJ376" s="426"/>
      <c r="BK376" s="426"/>
      <c r="BL376" s="426"/>
      <c r="BM376" s="426"/>
      <c r="BN376" s="426"/>
      <c r="BO376" s="426"/>
      <c r="BP376" s="426"/>
      <c r="BQ376" s="426"/>
      <c r="BR376" s="426"/>
      <c r="BS376" s="426"/>
      <c r="BT376" s="426"/>
      <c r="BU376" s="426"/>
      <c r="BV376" s="426"/>
      <c r="BW376" s="426"/>
      <c r="BX376" s="426"/>
      <c r="BY376" s="426"/>
      <c r="BZ376" s="426"/>
      <c r="CA376" s="426"/>
      <c r="CB376" s="426"/>
      <c r="CC376" s="426"/>
      <c r="CD376" s="426"/>
      <c r="CE376" s="426"/>
      <c r="CF376" s="426"/>
      <c r="CG376" s="426"/>
      <c r="CH376" s="426"/>
      <c r="CI376" s="426"/>
      <c r="CJ376" s="426"/>
      <c r="CK376" s="426"/>
      <c r="CL376" s="426"/>
      <c r="CM376" s="426"/>
      <c r="CN376" s="426"/>
      <c r="CO376" s="426"/>
      <c r="CP376" s="426"/>
      <c r="CQ376" s="426"/>
      <c r="CR376" s="426"/>
      <c r="CS376" s="426"/>
      <c r="CT376" s="426"/>
      <c r="CU376" s="347"/>
      <c r="CV376" s="1363"/>
      <c r="CW376" s="347"/>
      <c r="CX376" s="347"/>
    </row>
    <row r="377" spans="1:149">
      <c r="B377" s="407"/>
      <c r="C377" s="426"/>
      <c r="D377" s="426"/>
      <c r="E377" s="426"/>
      <c r="F377" s="426"/>
      <c r="G377" s="426"/>
      <c r="H377" s="426"/>
      <c r="I377" s="426"/>
      <c r="J377" s="426"/>
      <c r="K377" s="426"/>
      <c r="L377" s="426"/>
      <c r="M377" s="426"/>
      <c r="N377" s="426"/>
      <c r="O377" s="426"/>
      <c r="P377" s="426"/>
      <c r="Q377" s="426"/>
      <c r="R377" s="426"/>
      <c r="S377" s="426"/>
      <c r="T377" s="426"/>
      <c r="U377" s="426"/>
      <c r="V377" s="426"/>
      <c r="W377" s="426"/>
      <c r="X377" s="426"/>
      <c r="Y377" s="426"/>
      <c r="Z377" s="426"/>
      <c r="AA377" s="426"/>
      <c r="AB377" s="426"/>
      <c r="AC377" s="426"/>
      <c r="AD377" s="426"/>
      <c r="AE377" s="426"/>
      <c r="AF377" s="426"/>
      <c r="AG377" s="426"/>
      <c r="AH377" s="426"/>
      <c r="AI377" s="426"/>
      <c r="AJ377" s="426"/>
      <c r="AK377" s="426"/>
      <c r="AL377" s="426"/>
      <c r="AM377" s="426"/>
      <c r="AN377" s="426"/>
      <c r="AO377" s="426"/>
      <c r="AP377" s="426"/>
      <c r="AQ377" s="426"/>
      <c r="AR377" s="426"/>
      <c r="AS377" s="426"/>
      <c r="AT377" s="426"/>
      <c r="AU377" s="426"/>
      <c r="AV377" s="426"/>
      <c r="AW377" s="426"/>
      <c r="AX377" s="426"/>
      <c r="AY377" s="426"/>
      <c r="AZ377" s="426"/>
      <c r="BA377" s="426"/>
      <c r="BB377" s="426"/>
      <c r="BC377" s="426"/>
      <c r="BD377" s="426"/>
      <c r="BE377" s="426"/>
      <c r="BF377" s="426"/>
      <c r="BG377" s="426"/>
      <c r="BH377" s="426"/>
      <c r="BI377" s="426"/>
      <c r="BJ377" s="426"/>
      <c r="BK377" s="426"/>
      <c r="BL377" s="426"/>
      <c r="BM377" s="426"/>
      <c r="BN377" s="426"/>
      <c r="BO377" s="426"/>
      <c r="BP377" s="426"/>
      <c r="BQ377" s="426"/>
      <c r="BR377" s="426"/>
      <c r="BS377" s="426"/>
      <c r="BT377" s="426"/>
      <c r="BU377" s="426"/>
      <c r="BV377" s="426"/>
      <c r="BW377" s="426"/>
      <c r="BX377" s="426"/>
      <c r="BY377" s="426"/>
      <c r="BZ377" s="426"/>
      <c r="CA377" s="426"/>
      <c r="CB377" s="426"/>
      <c r="CC377" s="426"/>
      <c r="CD377" s="426"/>
      <c r="CE377" s="426"/>
      <c r="CF377" s="426"/>
      <c r="CG377" s="426"/>
      <c r="CH377" s="426"/>
      <c r="CI377" s="426"/>
      <c r="CJ377" s="426"/>
      <c r="CK377" s="426"/>
      <c r="CL377" s="426"/>
      <c r="CM377" s="426"/>
      <c r="CN377" s="426"/>
      <c r="CO377" s="426"/>
      <c r="CP377" s="426"/>
      <c r="CQ377" s="426"/>
      <c r="CR377" s="426"/>
      <c r="CS377" s="426"/>
      <c r="CT377" s="426"/>
      <c r="CU377" s="347"/>
      <c r="CV377" s="1363"/>
      <c r="CW377" s="347"/>
      <c r="CX377" s="347"/>
    </row>
    <row r="378" spans="1:149">
      <c r="A378" s="759" t="s">
        <v>615</v>
      </c>
      <c r="B378" s="1326" t="s">
        <v>66</v>
      </c>
      <c r="C378" s="1327">
        <f>C$4</f>
        <v>2007</v>
      </c>
      <c r="D378" s="1327" t="str">
        <f t="shared" ref="D378:BO378" si="1806">D$4</f>
        <v>Q1</v>
      </c>
      <c r="E378" s="1327" t="str">
        <f t="shared" si="1806"/>
        <v>Q2</v>
      </c>
      <c r="F378" s="1327" t="str">
        <f t="shared" si="1806"/>
        <v>Q3</v>
      </c>
      <c r="G378" s="1327" t="str">
        <f t="shared" si="1806"/>
        <v>Q4</v>
      </c>
      <c r="H378" s="1327">
        <f t="shared" si="1806"/>
        <v>2008</v>
      </c>
      <c r="I378" s="1327" t="str">
        <f t="shared" si="1806"/>
        <v>Q1</v>
      </c>
      <c r="J378" s="1327" t="str">
        <f t="shared" si="1806"/>
        <v>Q2</v>
      </c>
      <c r="K378" s="1327" t="str">
        <f t="shared" si="1806"/>
        <v>Q3</v>
      </c>
      <c r="L378" s="1327" t="str">
        <f t="shared" si="1806"/>
        <v>Q4</v>
      </c>
      <c r="M378" s="1327">
        <f t="shared" si="1806"/>
        <v>2009</v>
      </c>
      <c r="N378" s="1327" t="str">
        <f t="shared" si="1806"/>
        <v>Q1</v>
      </c>
      <c r="O378" s="1327" t="str">
        <f t="shared" si="1806"/>
        <v>Q2</v>
      </c>
      <c r="P378" s="1327" t="str">
        <f t="shared" si="1806"/>
        <v>Q3</v>
      </c>
      <c r="Q378" s="1327" t="str">
        <f t="shared" si="1806"/>
        <v>Q4</v>
      </c>
      <c r="R378" s="1327">
        <f t="shared" si="1806"/>
        <v>2010</v>
      </c>
      <c r="S378" s="1327" t="str">
        <f t="shared" si="1806"/>
        <v>Q1</v>
      </c>
      <c r="T378" s="1327" t="str">
        <f t="shared" si="1806"/>
        <v>Q2</v>
      </c>
      <c r="U378" s="1327" t="str">
        <f t="shared" si="1806"/>
        <v>Q3</v>
      </c>
      <c r="V378" s="1327" t="str">
        <f t="shared" si="1806"/>
        <v>Q4</v>
      </c>
      <c r="W378" s="1327">
        <f t="shared" si="1806"/>
        <v>2011</v>
      </c>
      <c r="X378" s="1327" t="str">
        <f t="shared" si="1806"/>
        <v>Q1</v>
      </c>
      <c r="Y378" s="1327" t="str">
        <f t="shared" si="1806"/>
        <v>Q2</v>
      </c>
      <c r="Z378" s="1327" t="str">
        <f t="shared" si="1806"/>
        <v>Q3</v>
      </c>
      <c r="AA378" s="1327" t="str">
        <f t="shared" si="1806"/>
        <v>Q4</v>
      </c>
      <c r="AB378" s="1327">
        <f t="shared" si="1806"/>
        <v>2012</v>
      </c>
      <c r="AC378" s="1327" t="str">
        <f t="shared" si="1806"/>
        <v>Q1</v>
      </c>
      <c r="AD378" s="1327" t="str">
        <f t="shared" si="1806"/>
        <v>Q2</v>
      </c>
      <c r="AE378" s="1327" t="str">
        <f t="shared" si="1806"/>
        <v>Q3</v>
      </c>
      <c r="AF378" s="1327" t="str">
        <f t="shared" si="1806"/>
        <v>Q4</v>
      </c>
      <c r="AG378" s="1327">
        <f t="shared" si="1806"/>
        <v>2013</v>
      </c>
      <c r="AH378" s="1327" t="str">
        <f t="shared" si="1806"/>
        <v>Q1</v>
      </c>
      <c r="AI378" s="1327" t="str">
        <f t="shared" si="1806"/>
        <v>Q2</v>
      </c>
      <c r="AJ378" s="1327" t="str">
        <f t="shared" si="1806"/>
        <v>Q3</v>
      </c>
      <c r="AK378" s="1327" t="str">
        <f t="shared" si="1806"/>
        <v>Q4</v>
      </c>
      <c r="AL378" s="1327">
        <f t="shared" si="1806"/>
        <v>2014</v>
      </c>
      <c r="AM378" s="1327" t="str">
        <f t="shared" si="1806"/>
        <v>Q1</v>
      </c>
      <c r="AN378" s="1327" t="str">
        <f t="shared" si="1806"/>
        <v>Q2</v>
      </c>
      <c r="AO378" s="1327" t="str">
        <f t="shared" si="1806"/>
        <v>Q3</v>
      </c>
      <c r="AP378" s="1327" t="str">
        <f t="shared" si="1806"/>
        <v>Q4</v>
      </c>
      <c r="AQ378" s="1327">
        <f t="shared" si="1806"/>
        <v>2015</v>
      </c>
      <c r="AR378" s="1327" t="str">
        <f t="shared" si="1806"/>
        <v>Q1</v>
      </c>
      <c r="AS378" s="1327" t="str">
        <f t="shared" si="1806"/>
        <v>Q2</v>
      </c>
      <c r="AT378" s="1327" t="str">
        <f t="shared" si="1806"/>
        <v>Q3</v>
      </c>
      <c r="AU378" s="1327" t="str">
        <f t="shared" si="1806"/>
        <v>Q4</v>
      </c>
      <c r="AV378" s="1327">
        <f t="shared" si="1806"/>
        <v>2016</v>
      </c>
      <c r="AW378" s="1327" t="str">
        <f t="shared" si="1806"/>
        <v>Q1</v>
      </c>
      <c r="AX378" s="1327" t="str">
        <f t="shared" si="1806"/>
        <v>Q2</v>
      </c>
      <c r="AY378" s="1327" t="str">
        <f t="shared" si="1806"/>
        <v>Q3</v>
      </c>
      <c r="AZ378" s="1327" t="str">
        <f t="shared" si="1806"/>
        <v>Q4</v>
      </c>
      <c r="BA378" s="1327">
        <f t="shared" si="1806"/>
        <v>2017</v>
      </c>
      <c r="BB378" s="1327" t="str">
        <f t="shared" si="1806"/>
        <v>Q1</v>
      </c>
      <c r="BC378" s="1327" t="str">
        <f t="shared" si="1806"/>
        <v>Q2</v>
      </c>
      <c r="BD378" s="1327" t="str">
        <f t="shared" si="1806"/>
        <v>Q3</v>
      </c>
      <c r="BE378" s="1327" t="str">
        <f t="shared" si="1806"/>
        <v>Q4</v>
      </c>
      <c r="BF378" s="1327">
        <f t="shared" si="1806"/>
        <v>2018</v>
      </c>
      <c r="BG378" s="1327" t="str">
        <f t="shared" si="1806"/>
        <v>Q1</v>
      </c>
      <c r="BH378" s="1327" t="str">
        <f t="shared" si="1806"/>
        <v>Q2</v>
      </c>
      <c r="BI378" s="1327" t="str">
        <f t="shared" si="1806"/>
        <v>Q3</v>
      </c>
      <c r="BJ378" s="1327" t="str">
        <f t="shared" si="1806"/>
        <v>Q4</v>
      </c>
      <c r="BK378" s="1327">
        <f t="shared" si="1806"/>
        <v>2019</v>
      </c>
      <c r="BL378" s="1327" t="str">
        <f t="shared" si="1806"/>
        <v>Q1</v>
      </c>
      <c r="BM378" s="1327" t="str">
        <f t="shared" si="1806"/>
        <v>Q2</v>
      </c>
      <c r="BN378" s="1327" t="str">
        <f t="shared" si="1806"/>
        <v>Q3</v>
      </c>
      <c r="BO378" s="1327" t="str">
        <f t="shared" si="1806"/>
        <v>Q4</v>
      </c>
      <c r="BP378" s="1327">
        <f t="shared" ref="BP378:CT378" si="1807">BP$4</f>
        <v>2020</v>
      </c>
      <c r="BQ378" s="1327" t="str">
        <f t="shared" si="1807"/>
        <v>Q1</v>
      </c>
      <c r="BR378" s="1327" t="str">
        <f t="shared" si="1807"/>
        <v>Q2</v>
      </c>
      <c r="BS378" s="1327" t="str">
        <f t="shared" si="1807"/>
        <v>Q3</v>
      </c>
      <c r="BT378" s="1327" t="str">
        <f t="shared" si="1807"/>
        <v>Q4</v>
      </c>
      <c r="BU378" s="1327">
        <f t="shared" si="1807"/>
        <v>2021</v>
      </c>
      <c r="BV378" s="1327" t="str">
        <f t="shared" si="1807"/>
        <v>Q1</v>
      </c>
      <c r="BW378" s="1327" t="str">
        <f t="shared" si="1807"/>
        <v>Q2</v>
      </c>
      <c r="BX378" s="1327" t="str">
        <f t="shared" si="1807"/>
        <v>Q3</v>
      </c>
      <c r="BY378" s="1327" t="str">
        <f t="shared" si="1807"/>
        <v>Q4</v>
      </c>
      <c r="BZ378" s="1327">
        <f t="shared" si="1807"/>
        <v>2022</v>
      </c>
      <c r="CA378" s="1327" t="str">
        <f t="shared" si="1807"/>
        <v>Q1</v>
      </c>
      <c r="CB378" s="1327" t="str">
        <f t="shared" si="1807"/>
        <v>Q2</v>
      </c>
      <c r="CC378" s="1327" t="str">
        <f t="shared" si="1807"/>
        <v>Q3</v>
      </c>
      <c r="CD378" s="1327" t="str">
        <f t="shared" si="1807"/>
        <v>Q4</v>
      </c>
      <c r="CE378" s="1327">
        <f t="shared" si="1807"/>
        <v>2023</v>
      </c>
      <c r="CF378" s="1327" t="str">
        <f t="shared" si="1807"/>
        <v>Q1</v>
      </c>
      <c r="CG378" s="1327" t="str">
        <f t="shared" si="1807"/>
        <v>Q2</v>
      </c>
      <c r="CH378" s="1327" t="str">
        <f t="shared" si="1807"/>
        <v>Q3</v>
      </c>
      <c r="CI378" s="1327" t="str">
        <f t="shared" si="1807"/>
        <v>Q4</v>
      </c>
      <c r="CJ378" s="1327">
        <f t="shared" si="1807"/>
        <v>2024</v>
      </c>
      <c r="CK378" s="1327" t="str">
        <f t="shared" si="1807"/>
        <v>Q1</v>
      </c>
      <c r="CL378" s="1327" t="str">
        <f t="shared" si="1807"/>
        <v>Q2</v>
      </c>
      <c r="CM378" s="1327" t="str">
        <f t="shared" si="1807"/>
        <v>Q3</v>
      </c>
      <c r="CN378" s="1327"/>
      <c r="CO378" s="1327">
        <f t="shared" si="1807"/>
        <v>2025</v>
      </c>
      <c r="CP378" s="1327">
        <f t="shared" si="1807"/>
        <v>2026</v>
      </c>
      <c r="CQ378" s="1327">
        <f t="shared" si="1807"/>
        <v>2027</v>
      </c>
      <c r="CR378" s="1327">
        <f t="shared" si="1807"/>
        <v>2028</v>
      </c>
      <c r="CS378" s="1327">
        <f t="shared" si="1807"/>
        <v>2029</v>
      </c>
      <c r="CT378" s="1327">
        <f t="shared" si="1807"/>
        <v>2030</v>
      </c>
      <c r="CU378" s="364"/>
      <c r="CV378" s="1362"/>
      <c r="CW378" s="364"/>
      <c r="CX378" s="364"/>
      <c r="CY378" s="399"/>
    </row>
    <row r="379" spans="1:149">
      <c r="B379" s="407"/>
      <c r="C379" s="493"/>
      <c r="D379" s="493"/>
      <c r="E379" s="493"/>
      <c r="F379" s="493"/>
      <c r="G379" s="493"/>
      <c r="H379" s="493"/>
      <c r="I379" s="493"/>
      <c r="J379" s="493"/>
      <c r="K379" s="493"/>
      <c r="L379" s="493"/>
      <c r="M379" s="493"/>
      <c r="N379" s="493"/>
      <c r="O379" s="493"/>
      <c r="P379" s="493"/>
      <c r="Q379" s="493"/>
      <c r="R379" s="493"/>
      <c r="S379" s="493"/>
      <c r="T379" s="493"/>
      <c r="U379" s="493"/>
      <c r="V379" s="493"/>
      <c r="W379" s="493"/>
      <c r="X379" s="493"/>
      <c r="Y379" s="493"/>
      <c r="Z379" s="493"/>
      <c r="AA379" s="493"/>
      <c r="AB379" s="493"/>
      <c r="AC379" s="493"/>
      <c r="AD379" s="493"/>
      <c r="AE379" s="493"/>
      <c r="AF379" s="493"/>
      <c r="AG379" s="493"/>
      <c r="AH379" s="493"/>
      <c r="AI379" s="493"/>
      <c r="AJ379" s="493"/>
      <c r="AK379" s="493"/>
      <c r="AL379" s="493"/>
      <c r="AM379" s="493"/>
      <c r="AN379" s="493"/>
      <c r="AO379" s="493"/>
      <c r="AP379" s="493"/>
      <c r="AQ379" s="493"/>
      <c r="AR379" s="347"/>
      <c r="AS379" s="347"/>
      <c r="AT379" s="347"/>
      <c r="AU379" s="347"/>
      <c r="AV379" s="347"/>
      <c r="AW379" s="347"/>
      <c r="AX379" s="347"/>
      <c r="AY379" s="347"/>
      <c r="AZ379" s="347"/>
      <c r="BA379" s="347"/>
      <c r="BB379" s="347"/>
      <c r="BC379" s="347"/>
      <c r="BD379" s="347"/>
      <c r="BE379" s="347"/>
      <c r="BF379" s="347"/>
      <c r="BG379" s="347"/>
      <c r="BH379" s="347"/>
      <c r="BI379" s="347"/>
      <c r="BJ379" s="347"/>
      <c r="BK379" s="347"/>
      <c r="BL379" s="347"/>
      <c r="BM379" s="347"/>
      <c r="BN379" s="347"/>
      <c r="BO379" s="347"/>
      <c r="BP379" s="347"/>
      <c r="BQ379" s="347"/>
      <c r="BR379" s="347"/>
      <c r="BS379" s="347"/>
      <c r="BT379" s="347"/>
      <c r="BU379" s="347"/>
      <c r="BV379" s="347"/>
      <c r="BW379" s="347"/>
      <c r="BX379" s="347"/>
      <c r="BY379" s="347"/>
      <c r="BZ379" s="347"/>
      <c r="CA379" s="347"/>
      <c r="CB379" s="347"/>
      <c r="CC379" s="347"/>
      <c r="CD379" s="347"/>
      <c r="CE379" s="347"/>
      <c r="CF379" s="347"/>
      <c r="CG379" s="347"/>
      <c r="CH379" s="347"/>
      <c r="CI379" s="347"/>
      <c r="CJ379" s="347"/>
      <c r="CK379" s="347"/>
      <c r="CL379" s="347"/>
      <c r="CM379" s="347"/>
      <c r="CN379" s="347"/>
      <c r="CO379" s="347"/>
      <c r="CP379" s="347"/>
      <c r="CQ379" s="347"/>
      <c r="CR379" s="347"/>
      <c r="CS379" s="347"/>
      <c r="CT379" s="347"/>
      <c r="CU379" s="347"/>
      <c r="CV379" s="1363"/>
      <c r="CW379" s="347"/>
      <c r="CX379" s="347"/>
      <c r="CZ379" s="355"/>
      <c r="DA379" s="355"/>
      <c r="DB379" s="355"/>
      <c r="DC379" s="355"/>
      <c r="DD379" s="355"/>
      <c r="DE379" s="355"/>
      <c r="EN379" s="486">
        <v>39954</v>
      </c>
      <c r="EO379" s="487">
        <v>0.98229999999999995</v>
      </c>
    </row>
    <row r="380" spans="1:149">
      <c r="B380" s="407" t="s">
        <v>72</v>
      </c>
      <c r="C380" s="494"/>
      <c r="D380" s="494"/>
      <c r="E380" s="494"/>
      <c r="F380" s="494"/>
      <c r="G380" s="494"/>
      <c r="H380" s="494"/>
      <c r="I380" s="494"/>
      <c r="J380" s="494"/>
      <c r="K380" s="494"/>
      <c r="L380" s="494"/>
      <c r="M380" s="494"/>
      <c r="N380" s="494"/>
      <c r="O380" s="494"/>
      <c r="P380" s="494"/>
      <c r="Q380" s="494"/>
      <c r="R380" s="494"/>
      <c r="S380" s="494"/>
      <c r="T380" s="494"/>
      <c r="U380" s="494"/>
      <c r="V380" s="494"/>
      <c r="W380" s="494"/>
      <c r="X380" s="495"/>
      <c r="Y380" s="495"/>
      <c r="Z380" s="495"/>
      <c r="AA380" s="495"/>
      <c r="AB380" s="495"/>
      <c r="AC380" s="495"/>
      <c r="AD380" s="495"/>
      <c r="AE380" s="495"/>
      <c r="AF380" s="495"/>
      <c r="AG380" s="495"/>
      <c r="AH380" s="495"/>
      <c r="AI380" s="495"/>
      <c r="AJ380" s="495"/>
      <c r="AK380" s="495"/>
      <c r="AL380" s="495"/>
      <c r="AM380" s="495"/>
      <c r="AN380" s="495"/>
      <c r="AO380" s="495"/>
      <c r="AP380" s="495"/>
      <c r="AQ380" s="495"/>
      <c r="AR380" s="495"/>
      <c r="AS380" s="495"/>
      <c r="AT380" s="495"/>
      <c r="AU380" s="495"/>
      <c r="AV380" s="495"/>
      <c r="AW380" s="495"/>
      <c r="AX380" s="495"/>
      <c r="AY380" s="495"/>
      <c r="AZ380" s="495"/>
      <c r="BA380" s="495"/>
      <c r="BB380" s="495"/>
      <c r="BC380" s="495"/>
      <c r="BD380" s="495"/>
      <c r="BE380" s="495"/>
      <c r="BF380" s="495"/>
      <c r="BG380" s="495"/>
      <c r="BH380" s="495"/>
      <c r="BI380" s="495"/>
      <c r="BJ380" s="495"/>
      <c r="BK380" s="495"/>
      <c r="BL380" s="496"/>
      <c r="BM380" s="496"/>
      <c r="BN380" s="496"/>
      <c r="BO380" s="496"/>
      <c r="BP380" s="496"/>
      <c r="BQ380" s="496"/>
      <c r="BR380" s="496"/>
      <c r="BS380" s="496"/>
      <c r="BT380" s="496"/>
      <c r="BU380" s="496"/>
      <c r="BV380" s="496"/>
      <c r="BW380" s="496"/>
      <c r="BX380" s="496"/>
      <c r="BY380" s="496"/>
      <c r="BZ380" s="496"/>
      <c r="CA380" s="496"/>
      <c r="CB380" s="496"/>
      <c r="CC380" s="496"/>
      <c r="CD380" s="496"/>
      <c r="CE380" s="496"/>
      <c r="CF380" s="496"/>
      <c r="CG380" s="496"/>
      <c r="CH380" s="496"/>
      <c r="CI380" s="496"/>
      <c r="CJ380" s="496"/>
      <c r="CK380" s="496"/>
      <c r="CL380" s="496"/>
      <c r="CM380" s="496"/>
      <c r="CN380" s="496"/>
      <c r="CO380" s="496"/>
      <c r="CP380" s="496"/>
      <c r="CQ380" s="496"/>
      <c r="CR380" s="496"/>
      <c r="CS380" s="496"/>
      <c r="CT380" s="496"/>
      <c r="CU380" s="364"/>
      <c r="CV380" s="1362"/>
      <c r="CW380" s="364"/>
      <c r="CX380" s="364"/>
      <c r="CY380" s="364"/>
      <c r="CZ380" s="347"/>
      <c r="DA380" s="347"/>
    </row>
    <row r="381" spans="1:149">
      <c r="B381" s="407" t="s">
        <v>68</v>
      </c>
      <c r="C381" s="426"/>
      <c r="D381" s="426"/>
      <c r="E381" s="426"/>
      <c r="F381" s="426"/>
      <c r="G381" s="426"/>
      <c r="H381" s="426"/>
      <c r="I381" s="426"/>
      <c r="J381" s="426"/>
      <c r="K381" s="426"/>
      <c r="L381" s="426"/>
      <c r="M381" s="426"/>
      <c r="N381" s="426"/>
      <c r="O381" s="426"/>
      <c r="P381" s="426"/>
      <c r="Q381" s="426"/>
      <c r="R381" s="426"/>
      <c r="S381" s="426"/>
      <c r="T381" s="426"/>
      <c r="U381" s="426"/>
      <c r="V381" s="426"/>
      <c r="W381" s="426"/>
      <c r="X381" s="426"/>
      <c r="Y381" s="426"/>
      <c r="Z381" s="426"/>
      <c r="AA381" s="426"/>
      <c r="AB381" s="426"/>
      <c r="AC381" s="426"/>
      <c r="AD381" s="426"/>
      <c r="AE381" s="426"/>
      <c r="AF381" s="426"/>
      <c r="AG381" s="426"/>
      <c r="AH381" s="426"/>
      <c r="AI381" s="426"/>
      <c r="AJ381" s="426"/>
      <c r="AK381" s="426"/>
      <c r="AL381" s="426"/>
      <c r="AM381" s="426"/>
      <c r="AN381" s="426"/>
      <c r="AO381" s="426"/>
      <c r="AP381" s="426"/>
      <c r="AQ381" s="426"/>
      <c r="AR381" s="426"/>
      <c r="AS381" s="426"/>
      <c r="AT381" s="426"/>
      <c r="AU381" s="426"/>
      <c r="AV381" s="426"/>
      <c r="AW381" s="426"/>
      <c r="AX381" s="426"/>
      <c r="AY381" s="426"/>
      <c r="AZ381" s="426"/>
      <c r="BA381" s="426"/>
      <c r="BB381" s="426"/>
      <c r="BC381" s="426"/>
      <c r="BD381" s="426"/>
      <c r="BE381" s="426"/>
      <c r="BF381" s="426"/>
      <c r="BG381" s="426"/>
      <c r="BH381" s="426"/>
      <c r="BI381" s="426"/>
      <c r="BJ381" s="426"/>
      <c r="BK381" s="426"/>
      <c r="BL381" s="426"/>
      <c r="BM381" s="426"/>
      <c r="BN381" s="426"/>
      <c r="BO381" s="426"/>
      <c r="BP381" s="426"/>
      <c r="BQ381" s="426"/>
      <c r="BR381" s="426"/>
      <c r="BS381" s="426"/>
      <c r="BT381" s="426"/>
      <c r="BU381" s="426"/>
      <c r="BV381" s="426"/>
      <c r="BW381" s="426"/>
      <c r="BX381" s="426"/>
      <c r="BY381" s="426"/>
      <c r="BZ381" s="426"/>
      <c r="CA381" s="426"/>
      <c r="CB381" s="426"/>
      <c r="CC381" s="426"/>
      <c r="CD381" s="426"/>
      <c r="CE381" s="426"/>
      <c r="CF381" s="426"/>
      <c r="CG381" s="426"/>
      <c r="CH381" s="426"/>
      <c r="CI381" s="426"/>
      <c r="CJ381" s="426"/>
      <c r="CK381" s="426"/>
      <c r="CL381" s="426"/>
      <c r="CM381" s="426"/>
      <c r="CN381" s="426"/>
      <c r="CO381" s="426"/>
      <c r="CP381" s="426"/>
      <c r="CQ381" s="426"/>
      <c r="CR381" s="426"/>
      <c r="CS381" s="426"/>
      <c r="CT381" s="426"/>
      <c r="CU381" s="347"/>
      <c r="CV381" s="1363"/>
      <c r="CW381" s="347"/>
      <c r="CX381" s="347"/>
      <c r="CY381" s="347"/>
      <c r="CZ381" s="347"/>
      <c r="DA381" s="347"/>
    </row>
    <row r="382" spans="1:149">
      <c r="B382" s="407" t="s">
        <v>73</v>
      </c>
      <c r="C382" s="479"/>
      <c r="D382" s="479"/>
      <c r="E382" s="479"/>
      <c r="F382" s="479"/>
      <c r="G382" s="479"/>
      <c r="H382" s="479"/>
      <c r="I382" s="479"/>
      <c r="J382" s="479"/>
      <c r="K382" s="479"/>
      <c r="L382" s="479"/>
      <c r="M382" s="479"/>
      <c r="N382" s="479"/>
      <c r="O382" s="479"/>
      <c r="P382" s="479"/>
      <c r="Q382" s="479"/>
      <c r="R382" s="479"/>
      <c r="S382" s="479"/>
      <c r="T382" s="479"/>
      <c r="U382" s="479"/>
      <c r="V382" s="479"/>
      <c r="W382" s="479"/>
      <c r="X382" s="479"/>
      <c r="Y382" s="479"/>
      <c r="Z382" s="479"/>
      <c r="AA382" s="479"/>
      <c r="AB382" s="479"/>
      <c r="AC382" s="479"/>
      <c r="AD382" s="479"/>
      <c r="AE382" s="479"/>
      <c r="AF382" s="479"/>
      <c r="AG382" s="479"/>
      <c r="AH382" s="479"/>
      <c r="AI382" s="479"/>
      <c r="AJ382" s="479"/>
      <c r="AK382" s="479"/>
      <c r="AL382" s="479"/>
      <c r="AM382" s="479"/>
      <c r="AN382" s="479"/>
      <c r="AO382" s="479"/>
      <c r="AP382" s="479"/>
      <c r="AQ382" s="479"/>
      <c r="AR382" s="479"/>
      <c r="AS382" s="479"/>
      <c r="AT382" s="479"/>
      <c r="AU382" s="479"/>
      <c r="AV382" s="479"/>
      <c r="AW382" s="479"/>
      <c r="AX382" s="479"/>
      <c r="AY382" s="479"/>
      <c r="AZ382" s="479"/>
      <c r="BA382" s="479"/>
      <c r="BB382" s="479"/>
      <c r="BC382" s="479"/>
      <c r="BD382" s="479"/>
      <c r="BE382" s="479"/>
      <c r="BF382" s="479"/>
      <c r="BG382" s="479"/>
      <c r="BH382" s="479"/>
      <c r="BI382" s="479"/>
      <c r="BJ382" s="479"/>
      <c r="BK382" s="479"/>
      <c r="BL382" s="479"/>
      <c r="BM382" s="479"/>
      <c r="BN382" s="479"/>
      <c r="BO382" s="479"/>
      <c r="BP382" s="479"/>
      <c r="BQ382" s="479"/>
      <c r="BR382" s="479"/>
      <c r="BS382" s="479"/>
      <c r="BT382" s="479"/>
      <c r="BU382" s="479"/>
      <c r="BV382" s="479"/>
      <c r="BW382" s="479"/>
      <c r="BX382" s="479"/>
      <c r="BY382" s="479"/>
      <c r="BZ382" s="479"/>
      <c r="CA382" s="479"/>
      <c r="CB382" s="479"/>
      <c r="CC382" s="479"/>
      <c r="CD382" s="479"/>
      <c r="CE382" s="479"/>
      <c r="CF382" s="479"/>
      <c r="CG382" s="479"/>
      <c r="CH382" s="479"/>
      <c r="CI382" s="479"/>
      <c r="CJ382" s="479"/>
      <c r="CK382" s="479"/>
      <c r="CL382" s="479"/>
      <c r="CM382" s="479"/>
      <c r="CN382" s="479"/>
      <c r="CO382" s="479"/>
      <c r="CP382" s="479"/>
      <c r="CQ382" s="479"/>
      <c r="CR382" s="479"/>
      <c r="CS382" s="479"/>
      <c r="CT382" s="479"/>
      <c r="CU382" s="347"/>
      <c r="CV382" s="1363"/>
      <c r="CW382" s="347"/>
      <c r="CX382" s="347"/>
      <c r="CY382" s="347"/>
      <c r="CZ382" s="347"/>
      <c r="DA382" s="347"/>
      <c r="ED382" s="399"/>
      <c r="EE382" s="399"/>
      <c r="EF382" s="399"/>
      <c r="EG382" s="399"/>
    </row>
    <row r="383" spans="1:149">
      <c r="B383" s="407" t="s">
        <v>74</v>
      </c>
      <c r="C383" s="426"/>
      <c r="D383" s="426"/>
      <c r="E383" s="426"/>
      <c r="F383" s="426"/>
      <c r="G383" s="426"/>
      <c r="H383" s="426"/>
      <c r="I383" s="426"/>
      <c r="J383" s="426"/>
      <c r="K383" s="426"/>
      <c r="L383" s="426"/>
      <c r="M383" s="426"/>
      <c r="N383" s="426"/>
      <c r="O383" s="426"/>
      <c r="P383" s="426"/>
      <c r="Q383" s="426"/>
      <c r="R383" s="426"/>
      <c r="S383" s="426"/>
      <c r="T383" s="426"/>
      <c r="U383" s="426"/>
      <c r="V383" s="426"/>
      <c r="W383" s="426"/>
      <c r="X383" s="426"/>
      <c r="Y383" s="426"/>
      <c r="Z383" s="426"/>
      <c r="AA383" s="426"/>
      <c r="AB383" s="426"/>
      <c r="AC383" s="426"/>
      <c r="AD383" s="426"/>
      <c r="AE383" s="426"/>
      <c r="AF383" s="426"/>
      <c r="AG383" s="426"/>
      <c r="AH383" s="426"/>
      <c r="AI383" s="426"/>
      <c r="AJ383" s="426"/>
      <c r="AK383" s="426"/>
      <c r="AL383" s="426"/>
      <c r="AM383" s="426"/>
      <c r="AN383" s="426"/>
      <c r="AO383" s="426"/>
      <c r="AP383" s="426"/>
      <c r="AQ383" s="426"/>
      <c r="AR383" s="426"/>
      <c r="AS383" s="426"/>
      <c r="AT383" s="426"/>
      <c r="AU383" s="426"/>
      <c r="AV383" s="426"/>
      <c r="AW383" s="426"/>
      <c r="AX383" s="426"/>
      <c r="AY383" s="426"/>
      <c r="AZ383" s="426"/>
      <c r="BA383" s="426"/>
      <c r="BB383" s="426"/>
      <c r="BC383" s="426"/>
      <c r="BD383" s="426"/>
      <c r="BE383" s="426"/>
      <c r="BF383" s="426"/>
      <c r="BG383" s="426"/>
      <c r="BH383" s="426"/>
      <c r="BI383" s="426"/>
      <c r="BJ383" s="426"/>
      <c r="BK383" s="426"/>
      <c r="BL383" s="426"/>
      <c r="BM383" s="426"/>
      <c r="BN383" s="426"/>
      <c r="BO383" s="356"/>
      <c r="BP383" s="497"/>
      <c r="BQ383" s="497"/>
      <c r="BR383" s="497"/>
      <c r="BS383" s="497"/>
      <c r="BT383" s="497"/>
      <c r="BU383" s="497"/>
      <c r="BV383" s="497"/>
      <c r="BW383" s="497"/>
      <c r="BX383" s="497"/>
      <c r="BY383" s="497"/>
      <c r="BZ383" s="497"/>
      <c r="CA383" s="497"/>
      <c r="CB383" s="497"/>
      <c r="CC383" s="497"/>
      <c r="CD383" s="497"/>
      <c r="CE383" s="497"/>
      <c r="CF383" s="497"/>
      <c r="CG383" s="497"/>
      <c r="CH383" s="497"/>
      <c r="CI383" s="497"/>
      <c r="CJ383" s="497"/>
      <c r="CK383" s="497"/>
      <c r="CL383" s="497"/>
      <c r="CM383" s="497"/>
      <c r="CN383" s="497"/>
      <c r="CO383" s="497"/>
      <c r="CP383" s="497"/>
      <c r="CQ383" s="497"/>
      <c r="CR383" s="497"/>
      <c r="CS383" s="497"/>
      <c r="CT383" s="497"/>
      <c r="CU383" s="347"/>
      <c r="CV383" s="1363"/>
      <c r="CW383" s="347"/>
      <c r="CX383" s="347"/>
      <c r="CY383" s="347"/>
      <c r="CZ383" s="347"/>
      <c r="DA383" s="347"/>
      <c r="EM383" s="399"/>
    </row>
    <row r="384" spans="1:149">
      <c r="B384" s="407" t="s">
        <v>260</v>
      </c>
      <c r="C384" s="426"/>
      <c r="D384" s="426"/>
      <c r="E384" s="426"/>
      <c r="F384" s="426"/>
      <c r="G384" s="426"/>
      <c r="H384" s="372"/>
      <c r="I384" s="372"/>
      <c r="J384" s="372"/>
      <c r="K384" s="372"/>
      <c r="L384" s="372"/>
      <c r="M384" s="372"/>
      <c r="N384" s="372"/>
      <c r="O384" s="372"/>
      <c r="P384" s="372"/>
      <c r="Q384" s="372"/>
      <c r="R384" s="372"/>
      <c r="S384" s="372"/>
      <c r="T384" s="372"/>
      <c r="U384" s="372"/>
      <c r="V384" s="372"/>
      <c r="W384" s="372"/>
      <c r="X384" s="372"/>
      <c r="Y384" s="372"/>
      <c r="Z384" s="372"/>
      <c r="AA384" s="372"/>
      <c r="AB384" s="372"/>
      <c r="AC384" s="372"/>
      <c r="AD384" s="372"/>
      <c r="AE384" s="372"/>
      <c r="AF384" s="372"/>
      <c r="AG384" s="372"/>
      <c r="AH384" s="372"/>
      <c r="AI384" s="372"/>
      <c r="AJ384" s="372"/>
      <c r="AK384" s="372"/>
      <c r="AL384" s="372"/>
      <c r="AM384" s="372"/>
      <c r="AN384" s="372"/>
      <c r="AO384" s="372"/>
      <c r="AP384" s="372"/>
      <c r="AQ384" s="372"/>
      <c r="AR384" s="372"/>
      <c r="AS384" s="372"/>
      <c r="AT384" s="372"/>
      <c r="AU384" s="372"/>
      <c r="AV384" s="372"/>
      <c r="AW384" s="372"/>
      <c r="AX384" s="372"/>
      <c r="AY384" s="372"/>
      <c r="AZ384" s="372"/>
      <c r="BA384" s="372"/>
      <c r="BB384" s="372"/>
      <c r="BC384" s="372"/>
      <c r="BD384" s="372"/>
      <c r="BE384" s="372"/>
      <c r="BF384" s="372"/>
      <c r="BG384" s="372"/>
      <c r="BH384" s="372"/>
      <c r="BI384" s="372"/>
      <c r="BJ384" s="372"/>
      <c r="BK384" s="372"/>
      <c r="BL384" s="372"/>
      <c r="BM384" s="372"/>
      <c r="BN384" s="372"/>
      <c r="BO384" s="372"/>
      <c r="BP384" s="372"/>
      <c r="BQ384" s="372"/>
      <c r="BR384" s="372"/>
      <c r="BS384" s="372"/>
      <c r="BT384" s="372"/>
      <c r="BU384" s="372"/>
      <c r="BV384" s="372"/>
      <c r="BW384" s="372"/>
      <c r="BX384" s="372"/>
      <c r="BY384" s="372"/>
      <c r="BZ384" s="372"/>
      <c r="CA384" s="372"/>
      <c r="CB384" s="372"/>
      <c r="CC384" s="372"/>
      <c r="CD384" s="372"/>
      <c r="CE384" s="372"/>
      <c r="CF384" s="372"/>
      <c r="CG384" s="372"/>
      <c r="CH384" s="372"/>
      <c r="CI384" s="372"/>
      <c r="CJ384" s="372"/>
      <c r="CK384" s="372"/>
      <c r="CL384" s="372"/>
      <c r="CM384" s="372"/>
      <c r="CN384" s="372"/>
      <c r="CO384" s="372"/>
      <c r="CP384" s="372"/>
      <c r="CQ384" s="372"/>
      <c r="CR384" s="372"/>
      <c r="CS384" s="372"/>
      <c r="CT384" s="372"/>
      <c r="CU384" s="347"/>
      <c r="CV384" s="1363"/>
      <c r="CW384" s="347"/>
      <c r="CX384" s="347"/>
      <c r="CY384" s="347"/>
      <c r="CZ384" s="347"/>
      <c r="DA384" s="347"/>
      <c r="EM384" s="399"/>
    </row>
    <row r="385" spans="2:146">
      <c r="B385" s="407"/>
      <c r="C385" s="426"/>
      <c r="D385" s="426"/>
      <c r="E385" s="426"/>
      <c r="F385" s="426"/>
      <c r="G385" s="426"/>
      <c r="H385" s="426"/>
      <c r="I385" s="426"/>
      <c r="J385" s="426"/>
      <c r="K385" s="426"/>
      <c r="L385" s="426"/>
      <c r="M385" s="426"/>
      <c r="N385" s="426"/>
      <c r="O385" s="426"/>
      <c r="P385" s="426"/>
      <c r="Q385" s="426"/>
      <c r="R385" s="426"/>
      <c r="S385" s="426"/>
      <c r="T385" s="426"/>
      <c r="U385" s="426"/>
      <c r="V385" s="426"/>
      <c r="W385" s="426"/>
      <c r="X385" s="426"/>
      <c r="Y385" s="426"/>
      <c r="Z385" s="426"/>
      <c r="AA385" s="426"/>
      <c r="AB385" s="426"/>
      <c r="AC385" s="426"/>
      <c r="AD385" s="426"/>
      <c r="AE385" s="426"/>
      <c r="AF385" s="426"/>
      <c r="AG385" s="426"/>
      <c r="AH385" s="426"/>
      <c r="AI385" s="426"/>
      <c r="AJ385" s="426"/>
      <c r="AK385" s="426"/>
      <c r="AL385" s="426"/>
      <c r="AM385" s="426"/>
      <c r="AN385" s="426"/>
      <c r="AO385" s="426"/>
      <c r="AP385" s="426"/>
      <c r="AQ385" s="426"/>
      <c r="AR385" s="426"/>
      <c r="AS385" s="426"/>
      <c r="AT385" s="426"/>
      <c r="AU385" s="426"/>
      <c r="AV385" s="426"/>
      <c r="AW385" s="426"/>
      <c r="AX385" s="426"/>
      <c r="AY385" s="426"/>
      <c r="AZ385" s="426"/>
      <c r="BA385" s="426"/>
      <c r="BB385" s="426"/>
      <c r="BC385" s="426"/>
      <c r="BD385" s="426"/>
      <c r="BE385" s="426"/>
      <c r="BF385" s="426"/>
      <c r="BG385" s="426"/>
      <c r="BH385" s="426"/>
      <c r="BI385" s="426"/>
      <c r="BJ385" s="426"/>
      <c r="BK385" s="426"/>
      <c r="BL385" s="426"/>
      <c r="BM385" s="426"/>
      <c r="BN385" s="426"/>
      <c r="BO385" s="347"/>
      <c r="BP385" s="347"/>
      <c r="BQ385" s="347"/>
      <c r="BR385" s="347"/>
      <c r="BS385" s="347"/>
      <c r="BT385" s="347"/>
      <c r="BU385" s="347"/>
      <c r="BV385" s="347"/>
      <c r="BW385" s="347"/>
      <c r="BX385" s="347"/>
      <c r="BY385" s="347"/>
      <c r="BZ385" s="347"/>
      <c r="CA385" s="347"/>
      <c r="CB385" s="347"/>
      <c r="CC385" s="347"/>
      <c r="CD385" s="347"/>
      <c r="CE385" s="347"/>
      <c r="CF385" s="347"/>
      <c r="CG385" s="347"/>
      <c r="CH385" s="347"/>
      <c r="CI385" s="347"/>
      <c r="CJ385" s="347"/>
      <c r="CK385" s="347"/>
      <c r="CL385" s="347"/>
      <c r="CM385" s="347"/>
      <c r="CN385" s="347"/>
      <c r="CO385" s="347"/>
      <c r="CP385" s="347"/>
      <c r="CQ385" s="347"/>
      <c r="CR385" s="347"/>
      <c r="CS385" s="347"/>
      <c r="CT385" s="347"/>
      <c r="CU385" s="347"/>
      <c r="CV385" s="1363"/>
      <c r="CW385" s="347"/>
      <c r="CX385" s="347"/>
      <c r="CY385" s="347"/>
      <c r="CZ385" s="364"/>
      <c r="DA385" s="364"/>
      <c r="EA385" s="399"/>
      <c r="EB385" s="399"/>
      <c r="EN385" s="399"/>
      <c r="EO385" s="399"/>
      <c r="EP385" s="399"/>
    </row>
    <row r="386" spans="2:146">
      <c r="B386" s="407" t="s">
        <v>71</v>
      </c>
      <c r="C386" s="494"/>
      <c r="D386" s="494"/>
      <c r="E386" s="494"/>
      <c r="F386" s="494"/>
      <c r="G386" s="494"/>
      <c r="H386" s="494"/>
      <c r="I386" s="494"/>
      <c r="J386" s="494"/>
      <c r="K386" s="494"/>
      <c r="L386" s="494"/>
      <c r="M386" s="494"/>
      <c r="N386" s="494"/>
      <c r="O386" s="494"/>
      <c r="P386" s="494"/>
      <c r="Q386" s="494"/>
      <c r="R386" s="494"/>
      <c r="S386" s="494"/>
      <c r="T386" s="494"/>
      <c r="U386" s="494"/>
      <c r="V386" s="494"/>
      <c r="W386" s="494"/>
      <c r="X386" s="495"/>
      <c r="Y386" s="495"/>
      <c r="Z386" s="495"/>
      <c r="AA386" s="495"/>
      <c r="AB386" s="495"/>
      <c r="AC386" s="495"/>
      <c r="AD386" s="495"/>
      <c r="AE386" s="495"/>
      <c r="AF386" s="495"/>
      <c r="AG386" s="495"/>
      <c r="AH386" s="495"/>
      <c r="AI386" s="495"/>
      <c r="AJ386" s="495"/>
      <c r="AK386" s="495"/>
      <c r="AL386" s="495"/>
      <c r="AM386" s="495"/>
      <c r="AN386" s="495"/>
      <c r="AO386" s="495"/>
      <c r="AP386" s="495"/>
      <c r="AQ386" s="495"/>
      <c r="AR386" s="495"/>
      <c r="AS386" s="495"/>
      <c r="AT386" s="495"/>
      <c r="AU386" s="495"/>
      <c r="AV386" s="495"/>
      <c r="AW386" s="495"/>
      <c r="AX386" s="495"/>
      <c r="AY386" s="495"/>
      <c r="AZ386" s="495"/>
      <c r="BA386" s="495"/>
      <c r="BB386" s="495"/>
      <c r="BC386" s="495"/>
      <c r="BD386" s="495"/>
      <c r="BE386" s="495"/>
      <c r="BF386" s="495"/>
      <c r="BG386" s="495"/>
      <c r="BH386" s="495"/>
      <c r="BI386" s="495"/>
      <c r="BJ386" s="495"/>
      <c r="BK386" s="495"/>
      <c r="BL386" s="496"/>
      <c r="BM386" s="496"/>
      <c r="BN386" s="496"/>
      <c r="BO386" s="498"/>
      <c r="BP386" s="498"/>
      <c r="BQ386" s="498"/>
      <c r="BR386" s="498"/>
      <c r="BS386" s="498"/>
      <c r="BT386" s="498"/>
      <c r="BU386" s="498"/>
      <c r="BV386" s="498"/>
      <c r="BW386" s="498"/>
      <c r="BX386" s="498"/>
      <c r="BY386" s="498"/>
      <c r="BZ386" s="498"/>
      <c r="CA386" s="498"/>
      <c r="CB386" s="498"/>
      <c r="CC386" s="498"/>
      <c r="CD386" s="498"/>
      <c r="CE386" s="498"/>
      <c r="CF386" s="498"/>
      <c r="CG386" s="498"/>
      <c r="CH386" s="498"/>
      <c r="CI386" s="498"/>
      <c r="CJ386" s="498"/>
      <c r="CK386" s="498"/>
      <c r="CL386" s="498"/>
      <c r="CM386" s="498"/>
      <c r="CN386" s="498"/>
      <c r="CO386" s="498"/>
      <c r="CP386" s="498"/>
      <c r="CQ386" s="498"/>
      <c r="CR386" s="498"/>
      <c r="CS386" s="498"/>
      <c r="CT386" s="498"/>
      <c r="CU386" s="364"/>
      <c r="CV386" s="1362"/>
      <c r="CW386" s="364"/>
      <c r="CX386" s="364"/>
      <c r="CY386" s="364"/>
      <c r="CZ386" s="347"/>
      <c r="DA386" s="347"/>
    </row>
    <row r="387" spans="2:146">
      <c r="B387" s="407" t="s">
        <v>67</v>
      </c>
      <c r="C387" s="426"/>
      <c r="D387" s="426"/>
      <c r="E387" s="426"/>
      <c r="F387" s="426"/>
      <c r="G387" s="426"/>
      <c r="H387" s="426"/>
      <c r="I387" s="426"/>
      <c r="J387" s="426"/>
      <c r="K387" s="426"/>
      <c r="L387" s="426"/>
      <c r="M387" s="426"/>
      <c r="N387" s="426"/>
      <c r="O387" s="426"/>
      <c r="P387" s="426"/>
      <c r="Q387" s="426"/>
      <c r="R387" s="426"/>
      <c r="S387" s="426"/>
      <c r="T387" s="426"/>
      <c r="U387" s="426"/>
      <c r="V387" s="426"/>
      <c r="W387" s="426"/>
      <c r="X387" s="426"/>
      <c r="Y387" s="426"/>
      <c r="Z387" s="426"/>
      <c r="AA387" s="426"/>
      <c r="AB387" s="426"/>
      <c r="AC387" s="426"/>
      <c r="AD387" s="426"/>
      <c r="AE387" s="426"/>
      <c r="AF387" s="426"/>
      <c r="AG387" s="426"/>
      <c r="AH387" s="426"/>
      <c r="AI387" s="426"/>
      <c r="AJ387" s="426"/>
      <c r="AK387" s="426"/>
      <c r="AL387" s="426"/>
      <c r="AM387" s="426"/>
      <c r="AN387" s="426"/>
      <c r="AO387" s="426"/>
      <c r="AP387" s="426"/>
      <c r="AQ387" s="426"/>
      <c r="AR387" s="426"/>
      <c r="AS387" s="426"/>
      <c r="AT387" s="426"/>
      <c r="AU387" s="426"/>
      <c r="AV387" s="426"/>
      <c r="AW387" s="426"/>
      <c r="AX387" s="426"/>
      <c r="AY387" s="426"/>
      <c r="AZ387" s="426"/>
      <c r="BA387" s="426"/>
      <c r="BB387" s="426"/>
      <c r="BC387" s="426"/>
      <c r="BD387" s="426"/>
      <c r="BE387" s="426"/>
      <c r="BF387" s="426"/>
      <c r="BG387" s="426"/>
      <c r="BH387" s="426"/>
      <c r="BI387" s="426"/>
      <c r="BJ387" s="426"/>
      <c r="BK387" s="426"/>
      <c r="BL387" s="426"/>
      <c r="BM387" s="426"/>
      <c r="BN387" s="426"/>
      <c r="BO387" s="426"/>
      <c r="BP387" s="430"/>
      <c r="BQ387" s="430"/>
      <c r="BR387" s="430"/>
      <c r="BS387" s="430"/>
      <c r="BT387" s="430"/>
      <c r="BU387" s="430"/>
      <c r="BV387" s="430"/>
      <c r="BW387" s="430"/>
      <c r="BX387" s="430"/>
      <c r="BY387" s="430"/>
      <c r="BZ387" s="430"/>
      <c r="CA387" s="430"/>
      <c r="CB387" s="430"/>
      <c r="CC387" s="430"/>
      <c r="CD387" s="430"/>
      <c r="CE387" s="430"/>
      <c r="CF387" s="430"/>
      <c r="CG387" s="430"/>
      <c r="CH387" s="430"/>
      <c r="CI387" s="430"/>
      <c r="CJ387" s="430"/>
      <c r="CK387" s="430"/>
      <c r="CL387" s="430"/>
      <c r="CM387" s="430"/>
      <c r="CN387" s="430"/>
      <c r="CO387" s="430"/>
      <c r="CP387" s="430"/>
      <c r="CQ387" s="430"/>
      <c r="CR387" s="430"/>
      <c r="CS387" s="430"/>
      <c r="CT387" s="430"/>
      <c r="CU387" s="347"/>
      <c r="CV387" s="1363"/>
      <c r="CW387" s="347"/>
      <c r="CX387" s="347"/>
      <c r="CY387" s="347"/>
      <c r="CZ387" s="347"/>
      <c r="DA387" s="347"/>
    </row>
    <row r="388" spans="2:146">
      <c r="B388" s="407" t="s">
        <v>68</v>
      </c>
      <c r="C388" s="426"/>
      <c r="D388" s="426"/>
      <c r="E388" s="426"/>
      <c r="F388" s="426"/>
      <c r="G388" s="426"/>
      <c r="H388" s="426"/>
      <c r="I388" s="426"/>
      <c r="J388" s="426"/>
      <c r="K388" s="426"/>
      <c r="L388" s="426"/>
      <c r="M388" s="426"/>
      <c r="N388" s="426"/>
      <c r="O388" s="426"/>
      <c r="P388" s="426"/>
      <c r="Q388" s="426"/>
      <c r="R388" s="426"/>
      <c r="S388" s="426"/>
      <c r="T388" s="426"/>
      <c r="U388" s="426"/>
      <c r="V388" s="426"/>
      <c r="W388" s="426"/>
      <c r="X388" s="426"/>
      <c r="Y388" s="426"/>
      <c r="Z388" s="426"/>
      <c r="AA388" s="426"/>
      <c r="AB388" s="426"/>
      <c r="AC388" s="426"/>
      <c r="AD388" s="426"/>
      <c r="AE388" s="426"/>
      <c r="AF388" s="426"/>
      <c r="AG388" s="426"/>
      <c r="AH388" s="426"/>
      <c r="AI388" s="426"/>
      <c r="AJ388" s="426"/>
      <c r="AK388" s="426"/>
      <c r="AL388" s="426"/>
      <c r="AM388" s="426"/>
      <c r="AN388" s="426"/>
      <c r="AO388" s="426"/>
      <c r="AP388" s="426"/>
      <c r="AQ388" s="356"/>
      <c r="AR388" s="356"/>
      <c r="AS388" s="356"/>
      <c r="AT388" s="356"/>
      <c r="AU388" s="356"/>
      <c r="AV388" s="356"/>
      <c r="AW388" s="356"/>
      <c r="AX388" s="356"/>
      <c r="AY388" s="356"/>
      <c r="AZ388" s="356"/>
      <c r="BA388" s="356"/>
      <c r="BB388" s="356"/>
      <c r="BC388" s="356"/>
      <c r="BD388" s="356"/>
      <c r="BE388" s="356"/>
      <c r="BF388" s="356"/>
      <c r="BG388" s="356"/>
      <c r="BH388" s="356"/>
      <c r="BI388" s="356"/>
      <c r="BJ388" s="356"/>
      <c r="BK388" s="356"/>
      <c r="BL388" s="356"/>
      <c r="BM388" s="356"/>
      <c r="BN388" s="356"/>
      <c r="BO388" s="356"/>
      <c r="BP388" s="356"/>
      <c r="BQ388" s="356"/>
      <c r="BR388" s="356"/>
      <c r="BS388" s="356"/>
      <c r="BT388" s="356"/>
      <c r="BU388" s="356"/>
      <c r="BV388" s="356"/>
      <c r="BW388" s="356"/>
      <c r="BX388" s="356"/>
      <c r="BY388" s="356"/>
      <c r="BZ388" s="356"/>
      <c r="CA388" s="356"/>
      <c r="CB388" s="356"/>
      <c r="CC388" s="356"/>
      <c r="CD388" s="356"/>
      <c r="CE388" s="356"/>
      <c r="CF388" s="356"/>
      <c r="CG388" s="356"/>
      <c r="CH388" s="356"/>
      <c r="CI388" s="356"/>
      <c r="CJ388" s="356"/>
      <c r="CK388" s="356"/>
      <c r="CL388" s="356"/>
      <c r="CM388" s="356"/>
      <c r="CN388" s="356"/>
      <c r="CO388" s="356"/>
      <c r="CP388" s="356"/>
      <c r="CQ388" s="356"/>
      <c r="CR388" s="356"/>
      <c r="CS388" s="356"/>
      <c r="CT388" s="356"/>
      <c r="CU388" s="347"/>
      <c r="CV388" s="1363"/>
      <c r="CW388" s="347"/>
      <c r="CX388" s="347"/>
      <c r="CY388" s="347"/>
      <c r="CZ388" s="347"/>
      <c r="DA388" s="347"/>
      <c r="EC388" s="399"/>
      <c r="EH388" s="399"/>
      <c r="EI388" s="399"/>
      <c r="EJ388" s="399"/>
      <c r="EK388" s="399"/>
      <c r="EL388" s="399"/>
    </row>
    <row r="389" spans="2:146">
      <c r="B389" s="407"/>
      <c r="C389" s="426"/>
      <c r="D389" s="426"/>
      <c r="E389" s="426"/>
      <c r="F389" s="426"/>
      <c r="G389" s="426"/>
      <c r="H389" s="426"/>
      <c r="I389" s="426"/>
      <c r="J389" s="426"/>
      <c r="K389" s="426"/>
      <c r="L389" s="426"/>
      <c r="M389" s="426"/>
      <c r="N389" s="426"/>
      <c r="O389" s="426"/>
      <c r="P389" s="426"/>
      <c r="Q389" s="426"/>
      <c r="R389" s="426"/>
      <c r="S389" s="426"/>
      <c r="T389" s="426"/>
      <c r="U389" s="426"/>
      <c r="V389" s="426"/>
      <c r="W389" s="426"/>
      <c r="X389" s="426"/>
      <c r="Y389" s="426"/>
      <c r="Z389" s="426"/>
      <c r="AA389" s="426"/>
      <c r="AB389" s="426"/>
      <c r="AC389" s="426"/>
      <c r="AD389" s="426"/>
      <c r="AE389" s="426"/>
      <c r="AF389" s="426"/>
      <c r="AG389" s="426"/>
      <c r="AH389" s="426"/>
      <c r="AI389" s="426"/>
      <c r="AJ389" s="426"/>
      <c r="AK389" s="426"/>
      <c r="AL389" s="426"/>
      <c r="AM389" s="426"/>
      <c r="AN389" s="426"/>
      <c r="AO389" s="426"/>
      <c r="AP389" s="426"/>
      <c r="AQ389" s="426"/>
      <c r="AR389" s="426"/>
      <c r="AS389" s="426"/>
      <c r="AT389" s="426"/>
      <c r="AU389" s="426"/>
      <c r="AV389" s="347"/>
      <c r="AW389" s="347"/>
      <c r="AX389" s="347"/>
      <c r="AY389" s="347"/>
      <c r="AZ389" s="347"/>
      <c r="BA389" s="347"/>
      <c r="BB389" s="347"/>
      <c r="BC389" s="347"/>
      <c r="BD389" s="347"/>
      <c r="BE389" s="347"/>
      <c r="BF389" s="347"/>
      <c r="BG389" s="347"/>
      <c r="BH389" s="347"/>
      <c r="BI389" s="347"/>
      <c r="BJ389" s="347"/>
      <c r="BK389" s="347"/>
      <c r="BL389" s="347"/>
      <c r="BM389" s="347"/>
      <c r="BN389" s="347"/>
      <c r="BO389" s="347"/>
      <c r="BP389" s="347"/>
      <c r="BQ389" s="347"/>
      <c r="BR389" s="347"/>
      <c r="BS389" s="347"/>
      <c r="BT389" s="347"/>
      <c r="BU389" s="347"/>
      <c r="BV389" s="347"/>
      <c r="BW389" s="347"/>
      <c r="BX389" s="347"/>
      <c r="BY389" s="347"/>
      <c r="BZ389" s="347"/>
      <c r="CA389" s="347"/>
      <c r="CB389" s="347"/>
      <c r="CC389" s="347"/>
      <c r="CD389" s="347"/>
      <c r="CE389" s="347"/>
      <c r="CF389" s="347"/>
      <c r="CG389" s="347"/>
      <c r="CH389" s="347"/>
      <c r="CI389" s="347"/>
      <c r="CJ389" s="347"/>
      <c r="CK389" s="347"/>
      <c r="CL389" s="347"/>
      <c r="CM389" s="347"/>
      <c r="CN389" s="347"/>
      <c r="CO389" s="347"/>
      <c r="CP389" s="347"/>
      <c r="CQ389" s="347"/>
      <c r="CR389" s="347"/>
      <c r="CS389" s="347"/>
      <c r="CT389" s="347"/>
      <c r="CU389" s="347"/>
      <c r="CV389" s="1363"/>
      <c r="CW389" s="347"/>
      <c r="CX389" s="347"/>
      <c r="CY389" s="347"/>
      <c r="CZ389" s="364"/>
      <c r="DA389" s="364"/>
    </row>
    <row r="390" spans="2:146">
      <c r="B390" s="414" t="s">
        <v>499</v>
      </c>
      <c r="C390" s="863"/>
      <c r="D390" s="863"/>
      <c r="E390" s="863"/>
      <c r="F390" s="863"/>
      <c r="G390" s="863"/>
      <c r="H390" s="863"/>
      <c r="I390" s="863"/>
      <c r="J390" s="863"/>
      <c r="K390" s="863"/>
      <c r="L390" s="863"/>
      <c r="M390" s="863">
        <v>2028</v>
      </c>
      <c r="N390" s="863">
        <v>0</v>
      </c>
      <c r="O390" s="863">
        <v>0</v>
      </c>
      <c r="P390" s="863">
        <v>0</v>
      </c>
      <c r="Q390" s="863">
        <v>0</v>
      </c>
      <c r="R390" s="863">
        <v>2304</v>
      </c>
      <c r="S390" s="863">
        <v>611</v>
      </c>
      <c r="T390" s="863">
        <v>609</v>
      </c>
      <c r="U390" s="863">
        <v>649</v>
      </c>
      <c r="V390" s="863">
        <v>142</v>
      </c>
      <c r="W390" s="864">
        <v>2011</v>
      </c>
      <c r="X390" s="864">
        <v>539</v>
      </c>
      <c r="Y390" s="864">
        <v>719</v>
      </c>
      <c r="Z390" s="864">
        <v>985</v>
      </c>
      <c r="AA390" s="864">
        <v>854</v>
      </c>
      <c r="AB390" s="864">
        <v>3097</v>
      </c>
      <c r="AC390" s="864">
        <v>942</v>
      </c>
      <c r="AD390" s="864">
        <v>973</v>
      </c>
      <c r="AE390" s="864">
        <v>948</v>
      </c>
      <c r="AF390" s="864">
        <v>863</v>
      </c>
      <c r="AG390" s="864">
        <v>3726</v>
      </c>
      <c r="AH390" s="864">
        <v>840</v>
      </c>
      <c r="AI390" s="864">
        <v>881</v>
      </c>
      <c r="AJ390" s="864">
        <v>848</v>
      </c>
      <c r="AK390" s="864">
        <v>787</v>
      </c>
      <c r="AL390" s="864">
        <v>3356</v>
      </c>
      <c r="AM390" s="864">
        <v>716</v>
      </c>
      <c r="AN390" s="864">
        <v>514</v>
      </c>
      <c r="AO390" s="864">
        <v>534</v>
      </c>
      <c r="AP390" s="864">
        <v>557</v>
      </c>
      <c r="AQ390" s="864">
        <v>2321</v>
      </c>
      <c r="AR390" s="864">
        <v>404</v>
      </c>
      <c r="AS390" s="864">
        <v>418</v>
      </c>
      <c r="AT390" s="864">
        <v>526</v>
      </c>
      <c r="AU390" s="864">
        <f>AV390-AT390-AS390-AR390</f>
        <v>579</v>
      </c>
      <c r="AV390" s="864">
        <v>1927</v>
      </c>
      <c r="AW390" s="859">
        <f>'[16]Reported Group Highlights'!T$35</f>
        <v>659</v>
      </c>
      <c r="AX390" s="859">
        <f>'[16]Reported Group Highlights'!U$35</f>
        <v>630</v>
      </c>
      <c r="AY390" s="859">
        <f>'[16]Reported Group Highlights'!V$35</f>
        <v>624</v>
      </c>
      <c r="AZ390" s="859">
        <f>'[16]Reported Group Highlights'!W$35</f>
        <v>546</v>
      </c>
      <c r="BA390" s="840">
        <f>SUM(AW390:AZ390)</f>
        <v>2459</v>
      </c>
      <c r="BB390" s="859">
        <f>'[16]Reported Group Highlights'!X$35</f>
        <v>486</v>
      </c>
      <c r="BC390" s="859">
        <f>'[16]Reported Group Highlights'!Y$35</f>
        <v>612</v>
      </c>
      <c r="BD390" s="859">
        <f>'[16]Reported Group Highlights'!Z$35</f>
        <v>694</v>
      </c>
      <c r="BE390" s="859">
        <f>'[16]Reported Group Highlights'!AA$35</f>
        <v>629</v>
      </c>
      <c r="BF390" s="840">
        <f>SUM(BB390:BE390)</f>
        <v>2421</v>
      </c>
      <c r="BG390" s="859">
        <f>'[16]Reported Group Highlights'!AB$35</f>
        <v>446</v>
      </c>
      <c r="BH390" s="859">
        <f>'[16]Reported Group Highlights'!AC$35</f>
        <v>516</v>
      </c>
      <c r="BI390" s="859">
        <f>'[16]Reported Group Highlights'!AD$35</f>
        <v>495</v>
      </c>
      <c r="BJ390" s="859">
        <f>'[16]Reported Group Highlights'!AE$35</f>
        <v>458</v>
      </c>
      <c r="BK390" s="840">
        <f>SUM(BG390:BJ390)</f>
        <v>1915</v>
      </c>
      <c r="BL390" s="859">
        <f>'[16]Reported Group Highlights'!AF$35</f>
        <v>430.14100000000002</v>
      </c>
      <c r="BM390" s="859">
        <f>'[16]Reported Group Highlights'!AG$35</f>
        <v>386.49799999999999</v>
      </c>
      <c r="BN390" s="859">
        <f>'[16]Reported Group Highlights'!AH$35</f>
        <v>383.20199999999983</v>
      </c>
      <c r="BO390" s="859">
        <f>'[16]Reported Group Highlights'!AI$35</f>
        <v>360.90299999999996</v>
      </c>
      <c r="BP390" s="840">
        <f>SUM(BL390:BO390)</f>
        <v>1560.7439999999999</v>
      </c>
      <c r="BQ390" s="859">
        <f>'[16]Reported Group Highlights'!AJ$35</f>
        <v>341.21100000000001</v>
      </c>
      <c r="BR390" s="859">
        <f>'[16]Reported Group Highlights'!AK$35</f>
        <v>349.17200000000003</v>
      </c>
      <c r="BS390" s="859">
        <f>'[16]Reported Group Highlights'!AL$35</f>
        <v>341.20900000000006</v>
      </c>
      <c r="BT390" s="859">
        <f>'[16]Reported Group Highlights'!AM$35</f>
        <v>504.56700000000001</v>
      </c>
      <c r="BU390" s="840">
        <f>SUM(BQ390:BT390)</f>
        <v>1536.1590000000001</v>
      </c>
      <c r="BV390" s="859">
        <f>'[16]Reported Group Highlights'!AN$35</f>
        <v>466.17</v>
      </c>
      <c r="BW390" s="859">
        <f>'[16]Reported Group Highlights'!AO$35</f>
        <v>681.32799999999997</v>
      </c>
      <c r="BX390" s="859">
        <f>'[16]Reported Group Highlights'!AP$35</f>
        <v>870.15999999999985</v>
      </c>
      <c r="BY390" s="859">
        <f>'[16]Reported Group Highlights'!AQ$35</f>
        <v>858.81899999999996</v>
      </c>
      <c r="BZ390" s="840">
        <f>SUM(BV390:BY390)</f>
        <v>2876.4769999999999</v>
      </c>
      <c r="CA390" s="859">
        <f>'[16]Reported Group Highlights'!AR$35</f>
        <v>648.85599999999999</v>
      </c>
      <c r="CB390" s="859">
        <f>'[16]Reported Group Highlights'!AS$35</f>
        <v>887.68000000000006</v>
      </c>
      <c r="CC390" s="859">
        <f>'[16]Reported Group Highlights'!AT$35</f>
        <v>783.63599999999997</v>
      </c>
      <c r="CD390" s="859">
        <f>'[16]Reported Group Highlights'!AU$35</f>
        <v>852.04799999999977</v>
      </c>
      <c r="CE390" s="840">
        <f>SUM(CA390:CD390)</f>
        <v>3172.22</v>
      </c>
      <c r="CF390" s="859">
        <f>'[16]Reported Group Highlights'!AV$35</f>
        <v>764.08399999999995</v>
      </c>
      <c r="CG390" s="859">
        <f>'[16]Reported Group Highlights'!AW$35</f>
        <v>822.63</v>
      </c>
      <c r="CH390" s="859">
        <f>'[16]Reported Group Highlights'!AX$35</f>
        <v>692.7600000000001</v>
      </c>
      <c r="CI390" s="859">
        <f>'[16]Reported Group Highlights'!AY$35</f>
        <v>1004.7059999999996</v>
      </c>
      <c r="CJ390" s="840">
        <f>SUM(CF390:CI390)</f>
        <v>3284.18</v>
      </c>
      <c r="CK390" s="859">
        <f>'[16]Reported Group Highlights'!AZ$35</f>
        <v>949.96400000000006</v>
      </c>
      <c r="CL390" s="859">
        <f>'[16]Reported Group Highlights'!BA$35</f>
        <v>1172.81</v>
      </c>
      <c r="CM390" s="859">
        <f>'[16]Reported Group Highlights'!BB$35</f>
        <v>1386.4540000000002</v>
      </c>
      <c r="CN390" s="859"/>
      <c r="CO390" s="860">
        <f t="shared" ref="CO390:CT390" si="1808">CO391*CO5</f>
        <v>4459.7811123564679</v>
      </c>
      <c r="CP390" s="860">
        <f t="shared" si="1808"/>
        <v>4964.5601701268351</v>
      </c>
      <c r="CQ390" s="860">
        <f t="shared" si="1808"/>
        <v>5180.9961778288098</v>
      </c>
      <c r="CR390" s="860">
        <f t="shared" si="1808"/>
        <v>5406.5575940126528</v>
      </c>
      <c r="CS390" s="860">
        <f t="shared" si="1808"/>
        <v>5641.6284544247183</v>
      </c>
      <c r="CT390" s="860">
        <f t="shared" si="1808"/>
        <v>5886.609103425335</v>
      </c>
      <c r="CU390" s="364"/>
      <c r="CV390" s="1362"/>
      <c r="CW390" s="364"/>
      <c r="CX390" s="364"/>
      <c r="CY390" s="364"/>
      <c r="CZ390" s="347"/>
      <c r="DA390" s="347"/>
      <c r="DE390" s="349" t="s">
        <v>535</v>
      </c>
      <c r="DF390" s="367">
        <v>0.21169641879312234</v>
      </c>
      <c r="DG390" s="367">
        <v>0.24827125757069959</v>
      </c>
      <c r="DH390" s="367">
        <v>0.28341013824884792</v>
      </c>
      <c r="DI390" s="367">
        <v>0.35076726342710995</v>
      </c>
      <c r="DJ390" s="367">
        <v>0.40594535519125685</v>
      </c>
      <c r="DK390" s="367">
        <v>0.38745197263611658</v>
      </c>
    </row>
    <row r="391" spans="2:146">
      <c r="B391" s="407" t="s">
        <v>67</v>
      </c>
      <c r="C391" s="426">
        <f>C390/C5</f>
        <v>0</v>
      </c>
      <c r="D391" s="426"/>
      <c r="E391" s="426"/>
      <c r="F391" s="426"/>
      <c r="G391" s="426"/>
      <c r="H391" s="426">
        <f>H390/H5</f>
        <v>0</v>
      </c>
      <c r="I391" s="426"/>
      <c r="J391" s="426"/>
      <c r="K391" s="426"/>
      <c r="L391" s="426"/>
      <c r="M391" s="426">
        <f>M390/M5</f>
        <v>0.14795360035018604</v>
      </c>
      <c r="N391" s="426"/>
      <c r="O391" s="426"/>
      <c r="P391" s="426"/>
      <c r="Q391" s="426"/>
      <c r="R391" s="426">
        <f>R390/R5</f>
        <v>0.13195876288659794</v>
      </c>
      <c r="S391" s="426"/>
      <c r="T391" s="426"/>
      <c r="U391" s="426"/>
      <c r="V391" s="426"/>
      <c r="W391" s="426">
        <f>W390/W5</f>
        <v>0.11011937356258898</v>
      </c>
      <c r="X391" s="426"/>
      <c r="Y391" s="426"/>
      <c r="Z391" s="426"/>
      <c r="AA391" s="426"/>
      <c r="AB391" s="426">
        <f>AB390/AB5</f>
        <v>0.14769421527016072</v>
      </c>
      <c r="AC391" s="426"/>
      <c r="AD391" s="426"/>
      <c r="AE391" s="426"/>
      <c r="AF391" s="426"/>
      <c r="AG391" s="426">
        <f>AG390/AG5</f>
        <v>0.17520925420859587</v>
      </c>
      <c r="AH391" s="426"/>
      <c r="AI391" s="426"/>
      <c r="AJ391" s="426"/>
      <c r="AK391" s="426"/>
      <c r="AL391" s="426">
        <f>AL390/AL5</f>
        <v>0.14305200341005966</v>
      </c>
      <c r="AM391" s="426"/>
      <c r="AN391" s="426"/>
      <c r="AO391" s="426"/>
      <c r="AP391" s="426"/>
      <c r="AQ391" s="426">
        <f t="shared" ref="AQ391:CL391" si="1809">AQ390/AQ5</f>
        <v>0.10137584625464074</v>
      </c>
      <c r="AR391" s="426">
        <f t="shared" si="1809"/>
        <v>7.1937321937321941E-2</v>
      </c>
      <c r="AS391" s="426">
        <f t="shared" si="1809"/>
        <v>7.9801450935471557E-2</v>
      </c>
      <c r="AT391" s="426">
        <f t="shared" si="1809"/>
        <v>0.10057361376673041</v>
      </c>
      <c r="AU391" s="426">
        <f t="shared" si="1809"/>
        <v>0.11013886246908883</v>
      </c>
      <c r="AV391" s="426">
        <f t="shared" si="1809"/>
        <v>9.0295674991799815E-2</v>
      </c>
      <c r="AW391" s="426">
        <f t="shared" si="1809"/>
        <v>0.12514242309153056</v>
      </c>
      <c r="AX391" s="426">
        <f t="shared" si="1809"/>
        <v>0.11116993118051879</v>
      </c>
      <c r="AY391" s="426">
        <f t="shared" si="1809"/>
        <v>0.10452261306532663</v>
      </c>
      <c r="AZ391" s="426">
        <f t="shared" si="1809"/>
        <v>9.1030343447815937E-2</v>
      </c>
      <c r="BA391" s="426">
        <f t="shared" si="1809"/>
        <v>0.10737522378935417</v>
      </c>
      <c r="BB391" s="426">
        <f t="shared" si="1809"/>
        <v>8.8341711557040847E-2</v>
      </c>
      <c r="BC391" s="426">
        <f t="shared" si="1809"/>
        <v>0.11037613191895579</v>
      </c>
      <c r="BD391" s="426">
        <f t="shared" si="1809"/>
        <v>0.11871019830076786</v>
      </c>
      <c r="BE391" s="426">
        <f t="shared" si="1809"/>
        <v>0.10402540270565276</v>
      </c>
      <c r="BF391" s="426">
        <f t="shared" si="1809"/>
        <v>0.10554164705652587</v>
      </c>
      <c r="BG391" s="426">
        <f t="shared" si="1809"/>
        <v>7.4741621899898511E-2</v>
      </c>
      <c r="BH391" s="426">
        <f t="shared" si="1809"/>
        <v>8.2040128116153563E-2</v>
      </c>
      <c r="BI391" s="426">
        <f t="shared" si="1809"/>
        <v>7.6581607449487457E-2</v>
      </c>
      <c r="BJ391" s="426">
        <f t="shared" si="1809"/>
        <v>7.1424895474811803E-2</v>
      </c>
      <c r="BK391" s="426">
        <f t="shared" si="1809"/>
        <v>7.6195093179238074E-2</v>
      </c>
      <c r="BL391" s="426">
        <f t="shared" si="1809"/>
        <v>6.6204556427886627E-2</v>
      </c>
      <c r="BM391" s="426">
        <f t="shared" si="1809"/>
        <v>5.869361757895851E-2</v>
      </c>
      <c r="BN391" s="426">
        <f t="shared" si="1809"/>
        <v>5.829061828651725E-2</v>
      </c>
      <c r="BO391" s="426">
        <f t="shared" si="1809"/>
        <v>5.6808780307208734E-2</v>
      </c>
      <c r="BP391" s="426">
        <f t="shared" si="1809"/>
        <v>6.00076242560535E-2</v>
      </c>
      <c r="BQ391" s="426">
        <f t="shared" si="1809"/>
        <v>5.4616803921910734E-2</v>
      </c>
      <c r="BR391" s="426">
        <f t="shared" si="1809"/>
        <v>5.1907315712766001E-2</v>
      </c>
      <c r="BS391" s="426">
        <f t="shared" si="1809"/>
        <v>4.9986712557907327E-2</v>
      </c>
      <c r="BT391" s="426">
        <f t="shared" si="1809"/>
        <v>7.255930054356885E-2</v>
      </c>
      <c r="BU391" s="426">
        <f t="shared" si="1809"/>
        <v>5.7417811508911731E-2</v>
      </c>
      <c r="BV391" s="426">
        <f t="shared" si="1809"/>
        <v>6.9143565786060318E-2</v>
      </c>
      <c r="BW391" s="426">
        <f t="shared" si="1809"/>
        <v>9.2915868704485816E-2</v>
      </c>
      <c r="BX391" s="426">
        <f t="shared" si="1809"/>
        <v>0.11570353429247658</v>
      </c>
      <c r="BY391" s="426">
        <f t="shared" si="1809"/>
        <v>0.11380220003885198</v>
      </c>
      <c r="BZ391" s="426">
        <f t="shared" si="1809"/>
        <v>9.8705565583466923E-2</v>
      </c>
      <c r="CA391" s="426">
        <f t="shared" si="1809"/>
        <v>8.5971663598912673E-2</v>
      </c>
      <c r="CB391" s="426">
        <f t="shared" si="1809"/>
        <v>0.10802702574099726</v>
      </c>
      <c r="CC391" s="426">
        <f t="shared" si="1809"/>
        <v>9.6706061017042863E-2</v>
      </c>
      <c r="CD391" s="426">
        <f t="shared" si="1809"/>
        <v>0.10077627661387599</v>
      </c>
      <c r="CE391" s="426">
        <f t="shared" si="1809"/>
        <v>9.814232130897925E-2</v>
      </c>
      <c r="CF391" s="426">
        <f t="shared" si="1809"/>
        <v>9.0549679229843499E-2</v>
      </c>
      <c r="CG391" s="426">
        <f t="shared" si="1809"/>
        <v>9.5506815496756631E-2</v>
      </c>
      <c r="CH391" s="426">
        <f t="shared" si="1809"/>
        <v>8.3366486903316994E-2</v>
      </c>
      <c r="CI391" s="426">
        <f t="shared" si="1809"/>
        <v>0.11126083117224821</v>
      </c>
      <c r="CJ391" s="426">
        <f t="shared" si="1809"/>
        <v>9.5493675388206009E-2</v>
      </c>
      <c r="CK391" s="426">
        <f t="shared" si="1809"/>
        <v>0.11044581456700636</v>
      </c>
      <c r="CL391" s="426">
        <f t="shared" si="1809"/>
        <v>0.11176306736688248</v>
      </c>
      <c r="CM391" s="426">
        <f t="shared" ref="CM391" si="1810">CM390/CM5</f>
        <v>0.12106052362574722</v>
      </c>
      <c r="CN391" s="426"/>
      <c r="CO391" s="228">
        <v>0.105</v>
      </c>
      <c r="CP391" s="595">
        <f t="shared" ref="CP391:CT391" si="1811">CO391</f>
        <v>0.105</v>
      </c>
      <c r="CQ391" s="595">
        <f t="shared" si="1811"/>
        <v>0.105</v>
      </c>
      <c r="CR391" s="595">
        <f t="shared" si="1811"/>
        <v>0.105</v>
      </c>
      <c r="CS391" s="595">
        <f t="shared" si="1811"/>
        <v>0.105</v>
      </c>
      <c r="CT391" s="595">
        <f t="shared" si="1811"/>
        <v>0.105</v>
      </c>
      <c r="CU391" s="347" t="s">
        <v>832</v>
      </c>
      <c r="CV391" s="1363"/>
      <c r="CW391" s="347"/>
      <c r="CX391" s="347"/>
      <c r="CY391" s="347"/>
      <c r="CZ391" s="347"/>
      <c r="DA391" s="347"/>
    </row>
    <row r="392" spans="2:146">
      <c r="B392" s="407" t="s">
        <v>68</v>
      </c>
      <c r="C392" s="426"/>
      <c r="D392" s="426"/>
      <c r="E392" s="426"/>
      <c r="F392" s="426"/>
      <c r="G392" s="426"/>
      <c r="H392" s="426" t="e">
        <f>H390/C390-1</f>
        <v>#DIV/0!</v>
      </c>
      <c r="I392" s="426"/>
      <c r="J392" s="426"/>
      <c r="K392" s="426"/>
      <c r="L392" s="426"/>
      <c r="M392" s="426" t="e">
        <f>M390/H390-1</f>
        <v>#DIV/0!</v>
      </c>
      <c r="N392" s="426"/>
      <c r="O392" s="426"/>
      <c r="P392" s="426"/>
      <c r="Q392" s="426"/>
      <c r="R392" s="426">
        <f>R390/M390-1</f>
        <v>0.13609467455621305</v>
      </c>
      <c r="S392" s="426"/>
      <c r="T392" s="426"/>
      <c r="U392" s="426"/>
      <c r="V392" s="426"/>
      <c r="W392" s="426">
        <f>W390/R390-1</f>
        <v>-0.12717013888888884</v>
      </c>
      <c r="X392" s="426"/>
      <c r="Y392" s="426"/>
      <c r="Z392" s="426"/>
      <c r="AA392" s="426"/>
      <c r="AB392" s="426">
        <f>AB390/W390-1</f>
        <v>0.54002983590253595</v>
      </c>
      <c r="AC392" s="426"/>
      <c r="AD392" s="426"/>
      <c r="AE392" s="426"/>
      <c r="AF392" s="426"/>
      <c r="AG392" s="426">
        <f>AG390/AB390-1</f>
        <v>0.20309977397481438</v>
      </c>
      <c r="AH392" s="426"/>
      <c r="AI392" s="426"/>
      <c r="AJ392" s="426"/>
      <c r="AK392" s="426"/>
      <c r="AL392" s="426">
        <f>AL390/AG390-1</f>
        <v>-9.9302200751476111E-2</v>
      </c>
      <c r="AM392" s="426"/>
      <c r="AN392" s="426"/>
      <c r="AO392" s="426"/>
      <c r="AP392" s="426"/>
      <c r="AQ392" s="426">
        <f>AQ390/AL390-1</f>
        <v>-0.30840286054827171</v>
      </c>
      <c r="AR392" s="426">
        <f>AR390/AM390-1</f>
        <v>-0.43575418994413406</v>
      </c>
      <c r="AS392" s="426">
        <f>AS390/AN390-1</f>
        <v>-0.1867704280155642</v>
      </c>
      <c r="AT392" s="426">
        <f>AT390/AO390-1</f>
        <v>-1.4981273408239737E-2</v>
      </c>
      <c r="AU392" s="426">
        <f>AU390/AP390-1</f>
        <v>3.9497307001795434E-2</v>
      </c>
      <c r="AV392" s="426">
        <f t="shared" ref="AV392:BA392" si="1812">AV390/AQ390-1</f>
        <v>-0.16975441619991383</v>
      </c>
      <c r="AW392" s="426">
        <f t="shared" si="1812"/>
        <v>0.63118811881188108</v>
      </c>
      <c r="AX392" s="426">
        <f t="shared" si="1812"/>
        <v>0.50717703349282295</v>
      </c>
      <c r="AY392" s="426">
        <f t="shared" si="1812"/>
        <v>0.18631178707224327</v>
      </c>
      <c r="AZ392" s="426">
        <f t="shared" si="1812"/>
        <v>-5.6994818652849721E-2</v>
      </c>
      <c r="BA392" s="426">
        <f t="shared" si="1812"/>
        <v>0.27607680332122464</v>
      </c>
      <c r="BB392" s="426">
        <f t="shared" ref="BB392:BV392" si="1813">BB390/AW390-1</f>
        <v>-0.2625189681335357</v>
      </c>
      <c r="BC392" s="426">
        <f t="shared" si="1813"/>
        <v>-2.8571428571428581E-2</v>
      </c>
      <c r="BD392" s="426">
        <f t="shared" si="1813"/>
        <v>0.11217948717948723</v>
      </c>
      <c r="BE392" s="426">
        <f t="shared" si="1813"/>
        <v>0.15201465201465192</v>
      </c>
      <c r="BF392" s="426">
        <f t="shared" si="1813"/>
        <v>-1.5453436356242412E-2</v>
      </c>
      <c r="BG392" s="426">
        <f t="shared" si="1813"/>
        <v>-8.2304526748971152E-2</v>
      </c>
      <c r="BH392" s="426">
        <f t="shared" si="1813"/>
        <v>-0.15686274509803921</v>
      </c>
      <c r="BI392" s="426">
        <f t="shared" si="1813"/>
        <v>-0.28674351585014413</v>
      </c>
      <c r="BJ392" s="426">
        <f t="shared" si="1813"/>
        <v>-0.27186009538950717</v>
      </c>
      <c r="BK392" s="426">
        <f t="shared" si="1813"/>
        <v>-0.20900454357703424</v>
      </c>
      <c r="BL392" s="426">
        <f t="shared" si="1813"/>
        <v>-3.5558295964125519E-2</v>
      </c>
      <c r="BM392" s="426">
        <f t="shared" si="1813"/>
        <v>-0.25097286821705433</v>
      </c>
      <c r="BN392" s="426">
        <f t="shared" si="1813"/>
        <v>-0.22585454545454575</v>
      </c>
      <c r="BO392" s="426">
        <f t="shared" si="1813"/>
        <v>-0.21200218340611365</v>
      </c>
      <c r="BP392" s="426">
        <f t="shared" si="1813"/>
        <v>-0.18499007832898173</v>
      </c>
      <c r="BQ392" s="426">
        <f t="shared" si="1813"/>
        <v>-0.2067461599800996</v>
      </c>
      <c r="BR392" s="426">
        <f t="shared" si="1813"/>
        <v>-9.6574885251670017E-2</v>
      </c>
      <c r="BS392" s="426">
        <f t="shared" si="1813"/>
        <v>-0.10958450112473261</v>
      </c>
      <c r="BT392" s="426">
        <f t="shared" si="1813"/>
        <v>0.39806817898438096</v>
      </c>
      <c r="BU392" s="426">
        <f t="shared" si="1813"/>
        <v>-1.575210284325923E-2</v>
      </c>
      <c r="BV392" s="426">
        <f t="shared" si="1813"/>
        <v>0.36622207373150339</v>
      </c>
      <c r="BW392" s="426">
        <f t="shared" ref="BW392:CM392" si="1814">BW390/BR390-1</f>
        <v>0.95126757013735319</v>
      </c>
      <c r="BX392" s="426">
        <f t="shared" si="1814"/>
        <v>1.5502258146766343</v>
      </c>
      <c r="BY392" s="426">
        <f t="shared" si="1814"/>
        <v>0.7020910998935721</v>
      </c>
      <c r="BZ392" s="426">
        <f t="shared" si="1814"/>
        <v>0.8725125459018237</v>
      </c>
      <c r="CA392" s="426">
        <f t="shared" si="1814"/>
        <v>0.39188707982066617</v>
      </c>
      <c r="CB392" s="426">
        <f t="shared" si="1814"/>
        <v>0.30286734142733041</v>
      </c>
      <c r="CC392" s="426">
        <f t="shared" si="1814"/>
        <v>-9.9434586742667919E-2</v>
      </c>
      <c r="CD392" s="426">
        <f t="shared" si="1814"/>
        <v>-7.8840826763266758E-3</v>
      </c>
      <c r="CE392" s="426">
        <f t="shared" si="1814"/>
        <v>0.1028143107002073</v>
      </c>
      <c r="CF392" s="426">
        <f t="shared" si="1814"/>
        <v>0.1775863982147039</v>
      </c>
      <c r="CG392" s="426">
        <f t="shared" si="1814"/>
        <v>-7.3280912040375012E-2</v>
      </c>
      <c r="CH392" s="426">
        <f t="shared" si="1814"/>
        <v>-0.11596710717731173</v>
      </c>
      <c r="CI392" s="426">
        <f t="shared" si="1814"/>
        <v>0.17916596248098671</v>
      </c>
      <c r="CJ392" s="426">
        <f t="shared" si="1814"/>
        <v>3.5293895127071817E-2</v>
      </c>
      <c r="CK392" s="426">
        <f t="shared" si="1814"/>
        <v>0.24327168217107031</v>
      </c>
      <c r="CL392" s="426">
        <f t="shared" si="1814"/>
        <v>0.42568347859912703</v>
      </c>
      <c r="CM392" s="426">
        <f t="shared" si="1814"/>
        <v>1.0013482302673364</v>
      </c>
      <c r="CN392" s="426"/>
      <c r="CO392" s="426">
        <f>CO390/CJ390-1</f>
        <v>0.35795879408451059</v>
      </c>
      <c r="CP392" s="426">
        <f t="shared" ref="CP392:CR392" si="1815">CP390/CO390-1</f>
        <v>0.11318471580854128</v>
      </c>
      <c r="CQ392" s="426">
        <f t="shared" si="1815"/>
        <v>4.3596209993451485E-2</v>
      </c>
      <c r="CR392" s="426">
        <f t="shared" si="1815"/>
        <v>4.3536302371558255E-2</v>
      </c>
      <c r="CS392" s="426">
        <f t="shared" ref="CS392" si="1816">CS390/CR390-1</f>
        <v>4.3478841448464145E-2</v>
      </c>
      <c r="CT392" s="426">
        <f t="shared" ref="CT392" si="1817">CT390/CS390-1</f>
        <v>4.3423747412589586E-2</v>
      </c>
      <c r="CU392" s="347"/>
      <c r="CV392" s="1363"/>
      <c r="CW392" s="347"/>
      <c r="CX392" s="347"/>
      <c r="CY392" s="347"/>
      <c r="CZ392" s="347"/>
      <c r="DA392" s="347"/>
    </row>
    <row r="393" spans="2:146">
      <c r="B393" s="407" t="s">
        <v>531</v>
      </c>
      <c r="C393" s="426"/>
      <c r="D393" s="426"/>
      <c r="E393" s="426"/>
      <c r="F393" s="426"/>
      <c r="G393" s="426"/>
      <c r="H393" s="426"/>
      <c r="I393" s="426"/>
      <c r="J393" s="426"/>
      <c r="K393" s="426"/>
      <c r="L393" s="426"/>
      <c r="M393" s="426"/>
      <c r="N393" s="426"/>
      <c r="O393" s="426"/>
      <c r="P393" s="426"/>
      <c r="Q393" s="426"/>
      <c r="R393" s="426"/>
      <c r="S393" s="426"/>
      <c r="T393" s="426"/>
      <c r="U393" s="426"/>
      <c r="V393" s="426"/>
      <c r="W393" s="426"/>
      <c r="X393" s="426"/>
      <c r="Y393" s="426"/>
      <c r="Z393" s="426"/>
      <c r="AA393" s="426"/>
      <c r="AB393" s="426"/>
      <c r="AC393" s="426"/>
      <c r="AD393" s="426"/>
      <c r="AE393" s="426"/>
      <c r="AF393" s="426"/>
      <c r="AG393" s="426"/>
      <c r="AH393" s="426"/>
      <c r="AI393" s="426"/>
      <c r="AJ393" s="426"/>
      <c r="AK393" s="426"/>
      <c r="AL393" s="426"/>
      <c r="AM393" s="426"/>
      <c r="AN393" s="426"/>
      <c r="AO393" s="426"/>
      <c r="AP393" s="426"/>
      <c r="AQ393" s="426">
        <f t="shared" ref="AQ393:CT393" si="1818">(AQ216-AQ390)/AQ216</f>
        <v>2.6834381551362682E-2</v>
      </c>
      <c r="AR393" s="426">
        <f t="shared" si="1818"/>
        <v>0.16008316008316009</v>
      </c>
      <c r="AS393" s="426">
        <f t="shared" si="1818"/>
        <v>3.9080459770114942E-2</v>
      </c>
      <c r="AT393" s="426">
        <f t="shared" si="1818"/>
        <v>-0.23764705882352941</v>
      </c>
      <c r="AU393" s="426">
        <f t="shared" si="1818"/>
        <v>-0.43672456575682383</v>
      </c>
      <c r="AV393" s="426">
        <f t="shared" si="1818"/>
        <v>-0.10493119266055045</v>
      </c>
      <c r="AW393" s="426">
        <f t="shared" si="1818"/>
        <v>-0.78590785907859073</v>
      </c>
      <c r="AX393" s="426">
        <f t="shared" si="1818"/>
        <v>-0.81556195965417866</v>
      </c>
      <c r="AY393" s="426">
        <f t="shared" si="1818"/>
        <v>-0.87387387387387383</v>
      </c>
      <c r="AZ393" s="426">
        <f t="shared" si="1818"/>
        <v>-0.6347305389221557</v>
      </c>
      <c r="BA393" s="426">
        <f t="shared" si="1818"/>
        <v>-0.7780187997107737</v>
      </c>
      <c r="BB393" s="426">
        <f t="shared" si="1818"/>
        <v>-0.56270096463022512</v>
      </c>
      <c r="BC393" s="426">
        <f t="shared" si="1818"/>
        <v>-0.87155963302752293</v>
      </c>
      <c r="BD393" s="426">
        <f t="shared" si="1818"/>
        <v>-0.12845528455284552</v>
      </c>
      <c r="BE393" s="426">
        <f t="shared" si="1818"/>
        <v>-0.17790262172284643</v>
      </c>
      <c r="BF393" s="426">
        <f t="shared" si="1818"/>
        <v>-0.35478455512031337</v>
      </c>
      <c r="BG393" s="426">
        <f t="shared" si="1818"/>
        <v>-0.20215633423180593</v>
      </c>
      <c r="BH393" s="426">
        <f t="shared" si="1818"/>
        <v>-0.38709677419354838</v>
      </c>
      <c r="BI393" s="426">
        <f t="shared" si="1818"/>
        <v>-0.49546827794561932</v>
      </c>
      <c r="BJ393" s="426">
        <f t="shared" si="1818"/>
        <v>-0.40923076923076923</v>
      </c>
      <c r="BK393" s="426">
        <f t="shared" si="1818"/>
        <v>-0.36883488205861331</v>
      </c>
      <c r="BL393" s="426">
        <f t="shared" si="1818"/>
        <v>-0.25167247194117487</v>
      </c>
      <c r="BM393" s="426">
        <f t="shared" si="1818"/>
        <v>-0.34038730977846021</v>
      </c>
      <c r="BN393" s="426">
        <f t="shared" si="1818"/>
        <v>-0.3136087372350595</v>
      </c>
      <c r="BO393" s="426">
        <f t="shared" si="1818"/>
        <v>-0.66890017202153063</v>
      </c>
      <c r="BP393" s="426">
        <f t="shared" si="1818"/>
        <v>-0.36910971341351106</v>
      </c>
      <c r="BQ393" s="426" t="e">
        <f t="shared" si="1818"/>
        <v>#DIV/0!</v>
      </c>
      <c r="BR393" s="426" t="e">
        <f t="shared" si="1818"/>
        <v>#DIV/0!</v>
      </c>
      <c r="BS393" s="426" t="e">
        <f t="shared" si="1818"/>
        <v>#DIV/0!</v>
      </c>
      <c r="BT393" s="426" t="e">
        <f t="shared" si="1818"/>
        <v>#DIV/0!</v>
      </c>
      <c r="BU393" s="426" t="e">
        <f t="shared" si="1818"/>
        <v>#DIV/0!</v>
      </c>
      <c r="BV393" s="426" t="e">
        <f t="shared" si="1818"/>
        <v>#DIV/0!</v>
      </c>
      <c r="BW393" s="426" t="e">
        <f t="shared" si="1818"/>
        <v>#DIV/0!</v>
      </c>
      <c r="BX393" s="426" t="e">
        <f t="shared" si="1818"/>
        <v>#DIV/0!</v>
      </c>
      <c r="BY393" s="426" t="e">
        <f t="shared" si="1818"/>
        <v>#DIV/0!</v>
      </c>
      <c r="BZ393" s="426" t="e">
        <f t="shared" si="1818"/>
        <v>#DIV/0!</v>
      </c>
      <c r="CA393" s="426" t="e">
        <f t="shared" si="1818"/>
        <v>#DIV/0!</v>
      </c>
      <c r="CB393" s="426" t="e">
        <f t="shared" si="1818"/>
        <v>#DIV/0!</v>
      </c>
      <c r="CC393" s="426" t="e">
        <f t="shared" ref="CC393:CE393" si="1819">(CC216-CC390)/CC216</f>
        <v>#DIV/0!</v>
      </c>
      <c r="CD393" s="426" t="e">
        <f t="shared" si="1819"/>
        <v>#DIV/0!</v>
      </c>
      <c r="CE393" s="426" t="e">
        <f t="shared" si="1819"/>
        <v>#DIV/0!</v>
      </c>
      <c r="CF393" s="426" t="e">
        <f t="shared" ref="CF393:CG393" si="1820">(CF216-CF390)/CF216</f>
        <v>#DIV/0!</v>
      </c>
      <c r="CG393" s="426" t="e">
        <f t="shared" si="1820"/>
        <v>#DIV/0!</v>
      </c>
      <c r="CH393" s="426" t="e">
        <f t="shared" ref="CH393:CK393" si="1821">(CH216-CH390)/CH216</f>
        <v>#DIV/0!</v>
      </c>
      <c r="CI393" s="426" t="e">
        <f t="shared" si="1821"/>
        <v>#DIV/0!</v>
      </c>
      <c r="CJ393" s="426" t="e">
        <f t="shared" si="1821"/>
        <v>#DIV/0!</v>
      </c>
      <c r="CK393" s="426" t="e">
        <f t="shared" si="1821"/>
        <v>#DIV/0!</v>
      </c>
      <c r="CL393" s="426" t="e">
        <f t="shared" ref="CL393" si="1822">(CL216-CL390)/CL216</f>
        <v>#DIV/0!</v>
      </c>
      <c r="CM393" s="426" t="e">
        <f t="shared" ref="CM393" si="1823">(CM216-CM390)/CM216</f>
        <v>#DIV/0!</v>
      </c>
      <c r="CN393" s="426"/>
      <c r="CO393" s="426" t="e">
        <f t="shared" si="1818"/>
        <v>#DIV/0!</v>
      </c>
      <c r="CP393" s="426" t="e">
        <f t="shared" si="1818"/>
        <v>#DIV/0!</v>
      </c>
      <c r="CQ393" s="426" t="e">
        <f t="shared" si="1818"/>
        <v>#DIV/0!</v>
      </c>
      <c r="CR393" s="426" t="e">
        <f t="shared" si="1818"/>
        <v>#DIV/0!</v>
      </c>
      <c r="CS393" s="426" t="e">
        <f t="shared" si="1818"/>
        <v>#DIV/0!</v>
      </c>
      <c r="CT393" s="426" t="e">
        <f t="shared" si="1818"/>
        <v>#DIV/0!</v>
      </c>
      <c r="CU393" s="347"/>
      <c r="CV393" s="1363"/>
      <c r="CW393" s="347"/>
      <c r="CX393" s="347"/>
      <c r="CY393" s="347"/>
      <c r="CZ393" s="347"/>
      <c r="DA393" s="347"/>
      <c r="DF393" s="349">
        <v>2011</v>
      </c>
      <c r="DG393" s="349">
        <f>DF393+1</f>
        <v>2012</v>
      </c>
      <c r="DH393" s="349">
        <f>DG393+1</f>
        <v>2013</v>
      </c>
      <c r="DI393" s="349">
        <f>DH393+1</f>
        <v>2014</v>
      </c>
      <c r="DJ393" s="349">
        <f>DI393+1</f>
        <v>2015</v>
      </c>
      <c r="DK393" s="349">
        <f>DJ393+1</f>
        <v>2016</v>
      </c>
    </row>
    <row r="394" spans="2:146">
      <c r="B394" s="407"/>
      <c r="C394" s="426"/>
      <c r="D394" s="426"/>
      <c r="E394" s="426"/>
      <c r="F394" s="426"/>
      <c r="G394" s="426"/>
      <c r="H394" s="426"/>
      <c r="I394" s="426"/>
      <c r="J394" s="426"/>
      <c r="K394" s="426"/>
      <c r="L394" s="426"/>
      <c r="M394" s="426"/>
      <c r="N394" s="426"/>
      <c r="O394" s="426"/>
      <c r="P394" s="426"/>
      <c r="Q394" s="426"/>
      <c r="R394" s="426"/>
      <c r="S394" s="426"/>
      <c r="T394" s="426"/>
      <c r="U394" s="426"/>
      <c r="V394" s="426"/>
      <c r="W394" s="426"/>
      <c r="X394" s="426"/>
      <c r="Y394" s="426"/>
      <c r="Z394" s="426"/>
      <c r="AA394" s="426"/>
      <c r="AB394" s="426"/>
      <c r="AC394" s="426"/>
      <c r="AD394" s="426"/>
      <c r="AE394" s="426"/>
      <c r="AF394" s="426"/>
      <c r="AG394" s="426"/>
      <c r="AH394" s="426"/>
      <c r="AI394" s="426"/>
      <c r="AJ394" s="426"/>
      <c r="AK394" s="426"/>
      <c r="AL394" s="426"/>
      <c r="AM394" s="426"/>
      <c r="AN394" s="426"/>
      <c r="AO394" s="426"/>
      <c r="AP394" s="426"/>
      <c r="AQ394" s="426"/>
      <c r="AR394" s="426"/>
      <c r="AS394" s="426"/>
      <c r="AT394" s="426"/>
      <c r="AU394" s="356"/>
      <c r="AV394" s="356"/>
      <c r="AW394" s="356"/>
      <c r="AX394" s="356"/>
      <c r="AY394" s="356"/>
      <c r="AZ394" s="356"/>
      <c r="BA394" s="356"/>
      <c r="BB394" s="356"/>
      <c r="BC394" s="356"/>
      <c r="BD394" s="356"/>
      <c r="BE394" s="356"/>
      <c r="BF394" s="356"/>
      <c r="BG394" s="356"/>
      <c r="BH394" s="356"/>
      <c r="BI394" s="356"/>
      <c r="BJ394" s="356"/>
      <c r="BK394" s="356"/>
      <c r="BL394" s="356"/>
      <c r="BM394" s="356"/>
      <c r="BN394" s="356"/>
      <c r="BO394" s="356"/>
      <c r="BP394" s="356"/>
      <c r="BQ394" s="356"/>
      <c r="BR394" s="356"/>
      <c r="BS394" s="356"/>
      <c r="BT394" s="356"/>
      <c r="BU394" s="356"/>
      <c r="BV394" s="356"/>
      <c r="BW394" s="356"/>
      <c r="BX394" s="356"/>
      <c r="BY394" s="356"/>
      <c r="BZ394" s="356"/>
      <c r="CA394" s="356"/>
      <c r="CB394" s="356"/>
      <c r="CC394" s="356"/>
      <c r="CD394" s="356"/>
      <c r="CE394" s="356"/>
      <c r="CF394" s="356"/>
      <c r="CG394" s="356"/>
      <c r="CH394" s="356"/>
      <c r="CI394" s="356"/>
      <c r="CJ394" s="356"/>
      <c r="CK394" s="356"/>
      <c r="CL394" s="356"/>
      <c r="CM394" s="356"/>
      <c r="CN394" s="356"/>
      <c r="CO394" s="356"/>
      <c r="CP394" s="356"/>
      <c r="CQ394" s="356"/>
      <c r="CR394" s="356"/>
      <c r="CS394" s="356"/>
      <c r="CT394" s="356"/>
      <c r="CU394" s="347"/>
      <c r="CV394" s="1363"/>
      <c r="CW394" s="347"/>
      <c r="CX394" s="347"/>
      <c r="CY394" s="347"/>
      <c r="CZ394" s="364"/>
      <c r="DA394" s="364"/>
      <c r="DE394" s="349" t="s">
        <v>534</v>
      </c>
      <c r="DF394" s="367">
        <v>0.11011937356258898</v>
      </c>
      <c r="DG394" s="367">
        <v>0.14769421527016072</v>
      </c>
      <c r="DH394" s="367">
        <v>0.17520925420859587</v>
      </c>
      <c r="DI394" s="367">
        <v>0.14305200341005966</v>
      </c>
      <c r="DJ394" s="367">
        <v>0.10146448087431693</v>
      </c>
      <c r="DK394" s="367">
        <v>9.0291444100834034E-2</v>
      </c>
    </row>
    <row r="395" spans="2:146">
      <c r="B395" s="414" t="s">
        <v>69</v>
      </c>
      <c r="C395" s="863"/>
      <c r="D395" s="863"/>
      <c r="E395" s="863"/>
      <c r="F395" s="863"/>
      <c r="G395" s="863"/>
      <c r="H395" s="863"/>
      <c r="I395" s="863"/>
      <c r="J395" s="863"/>
      <c r="K395" s="863"/>
      <c r="L395" s="863"/>
      <c r="M395" s="863">
        <v>778</v>
      </c>
      <c r="N395" s="863">
        <v>0</v>
      </c>
      <c r="O395" s="863">
        <v>0</v>
      </c>
      <c r="P395" s="863">
        <v>0</v>
      </c>
      <c r="Q395" s="863">
        <v>0</v>
      </c>
      <c r="R395" s="863">
        <v>904</v>
      </c>
      <c r="S395" s="863">
        <v>241</v>
      </c>
      <c r="T395" s="863">
        <v>242</v>
      </c>
      <c r="U395" s="863">
        <v>419</v>
      </c>
      <c r="V395" s="863">
        <v>297</v>
      </c>
      <c r="W395" s="864">
        <v>1199</v>
      </c>
      <c r="X395" s="864">
        <v>256</v>
      </c>
      <c r="Y395" s="864">
        <v>223</v>
      </c>
      <c r="Z395" s="864">
        <v>209</v>
      </c>
      <c r="AA395" s="864">
        <v>253</v>
      </c>
      <c r="AB395" s="864">
        <v>941</v>
      </c>
      <c r="AC395" s="864">
        <v>235</v>
      </c>
      <c r="AD395" s="864">
        <v>238</v>
      </c>
      <c r="AE395" s="864">
        <v>234</v>
      </c>
      <c r="AF395" s="864">
        <v>230</v>
      </c>
      <c r="AG395" s="864">
        <v>937</v>
      </c>
      <c r="AH395" s="864">
        <v>270</v>
      </c>
      <c r="AI395" s="864">
        <v>308</v>
      </c>
      <c r="AJ395" s="864">
        <v>305</v>
      </c>
      <c r="AK395" s="864">
        <v>277</v>
      </c>
      <c r="AL395" s="864">
        <v>1160</v>
      </c>
      <c r="AM395" s="864">
        <v>255</v>
      </c>
      <c r="AN395" s="864">
        <v>273</v>
      </c>
      <c r="AO395" s="864">
        <v>278</v>
      </c>
      <c r="AP395" s="864">
        <v>283</v>
      </c>
      <c r="AQ395" s="864">
        <v>1089</v>
      </c>
      <c r="AR395" s="864">
        <v>327</v>
      </c>
      <c r="AS395" s="864">
        <v>280</v>
      </c>
      <c r="AT395" s="864">
        <v>260</v>
      </c>
      <c r="AU395" s="864">
        <f>AV395-AT395-AS395-AR395</f>
        <v>290</v>
      </c>
      <c r="AV395" s="864">
        <v>1157</v>
      </c>
      <c r="AW395" s="859">
        <f>'[16]Reported Group Highlights'!T$36</f>
        <v>257</v>
      </c>
      <c r="AX395" s="859">
        <f>'[16]Reported Group Highlights'!U$36</f>
        <v>261</v>
      </c>
      <c r="AY395" s="859">
        <f>'[16]Reported Group Highlights'!V$36</f>
        <v>281</v>
      </c>
      <c r="AZ395" s="859">
        <f>'[16]Reported Group Highlights'!W$36</f>
        <v>552</v>
      </c>
      <c r="BA395" s="840">
        <f>SUM(AW395:AZ395)</f>
        <v>1351</v>
      </c>
      <c r="BB395" s="859">
        <f>'[16]Reported Group Highlights'!X$36</f>
        <v>263</v>
      </c>
      <c r="BC395" s="859">
        <f>'[16]Reported Group Highlights'!Y$36</f>
        <v>264</v>
      </c>
      <c r="BD395" s="859">
        <f>'[16]Reported Group Highlights'!Z$36</f>
        <v>234</v>
      </c>
      <c r="BE395" s="859">
        <f>'[16]Reported Group Highlights'!AA$36</f>
        <v>276</v>
      </c>
      <c r="BF395" s="840">
        <f>SUM(BB395:BE395)</f>
        <v>1037</v>
      </c>
      <c r="BG395" s="859">
        <f>'[16]Reported Group Highlights'!AB$36</f>
        <v>301</v>
      </c>
      <c r="BH395" s="859">
        <f>'[16]Reported Group Highlights'!AC$36</f>
        <v>323</v>
      </c>
      <c r="BI395" s="859">
        <f>'[16]Reported Group Highlights'!AD$36</f>
        <v>330</v>
      </c>
      <c r="BJ395" s="859">
        <f>'[16]Reported Group Highlights'!AE$36</f>
        <v>325</v>
      </c>
      <c r="BK395" s="840">
        <f>SUM(BG395:BJ395)</f>
        <v>1279</v>
      </c>
      <c r="BL395" s="859">
        <f>'[16]Reported Group Highlights'!AF$36</f>
        <v>307</v>
      </c>
      <c r="BM395" s="859">
        <f>'[16]Reported Group Highlights'!AG$36</f>
        <v>304</v>
      </c>
      <c r="BN395" s="859">
        <f>'[16]Reported Group Highlights'!AH$36</f>
        <v>341.23199999999997</v>
      </c>
      <c r="BO395" s="859">
        <f>'[16]Reported Group Highlights'!AI$36</f>
        <v>322.03199999999993</v>
      </c>
      <c r="BP395" s="840">
        <f>SUM(BL395:BO395)</f>
        <v>1274.2639999999999</v>
      </c>
      <c r="BQ395" s="859">
        <f>'[16]Reported Group Highlights'!AJ$36</f>
        <v>235.27799999999999</v>
      </c>
      <c r="BR395" s="859">
        <f>'[16]Reported Group Highlights'!AK$36</f>
        <v>338.61099999999999</v>
      </c>
      <c r="BS395" s="859">
        <f>'[16]Reported Group Highlights'!AL$36</f>
        <v>230.05399999999997</v>
      </c>
      <c r="BT395" s="859">
        <f>'[16]Reported Group Highlights'!AM$36</f>
        <v>271.85799999999995</v>
      </c>
      <c r="BU395" s="840">
        <f>SUM(BQ395:BT395)</f>
        <v>1075.8009999999999</v>
      </c>
      <c r="BV395" s="859">
        <f>'[16]Reported Group Highlights'!AN$36</f>
        <v>295.625</v>
      </c>
      <c r="BW395" s="859">
        <f>'[16]Reported Group Highlights'!AO$36</f>
        <v>272.14499999999998</v>
      </c>
      <c r="BX395" s="859">
        <f>'[16]Reported Group Highlights'!AP$36</f>
        <v>325.11199999999997</v>
      </c>
      <c r="BY395" s="859">
        <f>'[16]Reported Group Highlights'!AQ$36</f>
        <v>432.64700000000005</v>
      </c>
      <c r="BZ395" s="840">
        <f>SUM(BV395:BY395)</f>
        <v>1325.529</v>
      </c>
      <c r="CA395" s="859">
        <f>'[16]Reported Group Highlights'!AR$36</f>
        <v>331.03899999999999</v>
      </c>
      <c r="CB395" s="859">
        <f>'[16]Reported Group Highlights'!AS$36</f>
        <v>368.38</v>
      </c>
      <c r="CC395" s="859">
        <f>'[16]Reported Group Highlights'!AT$36</f>
        <v>359.85900000000004</v>
      </c>
      <c r="CD395" s="859">
        <f>'[16]Reported Group Highlights'!AU$36</f>
        <v>342.96399999999983</v>
      </c>
      <c r="CE395" s="840">
        <f>SUM(CA395:CD395)</f>
        <v>1402.2419999999997</v>
      </c>
      <c r="CF395" s="859">
        <f>'[16]Reported Group Highlights'!AV$36</f>
        <v>357.553</v>
      </c>
      <c r="CG395" s="859">
        <f>'[16]Reported Group Highlights'!AW$36</f>
        <v>460.96600000000001</v>
      </c>
      <c r="CH395" s="859">
        <f>'[16]Reported Group Highlights'!AX$36</f>
        <v>438.51600000000008</v>
      </c>
      <c r="CI395" s="859">
        <f>'[16]Reported Group Highlights'!AY$36</f>
        <v>479.03899999999999</v>
      </c>
      <c r="CJ395" s="840">
        <f>SUM(CF395:CI395)</f>
        <v>1736.0740000000001</v>
      </c>
      <c r="CK395" s="859">
        <f>'[16]Reported Group Highlights'!AZ$36</f>
        <v>514.94799999999998</v>
      </c>
      <c r="CL395" s="859">
        <f>'[16]Reported Group Highlights'!BA$36</f>
        <v>1102.598</v>
      </c>
      <c r="CM395" s="859">
        <f>'[16]Reported Group Highlights'!BB$36</f>
        <v>1049.5520000000001</v>
      </c>
      <c r="CN395" s="859"/>
      <c r="CO395" s="860">
        <f t="shared" ref="CO395:CT395" si="1824">CO396*CO5</f>
        <v>3822.6695248769724</v>
      </c>
      <c r="CP395" s="860">
        <f t="shared" si="1824"/>
        <v>4018.9296615312478</v>
      </c>
      <c r="CQ395" s="860">
        <f t="shared" si="1824"/>
        <v>3453.9974518858735</v>
      </c>
      <c r="CR395" s="860">
        <f t="shared" si="1824"/>
        <v>3346.9166058173569</v>
      </c>
      <c r="CS395" s="860">
        <f t="shared" si="1824"/>
        <v>3492.4366622629209</v>
      </c>
      <c r="CT395" s="860">
        <f t="shared" si="1824"/>
        <v>3644.0913497394936</v>
      </c>
      <c r="CU395" s="364"/>
      <c r="CV395" s="1362"/>
      <c r="CW395" s="364"/>
      <c r="CX395" s="364"/>
      <c r="CY395" s="364"/>
      <c r="CZ395" s="347"/>
      <c r="DA395" s="347"/>
    </row>
    <row r="396" spans="2:146">
      <c r="B396" s="407" t="s">
        <v>67</v>
      </c>
      <c r="C396" s="426">
        <f>C395/C5</f>
        <v>0</v>
      </c>
      <c r="D396" s="426"/>
      <c r="E396" s="426"/>
      <c r="F396" s="426"/>
      <c r="G396" s="426"/>
      <c r="H396" s="426">
        <f>H395/H5</f>
        <v>0</v>
      </c>
      <c r="I396" s="426"/>
      <c r="J396" s="426"/>
      <c r="K396" s="426"/>
      <c r="L396" s="426"/>
      <c r="M396" s="426">
        <f>M395/M5</f>
        <v>5.6759320055446122E-2</v>
      </c>
      <c r="N396" s="426"/>
      <c r="O396" s="426"/>
      <c r="P396" s="426"/>
      <c r="Q396" s="426"/>
      <c r="R396" s="426">
        <f>R395/R5</f>
        <v>5.1775486827033222E-2</v>
      </c>
      <c r="S396" s="426"/>
      <c r="T396" s="426"/>
      <c r="U396" s="426"/>
      <c r="V396" s="426"/>
      <c r="W396" s="426">
        <f>W395/W5</f>
        <v>6.5655459423940424E-2</v>
      </c>
      <c r="X396" s="426"/>
      <c r="Y396" s="426"/>
      <c r="Z396" s="426"/>
      <c r="AA396" s="426"/>
      <c r="AB396" s="426">
        <f>AB395/AB5</f>
        <v>4.4875768992321999E-2</v>
      </c>
      <c r="AC396" s="426"/>
      <c r="AD396" s="426"/>
      <c r="AE396" s="426"/>
      <c r="AF396" s="426"/>
      <c r="AG396" s="426">
        <f>AG395/AG5</f>
        <v>4.4060942349289943E-2</v>
      </c>
      <c r="AH396" s="426"/>
      <c r="AI396" s="426"/>
      <c r="AJ396" s="426"/>
      <c r="AK396" s="426"/>
      <c r="AL396" s="426">
        <f>AL395/AL5</f>
        <v>4.9445865302642798E-2</v>
      </c>
      <c r="AM396" s="426"/>
      <c r="AN396" s="426"/>
      <c r="AO396" s="426"/>
      <c r="AP396" s="426"/>
      <c r="AQ396" s="426">
        <f t="shared" ref="AQ396:CL396" si="1825">AQ395/AQ5</f>
        <v>4.7564970517580255E-2</v>
      </c>
      <c r="AR396" s="426">
        <f t="shared" si="1825"/>
        <v>5.8226495726495728E-2</v>
      </c>
      <c r="AS396" s="426">
        <f t="shared" si="1825"/>
        <v>5.3455517373043146E-2</v>
      </c>
      <c r="AT396" s="426">
        <f t="shared" si="1825"/>
        <v>4.9713193116634802E-2</v>
      </c>
      <c r="AU396" s="426">
        <f t="shared" si="1825"/>
        <v>5.5164542514742246E-2</v>
      </c>
      <c r="AV396" s="426">
        <f t="shared" si="1825"/>
        <v>5.4214891523358795E-2</v>
      </c>
      <c r="AW396" s="426">
        <f t="shared" si="1825"/>
        <v>4.8803646031143184E-2</v>
      </c>
      <c r="AX396" s="426">
        <f t="shared" si="1825"/>
        <v>4.6056114346214927E-2</v>
      </c>
      <c r="AY396" s="426">
        <f t="shared" si="1825"/>
        <v>4.7068676716917925E-2</v>
      </c>
      <c r="AZ396" s="426">
        <f t="shared" si="1825"/>
        <v>9.2030676892297436E-2</v>
      </c>
      <c r="BA396" s="426">
        <f t="shared" si="1825"/>
        <v>5.8993057071743592E-2</v>
      </c>
      <c r="BB396" s="426">
        <f t="shared" si="1825"/>
        <v>4.7806317159468606E-2</v>
      </c>
      <c r="BC396" s="426">
        <f t="shared" si="1825"/>
        <v>4.761323337680446E-2</v>
      </c>
      <c r="BD396" s="426">
        <f t="shared" si="1825"/>
        <v>4.0026205190748815E-2</v>
      </c>
      <c r="BE396" s="426">
        <f t="shared" si="1825"/>
        <v>4.5645486719809475E-2</v>
      </c>
      <c r="BF396" s="426">
        <f t="shared" si="1825"/>
        <v>4.5207223460395428E-2</v>
      </c>
      <c r="BG396" s="426">
        <f t="shared" si="1825"/>
        <v>5.0442215676837335E-2</v>
      </c>
      <c r="BH396" s="426">
        <f t="shared" si="1825"/>
        <v>5.1354576320770548E-2</v>
      </c>
      <c r="BI396" s="426">
        <f t="shared" si="1825"/>
        <v>5.1054404966324969E-2</v>
      </c>
      <c r="BJ396" s="426">
        <f t="shared" si="1825"/>
        <v>5.0683604867497463E-2</v>
      </c>
      <c r="BK396" s="426">
        <f t="shared" si="1825"/>
        <v>5.0889568760441518E-2</v>
      </c>
      <c r="BL396" s="426">
        <f t="shared" si="1825"/>
        <v>4.7251479917890166E-2</v>
      </c>
      <c r="BM396" s="426">
        <f t="shared" si="1825"/>
        <v>4.6165464618195665E-2</v>
      </c>
      <c r="BN396" s="426">
        <f t="shared" si="1825"/>
        <v>5.1906368597097255E-2</v>
      </c>
      <c r="BO396" s="426">
        <f t="shared" si="1825"/>
        <v>5.0690199693244557E-2</v>
      </c>
      <c r="BP396" s="426">
        <f t="shared" si="1825"/>
        <v>4.8993015712388295E-2</v>
      </c>
      <c r="BQ396" s="426">
        <f t="shared" si="1825"/>
        <v>3.7660369663168283E-2</v>
      </c>
      <c r="BR396" s="426">
        <f t="shared" si="1825"/>
        <v>5.0337335412963834E-2</v>
      </c>
      <c r="BS396" s="426">
        <f t="shared" si="1825"/>
        <v>3.3702637300882479E-2</v>
      </c>
      <c r="BT396" s="426">
        <f t="shared" si="1825"/>
        <v>3.9094562916666242E-2</v>
      </c>
      <c r="BU396" s="426">
        <f t="shared" si="1825"/>
        <v>4.0210771827069162E-2</v>
      </c>
      <c r="BV396" s="426">
        <f t="shared" si="1825"/>
        <v>4.384788089217255E-2</v>
      </c>
      <c r="BW396" s="426">
        <f t="shared" si="1825"/>
        <v>3.7113679591301539E-2</v>
      </c>
      <c r="BX396" s="426">
        <f t="shared" si="1825"/>
        <v>4.322952955881177E-2</v>
      </c>
      <c r="BY396" s="426">
        <f t="shared" si="1825"/>
        <v>5.7330101500093968E-2</v>
      </c>
      <c r="BZ396" s="426">
        <f t="shared" si="1825"/>
        <v>4.5485185399461683E-2</v>
      </c>
      <c r="CA396" s="426">
        <f t="shared" si="1825"/>
        <v>4.3861771404010215E-2</v>
      </c>
      <c r="CB396" s="426">
        <f t="shared" si="1825"/>
        <v>4.4830339471959003E-2</v>
      </c>
      <c r="CC396" s="426">
        <f t="shared" si="1825"/>
        <v>4.4409070552567813E-2</v>
      </c>
      <c r="CD396" s="426">
        <f t="shared" si="1825"/>
        <v>4.05641876192437E-2</v>
      </c>
      <c r="CE396" s="426">
        <f t="shared" si="1825"/>
        <v>4.3382642098261044E-2</v>
      </c>
      <c r="CF396" s="426">
        <f t="shared" si="1825"/>
        <v>4.237270962049753E-2</v>
      </c>
      <c r="CG396" s="426">
        <f t="shared" si="1825"/>
        <v>5.351785701017215E-2</v>
      </c>
      <c r="CH396" s="426">
        <f t="shared" si="1825"/>
        <v>5.2770856242991736E-2</v>
      </c>
      <c r="CI396" s="426">
        <f t="shared" si="1825"/>
        <v>5.30486304490295E-2</v>
      </c>
      <c r="CJ396" s="426">
        <f t="shared" si="1825"/>
        <v>5.0479598257679045E-2</v>
      </c>
      <c r="CK396" s="426">
        <f t="shared" si="1825"/>
        <v>5.9869480653636127E-2</v>
      </c>
      <c r="CL396" s="426">
        <f t="shared" si="1825"/>
        <v>0.10507220654035171</v>
      </c>
      <c r="CM396" s="426">
        <f t="shared" ref="CM396" si="1826">CM395/CM5</f>
        <v>9.164336840057459E-2</v>
      </c>
      <c r="CN396" s="426"/>
      <c r="CO396" s="228">
        <v>0.09</v>
      </c>
      <c r="CP396" s="228">
        <v>8.5000000000000006E-2</v>
      </c>
      <c r="CQ396" s="228">
        <v>7.0000000000000007E-2</v>
      </c>
      <c r="CR396" s="228">
        <v>6.5000000000000002E-2</v>
      </c>
      <c r="CS396" s="228">
        <v>6.5000000000000002E-2</v>
      </c>
      <c r="CT396" s="228">
        <v>6.5000000000000002E-2</v>
      </c>
      <c r="CU396" s="347"/>
      <c r="CV396" s="1363"/>
      <c r="CW396" s="347"/>
      <c r="CX396" s="347"/>
      <c r="CY396" s="347"/>
      <c r="CZ396" s="347"/>
      <c r="DA396" s="347"/>
    </row>
    <row r="397" spans="2:146">
      <c r="B397" s="407" t="s">
        <v>68</v>
      </c>
      <c r="C397" s="426"/>
      <c r="D397" s="426"/>
      <c r="E397" s="426"/>
      <c r="F397" s="426"/>
      <c r="G397" s="426"/>
      <c r="H397" s="426">
        <f>C397</f>
        <v>0</v>
      </c>
      <c r="I397" s="426"/>
      <c r="J397" s="426"/>
      <c r="K397" s="426"/>
      <c r="L397" s="426"/>
      <c r="M397" s="426">
        <f>H397</f>
        <v>0</v>
      </c>
      <c r="N397" s="426"/>
      <c r="O397" s="426"/>
      <c r="P397" s="426"/>
      <c r="Q397" s="426"/>
      <c r="R397" s="426">
        <f>M397</f>
        <v>0</v>
      </c>
      <c r="S397" s="426"/>
      <c r="T397" s="426"/>
      <c r="U397" s="426"/>
      <c r="V397" s="426"/>
      <c r="W397" s="426">
        <f>R397</f>
        <v>0</v>
      </c>
      <c r="X397" s="426"/>
      <c r="Y397" s="426"/>
      <c r="Z397" s="426"/>
      <c r="AA397" s="426"/>
      <c r="AB397" s="426">
        <f>W397</f>
        <v>0</v>
      </c>
      <c r="AC397" s="426"/>
      <c r="AD397" s="426"/>
      <c r="AE397" s="426"/>
      <c r="AF397" s="426"/>
      <c r="AG397" s="426">
        <f>AB397</f>
        <v>0</v>
      </c>
      <c r="AH397" s="426"/>
      <c r="AI397" s="426"/>
      <c r="AJ397" s="426"/>
      <c r="AK397" s="426"/>
      <c r="AL397" s="426">
        <f>AG397</f>
        <v>0</v>
      </c>
      <c r="AM397" s="426"/>
      <c r="AN397" s="426"/>
      <c r="AO397" s="426"/>
      <c r="AP397" s="426"/>
      <c r="AQ397" s="356">
        <f>AQ395/AL395-1</f>
        <v>-6.1206896551724177E-2</v>
      </c>
      <c r="AR397" s="356">
        <f>AR395/AM395-1</f>
        <v>0.2823529411764707</v>
      </c>
      <c r="AS397" s="356">
        <f>AS395/AN395-1</f>
        <v>2.564102564102555E-2</v>
      </c>
      <c r="AT397" s="356">
        <f>AT395/AO395-1</f>
        <v>-6.4748201438848962E-2</v>
      </c>
      <c r="AU397" s="356">
        <f>AU395/AP395-1</f>
        <v>2.4734982332155431E-2</v>
      </c>
      <c r="AV397" s="356">
        <f t="shared" ref="AV397:BA397" si="1827">AV395/AQ395-1</f>
        <v>6.244260789715339E-2</v>
      </c>
      <c r="AW397" s="356">
        <f t="shared" si="1827"/>
        <v>-0.21406727828746175</v>
      </c>
      <c r="AX397" s="356">
        <f t="shared" si="1827"/>
        <v>-6.7857142857142838E-2</v>
      </c>
      <c r="AY397" s="356">
        <f t="shared" si="1827"/>
        <v>8.0769230769230704E-2</v>
      </c>
      <c r="AZ397" s="356">
        <f t="shared" si="1827"/>
        <v>0.90344827586206899</v>
      </c>
      <c r="BA397" s="356">
        <f t="shared" si="1827"/>
        <v>0.16767502160760595</v>
      </c>
      <c r="BB397" s="356">
        <f t="shared" ref="BB397:BV397" si="1828">BB395/AW395-1</f>
        <v>2.3346303501945442E-2</v>
      </c>
      <c r="BC397" s="356">
        <f t="shared" si="1828"/>
        <v>1.1494252873563315E-2</v>
      </c>
      <c r="BD397" s="356">
        <f t="shared" si="1828"/>
        <v>-0.16725978647686834</v>
      </c>
      <c r="BE397" s="356">
        <f t="shared" si="1828"/>
        <v>-0.5</v>
      </c>
      <c r="BF397" s="356">
        <f t="shared" si="1828"/>
        <v>-0.23242042931162099</v>
      </c>
      <c r="BG397" s="356">
        <f t="shared" si="1828"/>
        <v>0.14448669201520903</v>
      </c>
      <c r="BH397" s="356">
        <f t="shared" si="1828"/>
        <v>0.2234848484848484</v>
      </c>
      <c r="BI397" s="356">
        <f t="shared" si="1828"/>
        <v>0.41025641025641035</v>
      </c>
      <c r="BJ397" s="356">
        <f t="shared" si="1828"/>
        <v>0.17753623188405787</v>
      </c>
      <c r="BK397" s="356">
        <f t="shared" si="1828"/>
        <v>0.23336547733847635</v>
      </c>
      <c r="BL397" s="356">
        <f t="shared" si="1828"/>
        <v>1.9933554817275656E-2</v>
      </c>
      <c r="BM397" s="356">
        <f t="shared" si="1828"/>
        <v>-5.8823529411764719E-2</v>
      </c>
      <c r="BN397" s="356">
        <f t="shared" si="1828"/>
        <v>3.4036363636363642E-2</v>
      </c>
      <c r="BO397" s="356">
        <f t="shared" si="1828"/>
        <v>-9.1323076923078839E-3</v>
      </c>
      <c r="BP397" s="356">
        <f t="shared" si="1828"/>
        <v>-3.7028928850665332E-3</v>
      </c>
      <c r="BQ397" s="356">
        <f t="shared" si="1828"/>
        <v>-0.23362214983713359</v>
      </c>
      <c r="BR397" s="356">
        <f t="shared" si="1828"/>
        <v>0.11385197368421052</v>
      </c>
      <c r="BS397" s="356">
        <f t="shared" si="1828"/>
        <v>-0.32581352276457076</v>
      </c>
      <c r="BT397" s="356">
        <f t="shared" si="1828"/>
        <v>-0.15580439211010078</v>
      </c>
      <c r="BU397" s="356">
        <f t="shared" si="1828"/>
        <v>-0.15574716071394934</v>
      </c>
      <c r="BV397" s="356">
        <f t="shared" si="1828"/>
        <v>0.25649231972390107</v>
      </c>
      <c r="BW397" s="356">
        <f t="shared" ref="BW397:CM397" si="1829">BW395/BR395-1</f>
        <v>-0.19629013824122665</v>
      </c>
      <c r="BX397" s="356">
        <f t="shared" si="1829"/>
        <v>0.41319864031922937</v>
      </c>
      <c r="BY397" s="356">
        <f t="shared" si="1829"/>
        <v>0.59144479838739383</v>
      </c>
      <c r="BZ397" s="356">
        <f t="shared" si="1829"/>
        <v>0.23213215083458749</v>
      </c>
      <c r="CA397" s="356">
        <f t="shared" si="1829"/>
        <v>0.11979365750528537</v>
      </c>
      <c r="CB397" s="356">
        <f t="shared" si="1829"/>
        <v>0.35361663818920075</v>
      </c>
      <c r="CC397" s="356">
        <f t="shared" si="1829"/>
        <v>0.1068770146903224</v>
      </c>
      <c r="CD397" s="356">
        <f t="shared" si="1829"/>
        <v>-0.20728908324800632</v>
      </c>
      <c r="CE397" s="356">
        <f t="shared" si="1829"/>
        <v>5.7873498052475547E-2</v>
      </c>
      <c r="CF397" s="356">
        <f t="shared" si="1829"/>
        <v>8.0093282060421878E-2</v>
      </c>
      <c r="CG397" s="356">
        <f t="shared" si="1829"/>
        <v>0.25133286280471245</v>
      </c>
      <c r="CH397" s="356">
        <f t="shared" si="1829"/>
        <v>0.21857727609980593</v>
      </c>
      <c r="CI397" s="356">
        <f t="shared" si="1829"/>
        <v>0.39676175925170054</v>
      </c>
      <c r="CJ397" s="356">
        <f t="shared" si="1829"/>
        <v>0.23807017618927429</v>
      </c>
      <c r="CK397" s="356">
        <f t="shared" si="1829"/>
        <v>0.44020047377591576</v>
      </c>
      <c r="CL397" s="356">
        <f t="shared" si="1829"/>
        <v>1.3919291227552573</v>
      </c>
      <c r="CM397" s="356">
        <f t="shared" si="1829"/>
        <v>1.3934178000346624</v>
      </c>
      <c r="CN397" s="356"/>
      <c r="CO397" s="794">
        <f>CO395/CJ395-1</f>
        <v>1.2019047142443076</v>
      </c>
      <c r="CP397" s="794">
        <f t="shared" ref="CP397:CR397" si="1830">CP395/CO395-1</f>
        <v>5.1341120485844716E-2</v>
      </c>
      <c r="CQ397" s="794">
        <f t="shared" si="1830"/>
        <v>-0.14056782706421644</v>
      </c>
      <c r="CR397" s="794">
        <f t="shared" si="1830"/>
        <v>-3.1002004940695826E-2</v>
      </c>
      <c r="CS397" s="794">
        <f t="shared" ref="CS397" si="1831">CS395/CR395-1</f>
        <v>4.3478841448463923E-2</v>
      </c>
      <c r="CT397" s="794">
        <f t="shared" ref="CT397" si="1832">CT395/CS395-1</f>
        <v>4.3423747412589586E-2</v>
      </c>
      <c r="CU397" s="347"/>
      <c r="CV397" s="1363"/>
      <c r="CW397" s="379"/>
      <c r="CX397" s="347"/>
      <c r="CY397" s="347"/>
      <c r="CZ397" s="347"/>
      <c r="DA397" s="347"/>
    </row>
    <row r="398" spans="2:146">
      <c r="B398" s="407"/>
      <c r="C398" s="493"/>
      <c r="D398" s="493"/>
      <c r="E398" s="493"/>
      <c r="F398" s="493"/>
      <c r="G398" s="493"/>
      <c r="H398" s="493"/>
      <c r="I398" s="493"/>
      <c r="J398" s="493"/>
      <c r="K398" s="493"/>
      <c r="L398" s="493"/>
      <c r="M398" s="493"/>
      <c r="N398" s="493"/>
      <c r="O398" s="493"/>
      <c r="P398" s="493"/>
      <c r="Q398" s="493"/>
      <c r="R398" s="493"/>
      <c r="S398" s="493"/>
      <c r="T398" s="493"/>
      <c r="U398" s="493"/>
      <c r="V398" s="493"/>
      <c r="W398" s="493"/>
      <c r="X398" s="493"/>
      <c r="Y398" s="493"/>
      <c r="Z398" s="493"/>
      <c r="AA398" s="493"/>
      <c r="AB398" s="493"/>
      <c r="AC398" s="493"/>
      <c r="AD398" s="493"/>
      <c r="AE398" s="493"/>
      <c r="AF398" s="493"/>
      <c r="AG398" s="493"/>
      <c r="AH398" s="493"/>
      <c r="AI398" s="493"/>
      <c r="AJ398" s="493"/>
      <c r="AK398" s="493"/>
      <c r="AL398" s="493"/>
      <c r="AM398" s="493"/>
      <c r="AN398" s="493"/>
      <c r="AO398" s="493"/>
      <c r="AP398" s="493"/>
      <c r="AQ398" s="493"/>
      <c r="AR398" s="493"/>
      <c r="AS398" s="493"/>
      <c r="AT398" s="493"/>
      <c r="AU398" s="493"/>
      <c r="AV398" s="347"/>
      <c r="AW398" s="347"/>
      <c r="AX398" s="347"/>
      <c r="AY398" s="347"/>
      <c r="AZ398" s="347"/>
      <c r="BA398" s="347"/>
      <c r="BB398" s="347"/>
      <c r="BC398" s="347"/>
      <c r="BD398" s="347"/>
      <c r="BE398" s="347"/>
      <c r="BF398" s="347"/>
      <c r="BG398" s="347"/>
      <c r="BH398" s="347"/>
      <c r="BI398" s="347"/>
      <c r="BJ398" s="347"/>
      <c r="BK398" s="347"/>
      <c r="BL398" s="347"/>
      <c r="BM398" s="347"/>
      <c r="BN398" s="347"/>
      <c r="BO398" s="347"/>
      <c r="BP398" s="347"/>
      <c r="BQ398" s="347"/>
      <c r="BR398" s="347"/>
      <c r="BS398" s="347"/>
      <c r="BT398" s="347"/>
      <c r="BU398" s="347"/>
      <c r="BV398" s="347"/>
      <c r="BW398" s="347"/>
      <c r="BX398" s="347"/>
      <c r="BY398" s="347"/>
      <c r="BZ398" s="347"/>
      <c r="CA398" s="347"/>
      <c r="CB398" s="347"/>
      <c r="CC398" s="347"/>
      <c r="CD398" s="347"/>
      <c r="CE398" s="347"/>
      <c r="CF398" s="347"/>
      <c r="CG398" s="347"/>
      <c r="CH398" s="347"/>
      <c r="CI398" s="347"/>
      <c r="CJ398" s="347"/>
      <c r="CK398" s="347"/>
      <c r="CL398" s="347"/>
      <c r="CM398" s="347"/>
      <c r="CN398" s="347"/>
      <c r="CO398" s="347"/>
      <c r="CP398" s="347"/>
      <c r="CQ398" s="347"/>
      <c r="CR398" s="347"/>
      <c r="CS398" s="347"/>
      <c r="CT398" s="347"/>
      <c r="CU398" s="347"/>
      <c r="CV398" s="1363"/>
      <c r="CW398" s="347"/>
      <c r="CX398" s="347"/>
      <c r="CY398" s="347"/>
      <c r="CZ398" s="364"/>
      <c r="DA398" s="364"/>
    </row>
    <row r="399" spans="2:146">
      <c r="B399" s="414" t="s">
        <v>70</v>
      </c>
      <c r="C399" s="863"/>
      <c r="D399" s="863"/>
      <c r="E399" s="863"/>
      <c r="F399" s="863"/>
      <c r="G399" s="863"/>
      <c r="H399" s="863"/>
      <c r="I399" s="863"/>
      <c r="J399" s="863"/>
      <c r="K399" s="863"/>
      <c r="L399" s="863"/>
      <c r="M399" s="863">
        <v>1030</v>
      </c>
      <c r="N399" s="863">
        <v>0</v>
      </c>
      <c r="O399" s="863">
        <v>0</v>
      </c>
      <c r="P399" s="863">
        <v>0</v>
      </c>
      <c r="Q399" s="863">
        <v>0</v>
      </c>
      <c r="R399" s="863">
        <v>1291</v>
      </c>
      <c r="S399" s="863">
        <v>222</v>
      </c>
      <c r="T399" s="863">
        <v>290</v>
      </c>
      <c r="U399" s="863">
        <v>336</v>
      </c>
      <c r="V399" s="863">
        <v>390</v>
      </c>
      <c r="W399" s="864">
        <v>1238</v>
      </c>
      <c r="X399" s="864">
        <v>290</v>
      </c>
      <c r="Y399" s="864">
        <v>292</v>
      </c>
      <c r="Z399" s="864">
        <v>352</v>
      </c>
      <c r="AA399" s="864">
        <v>372</v>
      </c>
      <c r="AB399" s="864">
        <v>1306</v>
      </c>
      <c r="AC399" s="864">
        <v>326</v>
      </c>
      <c r="AD399" s="864">
        <v>341</v>
      </c>
      <c r="AE399" s="864">
        <v>374</v>
      </c>
      <c r="AF399" s="864">
        <v>314</v>
      </c>
      <c r="AG399" s="864">
        <v>1355</v>
      </c>
      <c r="AH399" s="864">
        <v>295</v>
      </c>
      <c r="AI399" s="864">
        <v>340</v>
      </c>
      <c r="AJ399" s="864">
        <v>378</v>
      </c>
      <c r="AK399" s="864">
        <v>411</v>
      </c>
      <c r="AL399" s="864">
        <v>1424</v>
      </c>
      <c r="AM399" s="864">
        <v>230</v>
      </c>
      <c r="AN399" s="864">
        <v>255</v>
      </c>
      <c r="AO399" s="864">
        <v>303</v>
      </c>
      <c r="AP399" s="864">
        <v>339</v>
      </c>
      <c r="AQ399" s="864">
        <v>1127</v>
      </c>
      <c r="AR399" s="864">
        <v>329</v>
      </c>
      <c r="AS399" s="864">
        <v>272</v>
      </c>
      <c r="AT399" s="864">
        <v>385</v>
      </c>
      <c r="AU399" s="864">
        <f>AV399-AT399-AS399-AR399</f>
        <v>447</v>
      </c>
      <c r="AV399" s="864">
        <v>1433</v>
      </c>
      <c r="AW399" s="859">
        <f>'[16]Reported Group Highlights'!T$37</f>
        <v>274</v>
      </c>
      <c r="AX399" s="859">
        <f>'[16]Reported Group Highlights'!U$37</f>
        <v>419</v>
      </c>
      <c r="AY399" s="859">
        <f>'[16]Reported Group Highlights'!V$37</f>
        <v>413</v>
      </c>
      <c r="AZ399" s="859">
        <f>'[16]Reported Group Highlights'!W$37</f>
        <v>510</v>
      </c>
      <c r="BA399" s="840">
        <f>SUM(AW399:AZ399)</f>
        <v>1616</v>
      </c>
      <c r="BB399" s="859">
        <f>'[16]Reported Group Highlights'!X$37</f>
        <v>573</v>
      </c>
      <c r="BC399" s="859">
        <f>'[16]Reported Group Highlights'!Y$37</f>
        <v>574</v>
      </c>
      <c r="BD399" s="859">
        <f>'[16]Reported Group Highlights'!Z$37</f>
        <v>438</v>
      </c>
      <c r="BE399" s="859">
        <f>'[16]Reported Group Highlights'!AA$37</f>
        <v>454</v>
      </c>
      <c r="BF399" s="840">
        <f>SUM(BB399:BE399)</f>
        <v>2039</v>
      </c>
      <c r="BG399" s="859">
        <f>'[16]Reported Group Highlights'!AB$37</f>
        <v>457</v>
      </c>
      <c r="BH399" s="859">
        <f>'[16]Reported Group Highlights'!AC$37</f>
        <v>490</v>
      </c>
      <c r="BI399" s="859">
        <f>'[16]Reported Group Highlights'!AD$37</f>
        <v>492</v>
      </c>
      <c r="BJ399" s="859">
        <f>'[16]Reported Group Highlights'!AE$37</f>
        <v>531</v>
      </c>
      <c r="BK399" s="840">
        <f>SUM(BG399:BJ399)</f>
        <v>1970</v>
      </c>
      <c r="BL399" s="859">
        <f>'[16]Reported Group Highlights'!AF$37</f>
        <v>453</v>
      </c>
      <c r="BM399" s="859">
        <f>'[16]Reported Group Highlights'!AG$37</f>
        <v>435</v>
      </c>
      <c r="BN399" s="859">
        <f>'[16]Reported Group Highlights'!AH$37</f>
        <v>469.74</v>
      </c>
      <c r="BO399" s="859">
        <f>'[16]Reported Group Highlights'!AI$37</f>
        <v>447.4670000000001</v>
      </c>
      <c r="BP399" s="840">
        <f>SUM(BL399:BO399)</f>
        <v>1805.2070000000001</v>
      </c>
      <c r="BQ399" s="859">
        <f>'[16]Reported Group Highlights'!AJ$37</f>
        <v>525.13900000000001</v>
      </c>
      <c r="BR399" s="859">
        <f>'[16]Reported Group Highlights'!AK$37</f>
        <v>640.02799999999991</v>
      </c>
      <c r="BS399" s="859">
        <f>'[16]Reported Group Highlights'!AL$37</f>
        <v>722.25400000000025</v>
      </c>
      <c r="BT399" s="859">
        <f>'[16]Reported Group Highlights'!AM$37</f>
        <v>679.54200000000003</v>
      </c>
      <c r="BU399" s="840">
        <f>SUM(BQ399:BT399)</f>
        <v>2566.9630000000002</v>
      </c>
      <c r="BV399" s="859">
        <f>'[16]Reported Group Highlights'!AN$37</f>
        <v>728.63900000000001</v>
      </c>
      <c r="BW399" s="859">
        <f>'[16]Reported Group Highlights'!AO$37</f>
        <v>654.81499999999994</v>
      </c>
      <c r="BX399" s="859">
        <f>'[16]Reported Group Highlights'!AP$37</f>
        <v>592.03600000000017</v>
      </c>
      <c r="BY399" s="859">
        <f>'[16]Reported Group Highlights'!AQ$37</f>
        <v>642.50799999999992</v>
      </c>
      <c r="BZ399" s="840">
        <f>SUM(BV399:BY399)</f>
        <v>2617.998</v>
      </c>
      <c r="CA399" s="859">
        <f>'[16]Reported Group Highlights'!AR$37</f>
        <v>565.40700000000004</v>
      </c>
      <c r="CB399" s="859">
        <f>'[16]Reported Group Highlights'!AS$37</f>
        <v>613.25400000000002</v>
      </c>
      <c r="CC399" s="859">
        <f>'[16]Reported Group Highlights'!AT$37</f>
        <v>625.90499999999986</v>
      </c>
      <c r="CD399" s="859">
        <f>'[16]Reported Group Highlights'!AU$37</f>
        <v>650.2090000000004</v>
      </c>
      <c r="CE399" s="840">
        <f>SUM(CA399:CD399)</f>
        <v>2454.7750000000001</v>
      </c>
      <c r="CF399" s="859">
        <f>'[16]Reported Group Highlights'!AV$37</f>
        <v>533.16099999999994</v>
      </c>
      <c r="CG399" s="859">
        <f>'[16]Reported Group Highlights'!AW$37</f>
        <v>545.98100000000011</v>
      </c>
      <c r="CH399" s="859">
        <f>'[16]Reported Group Highlights'!AX$37</f>
        <v>510.14</v>
      </c>
      <c r="CI399" s="859">
        <f>'[16]Reported Group Highlights'!AY$37</f>
        <v>504.90999999999997</v>
      </c>
      <c r="CJ399" s="840">
        <f>SUM(CF399:CI399)</f>
        <v>2094.192</v>
      </c>
      <c r="CK399" s="859">
        <f>'[16]Reported Group Highlights'!AZ$37</f>
        <v>389.44299999999998</v>
      </c>
      <c r="CL399" s="859">
        <f>'[16]Reported Group Highlights'!BA$37</f>
        <v>526.67600000000004</v>
      </c>
      <c r="CM399" s="859">
        <f>'[16]Reported Group Highlights'!BB$37</f>
        <v>591.18600000000004</v>
      </c>
      <c r="CN399" s="859"/>
      <c r="CO399" s="860">
        <f t="shared" ref="CO399:CT399" si="1833">CO400*CO5</f>
        <v>1911.3347624384862</v>
      </c>
      <c r="CP399" s="860">
        <f t="shared" si="1833"/>
        <v>2127.6686443400722</v>
      </c>
      <c r="CQ399" s="860">
        <f t="shared" si="1833"/>
        <v>2220.4269333552043</v>
      </c>
      <c r="CR399" s="860">
        <f t="shared" si="1833"/>
        <v>2317.0961117197085</v>
      </c>
      <c r="CS399" s="860">
        <f t="shared" si="1833"/>
        <v>2417.840766182022</v>
      </c>
      <c r="CT399" s="860">
        <f t="shared" si="1833"/>
        <v>2522.8324728965722</v>
      </c>
      <c r="CU399" s="364"/>
      <c r="CV399" s="1362"/>
      <c r="CW399" s="364"/>
      <c r="CX399" s="364"/>
      <c r="CY399" s="364"/>
      <c r="CZ399" s="347"/>
      <c r="DA399" s="347"/>
    </row>
    <row r="400" spans="2:146">
      <c r="B400" s="407" t="s">
        <v>67</v>
      </c>
      <c r="C400" s="426">
        <f>C399/C5</f>
        <v>0</v>
      </c>
      <c r="D400" s="426"/>
      <c r="E400" s="426"/>
      <c r="F400" s="426"/>
      <c r="G400" s="426"/>
      <c r="H400" s="426">
        <f>H399/H5</f>
        <v>0</v>
      </c>
      <c r="I400" s="426"/>
      <c r="J400" s="426"/>
      <c r="K400" s="426"/>
      <c r="L400" s="426"/>
      <c r="M400" s="426">
        <f>M399/M5</f>
        <v>7.5144086962865689E-2</v>
      </c>
      <c r="N400" s="426"/>
      <c r="O400" s="426"/>
      <c r="P400" s="426"/>
      <c r="Q400" s="426"/>
      <c r="R400" s="426">
        <f>R399/R5</f>
        <v>7.3940435280641467E-2</v>
      </c>
      <c r="S400" s="426"/>
      <c r="T400" s="426"/>
      <c r="U400" s="426"/>
      <c r="V400" s="426"/>
      <c r="W400" s="426">
        <f>W399/W5</f>
        <v>6.7791041506954336E-2</v>
      </c>
      <c r="X400" s="426"/>
      <c r="Y400" s="426"/>
      <c r="Z400" s="426"/>
      <c r="AA400" s="426"/>
      <c r="AB400" s="426">
        <f>AB399/AB5</f>
        <v>6.2282416901139781E-2</v>
      </c>
      <c r="AC400" s="426"/>
      <c r="AD400" s="426"/>
      <c r="AE400" s="426"/>
      <c r="AF400" s="426"/>
      <c r="AG400" s="426">
        <f>AG399/AG5</f>
        <v>6.371673093200414E-2</v>
      </c>
      <c r="AH400" s="426"/>
      <c r="AI400" s="426"/>
      <c r="AJ400" s="426"/>
      <c r="AK400" s="426"/>
      <c r="AL400" s="426">
        <f>AL399/AL5</f>
        <v>6.0699062233589091E-2</v>
      </c>
      <c r="AM400" s="426"/>
      <c r="AN400" s="426"/>
      <c r="AO400" s="426"/>
      <c r="AP400" s="426"/>
      <c r="AQ400" s="426">
        <f t="shared" ref="AQ400:CL400" si="1834">AQ399/AQ5</f>
        <v>4.9224721554924654E-2</v>
      </c>
      <c r="AR400" s="426">
        <f t="shared" si="1834"/>
        <v>5.8582621082621085E-2</v>
      </c>
      <c r="AS400" s="426">
        <f t="shared" si="1834"/>
        <v>5.1928216876670485E-2</v>
      </c>
      <c r="AT400" s="426">
        <f t="shared" si="1834"/>
        <v>7.3613766730401528E-2</v>
      </c>
      <c r="AU400" s="426">
        <f t="shared" si="1834"/>
        <v>8.5029484496861332E-2</v>
      </c>
      <c r="AV400" s="426">
        <f t="shared" si="1834"/>
        <v>6.7147743779579216E-2</v>
      </c>
      <c r="AW400" s="426">
        <f t="shared" si="1834"/>
        <v>5.2031902772502851E-2</v>
      </c>
      <c r="AX400" s="426">
        <f t="shared" si="1834"/>
        <v>7.3936827245456152E-2</v>
      </c>
      <c r="AY400" s="426">
        <f t="shared" si="1834"/>
        <v>6.9179229480737015E-2</v>
      </c>
      <c r="AZ400" s="426">
        <f t="shared" si="1834"/>
        <v>8.5028342780926969E-2</v>
      </c>
      <c r="BA400" s="426">
        <f t="shared" si="1834"/>
        <v>7.0564604165756953E-2</v>
      </c>
      <c r="BB400" s="426">
        <f t="shared" si="1834"/>
        <v>0.10415596856416544</v>
      </c>
      <c r="BC400" s="426">
        <f t="shared" si="1834"/>
        <v>0.10352271196320363</v>
      </c>
      <c r="BD400" s="426">
        <f t="shared" si="1834"/>
        <v>7.4920845613452913E-2</v>
      </c>
      <c r="BE400" s="426">
        <f t="shared" si="1834"/>
        <v>7.5083518010121392E-2</v>
      </c>
      <c r="BF400" s="426">
        <f t="shared" si="1834"/>
        <v>8.888864863620663E-2</v>
      </c>
      <c r="BG400" s="426">
        <f t="shared" si="1834"/>
        <v>7.6585025130613493E-2</v>
      </c>
      <c r="BH400" s="426">
        <f t="shared" si="1834"/>
        <v>7.7906323211076059E-2</v>
      </c>
      <c r="BI400" s="426">
        <f t="shared" si="1834"/>
        <v>7.6117476495248138E-2</v>
      </c>
      <c r="BJ400" s="426">
        <f t="shared" si="1834"/>
        <v>8.2809212875818924E-2</v>
      </c>
      <c r="BK400" s="426">
        <f t="shared" si="1834"/>
        <v>7.8383464001618289E-2</v>
      </c>
      <c r="BL400" s="426">
        <f t="shared" si="1834"/>
        <v>6.9722867761577351E-2</v>
      </c>
      <c r="BM400" s="426">
        <f t="shared" si="1834"/>
        <v>6.6059135226694446E-2</v>
      </c>
      <c r="BN400" s="426">
        <f t="shared" si="1834"/>
        <v>7.1454311391664513E-2</v>
      </c>
      <c r="BO400" s="426">
        <f t="shared" si="1834"/>
        <v>7.0434589066108569E-2</v>
      </c>
      <c r="BP400" s="426">
        <f t="shared" si="1834"/>
        <v>6.9406759443187083E-2</v>
      </c>
      <c r="BQ400" s="426">
        <f t="shared" si="1834"/>
        <v>8.4057705627158211E-2</v>
      </c>
      <c r="BR400" s="426">
        <f t="shared" si="1834"/>
        <v>9.5145474038611899E-2</v>
      </c>
      <c r="BS400" s="426">
        <f t="shared" si="1834"/>
        <v>0.10580935172225471</v>
      </c>
      <c r="BT400" s="426">
        <f t="shared" si="1834"/>
        <v>9.7721595367865635E-2</v>
      </c>
      <c r="BU400" s="426">
        <f t="shared" si="1834"/>
        <v>9.5946707134060075E-2</v>
      </c>
      <c r="BV400" s="426">
        <f t="shared" si="1834"/>
        <v>0.10807366117680074</v>
      </c>
      <c r="BW400" s="426">
        <f t="shared" si="1834"/>
        <v>8.9300167563534566E-2</v>
      </c>
      <c r="BX400" s="426">
        <f t="shared" si="1834"/>
        <v>7.8721910485865465E-2</v>
      </c>
      <c r="BY400" s="426">
        <f t="shared" si="1834"/>
        <v>8.513880566517823E-2</v>
      </c>
      <c r="BZ400" s="426">
        <f t="shared" si="1834"/>
        <v>8.9835925434615077E-2</v>
      </c>
      <c r="CA400" s="426">
        <f t="shared" si="1834"/>
        <v>7.4914896988654528E-2</v>
      </c>
      <c r="CB400" s="426">
        <f t="shared" si="1834"/>
        <v>7.4630503834455589E-2</v>
      </c>
      <c r="CC400" s="426">
        <f t="shared" si="1834"/>
        <v>7.7240973003884716E-2</v>
      </c>
      <c r="CD400" s="426">
        <f t="shared" si="1834"/>
        <v>7.6903697961654457E-2</v>
      </c>
      <c r="CE400" s="426">
        <f t="shared" si="1834"/>
        <v>7.5945967426991057E-2</v>
      </c>
      <c r="CF400" s="426">
        <f t="shared" si="1834"/>
        <v>6.3183573439389629E-2</v>
      </c>
      <c r="CG400" s="426">
        <f t="shared" si="1834"/>
        <v>6.3388043995155408E-2</v>
      </c>
      <c r="CH400" s="426">
        <f t="shared" si="1834"/>
        <v>6.1390062400915359E-2</v>
      </c>
      <c r="CI400" s="426">
        <f t="shared" si="1834"/>
        <v>5.5913576973940504E-2</v>
      </c>
      <c r="CJ400" s="426">
        <f t="shared" si="1834"/>
        <v>6.0892548839764547E-2</v>
      </c>
      <c r="CK400" s="426">
        <f t="shared" si="1834"/>
        <v>4.5277873016681319E-2</v>
      </c>
      <c r="CL400" s="426">
        <f t="shared" si="1834"/>
        <v>5.0189651579130634E-2</v>
      </c>
      <c r="CM400" s="426">
        <f t="shared" ref="CM400" si="1835">CM399/CM5</f>
        <v>5.162038316468559E-2</v>
      </c>
      <c r="CN400" s="426"/>
      <c r="CO400" s="228">
        <v>4.4999999999999998E-2</v>
      </c>
      <c r="CP400" s="228">
        <v>4.4999999999999998E-2</v>
      </c>
      <c r="CQ400" s="228">
        <v>4.4999999999999998E-2</v>
      </c>
      <c r="CR400" s="228">
        <v>4.4999999999999998E-2</v>
      </c>
      <c r="CS400" s="228">
        <v>4.4999999999999998E-2</v>
      </c>
      <c r="CT400" s="228">
        <v>4.4999999999999998E-2</v>
      </c>
      <c r="CU400" s="347"/>
      <c r="CV400" s="1363"/>
      <c r="CW400" s="347"/>
      <c r="CX400" s="347"/>
      <c r="CY400" s="347"/>
      <c r="CZ400" s="347"/>
      <c r="DA400" s="347"/>
    </row>
    <row r="401" spans="1:146">
      <c r="B401" s="407" t="s">
        <v>68</v>
      </c>
      <c r="C401" s="426"/>
      <c r="D401" s="426"/>
      <c r="E401" s="426"/>
      <c r="F401" s="426"/>
      <c r="G401" s="426"/>
      <c r="H401" s="426" t="e">
        <f>H399/C399-1</f>
        <v>#DIV/0!</v>
      </c>
      <c r="I401" s="426"/>
      <c r="J401" s="426"/>
      <c r="K401" s="426"/>
      <c r="L401" s="426"/>
      <c r="M401" s="426" t="e">
        <f>M399/H399-1</f>
        <v>#DIV/0!</v>
      </c>
      <c r="N401" s="426"/>
      <c r="O401" s="426"/>
      <c r="P401" s="426"/>
      <c r="Q401" s="426"/>
      <c r="R401" s="426">
        <f>R399/M399-1</f>
        <v>0.25339805825242712</v>
      </c>
      <c r="S401" s="426"/>
      <c r="T401" s="426"/>
      <c r="U401" s="426"/>
      <c r="V401" s="426"/>
      <c r="W401" s="426">
        <f>W399/R399-1</f>
        <v>-4.1053446940356286E-2</v>
      </c>
      <c r="X401" s="426"/>
      <c r="Y401" s="426"/>
      <c r="Z401" s="426"/>
      <c r="AA401" s="426"/>
      <c r="AB401" s="426">
        <f>AB399/W399-1</f>
        <v>5.4927302100161501E-2</v>
      </c>
      <c r="AC401" s="426"/>
      <c r="AD401" s="426"/>
      <c r="AE401" s="426"/>
      <c r="AF401" s="426"/>
      <c r="AG401" s="426">
        <f>AG399/AB399-1</f>
        <v>3.7519142419601748E-2</v>
      </c>
      <c r="AH401" s="426"/>
      <c r="AI401" s="426"/>
      <c r="AJ401" s="426"/>
      <c r="AK401" s="426"/>
      <c r="AL401" s="426">
        <f>AL399/AG399-1</f>
        <v>5.0922509225092227E-2</v>
      </c>
      <c r="AM401" s="426"/>
      <c r="AN401" s="426"/>
      <c r="AO401" s="426"/>
      <c r="AP401" s="426"/>
      <c r="AQ401" s="426">
        <f>AQ399/AL399-1</f>
        <v>-0.2085674157303371</v>
      </c>
      <c r="AR401" s="426">
        <f t="shared" ref="AR401:BA401" si="1836">AR399/AM399-1</f>
        <v>0.43043478260869561</v>
      </c>
      <c r="AS401" s="426">
        <f t="shared" si="1836"/>
        <v>6.6666666666666652E-2</v>
      </c>
      <c r="AT401" s="426">
        <f t="shared" si="1836"/>
        <v>0.27062706270627057</v>
      </c>
      <c r="AU401" s="426">
        <f t="shared" si="1836"/>
        <v>0.31858407079646023</v>
      </c>
      <c r="AV401" s="426">
        <f t="shared" si="1836"/>
        <v>0.27151730257320317</v>
      </c>
      <c r="AW401" s="426">
        <f t="shared" si="1836"/>
        <v>-0.16717325227963531</v>
      </c>
      <c r="AX401" s="426">
        <f t="shared" si="1836"/>
        <v>0.54044117647058831</v>
      </c>
      <c r="AY401" s="426">
        <f t="shared" si="1836"/>
        <v>7.2727272727272751E-2</v>
      </c>
      <c r="AZ401" s="426">
        <f t="shared" si="1836"/>
        <v>0.14093959731543615</v>
      </c>
      <c r="BA401" s="426">
        <f t="shared" si="1836"/>
        <v>0.12770411723656672</v>
      </c>
      <c r="BB401" s="426">
        <f>BB399/AW399-1</f>
        <v>1.0912408759124088</v>
      </c>
      <c r="BC401" s="426">
        <f>BC399/AX399-1</f>
        <v>0.36992840095465396</v>
      </c>
      <c r="BD401" s="426">
        <f>BD399/AY399-1</f>
        <v>6.0532687651331685E-2</v>
      </c>
      <c r="BE401" s="426">
        <f>BE399/AZ399-1</f>
        <v>-0.1098039215686275</v>
      </c>
      <c r="BF401" s="426">
        <f>BF399/BA399-1</f>
        <v>0.26175742574257432</v>
      </c>
      <c r="BG401" s="426"/>
      <c r="BH401" s="426"/>
      <c r="BI401" s="426"/>
      <c r="BJ401" s="426"/>
      <c r="BK401" s="426">
        <f>BK399/BF399-1</f>
        <v>-3.3840117704757255E-2</v>
      </c>
      <c r="BL401" s="426"/>
      <c r="BM401" s="426"/>
      <c r="BN401" s="426"/>
      <c r="BO401" s="426"/>
      <c r="BP401" s="426">
        <f>BP399/BK399-1</f>
        <v>-8.3651269035532994E-2</v>
      </c>
      <c r="BQ401" s="426"/>
      <c r="BR401" s="426"/>
      <c r="BS401" s="426"/>
      <c r="BT401" s="426"/>
      <c r="BU401" s="426">
        <f>BU399/BP399-1</f>
        <v>0.4219770918238186</v>
      </c>
      <c r="BV401" s="426"/>
      <c r="BW401" s="426"/>
      <c r="BX401" s="426"/>
      <c r="BY401" s="426"/>
      <c r="BZ401" s="426">
        <f>BZ399/BU399-1</f>
        <v>1.9881470827588732E-2</v>
      </c>
      <c r="CA401" s="426"/>
      <c r="CB401" s="426"/>
      <c r="CC401" s="426"/>
      <c r="CD401" s="426"/>
      <c r="CE401" s="426">
        <f>CE399/BZ399-1</f>
        <v>-6.2346495299079652E-2</v>
      </c>
      <c r="CF401" s="426"/>
      <c r="CG401" s="426"/>
      <c r="CH401" s="426"/>
      <c r="CI401" s="426"/>
      <c r="CJ401" s="426">
        <f>CJ399/CE399-1</f>
        <v>-0.14689044820808428</v>
      </c>
      <c r="CK401" s="426"/>
      <c r="CL401" s="426"/>
      <c r="CM401" s="426"/>
      <c r="CN401" s="426"/>
      <c r="CO401" s="426">
        <f>CO399/CJ399-1</f>
        <v>-8.7316367153304819E-2</v>
      </c>
      <c r="CP401" s="426">
        <f t="shared" ref="CP401:CR401" si="1837">CP399/CO399-1</f>
        <v>0.11318471580854128</v>
      </c>
      <c r="CQ401" s="426">
        <f t="shared" si="1837"/>
        <v>4.3596209993451485E-2</v>
      </c>
      <c r="CR401" s="426">
        <f t="shared" si="1837"/>
        <v>4.3536302371558255E-2</v>
      </c>
      <c r="CS401" s="426">
        <f t="shared" ref="CS401" si="1838">CS399/CR399-1</f>
        <v>4.3478841448463923E-2</v>
      </c>
      <c r="CT401" s="426">
        <f t="shared" ref="CT401" si="1839">CT399/CS399-1</f>
        <v>4.3423747412589586E-2</v>
      </c>
      <c r="CU401" s="347"/>
      <c r="CV401" s="1363"/>
      <c r="CW401" s="347"/>
      <c r="CX401" s="347"/>
      <c r="CY401" s="347"/>
      <c r="CZ401" s="347"/>
      <c r="DA401" s="347"/>
      <c r="ED401" s="399"/>
      <c r="EE401" s="399"/>
      <c r="EF401" s="399"/>
      <c r="EG401" s="399"/>
    </row>
    <row r="402" spans="1:146">
      <c r="B402" s="407"/>
      <c r="C402" s="841"/>
      <c r="D402" s="841"/>
      <c r="E402" s="841"/>
      <c r="F402" s="841"/>
      <c r="G402" s="841"/>
      <c r="H402" s="841"/>
      <c r="I402" s="841"/>
      <c r="J402" s="841"/>
      <c r="K402" s="841"/>
      <c r="L402" s="841"/>
      <c r="M402" s="841"/>
      <c r="N402" s="841"/>
      <c r="O402" s="841"/>
      <c r="P402" s="841"/>
      <c r="Q402" s="841"/>
      <c r="R402" s="841"/>
      <c r="S402" s="841"/>
      <c r="T402" s="841"/>
      <c r="U402" s="841"/>
      <c r="V402" s="841"/>
      <c r="W402" s="841"/>
      <c r="X402" s="841"/>
      <c r="Y402" s="841"/>
      <c r="Z402" s="841"/>
      <c r="AA402" s="841"/>
      <c r="AB402" s="841"/>
      <c r="AC402" s="841"/>
      <c r="AD402" s="841"/>
      <c r="AE402" s="841"/>
      <c r="AF402" s="841"/>
      <c r="AG402" s="841"/>
      <c r="AH402" s="841"/>
      <c r="AI402" s="841"/>
      <c r="AJ402" s="841"/>
      <c r="AK402" s="841"/>
      <c r="AL402" s="841"/>
      <c r="AM402" s="841"/>
      <c r="AN402" s="841"/>
      <c r="AO402" s="841"/>
      <c r="AP402" s="841"/>
      <c r="AQ402" s="841"/>
      <c r="AR402" s="752"/>
      <c r="AS402" s="752"/>
      <c r="AT402" s="752"/>
      <c r="AU402" s="752"/>
      <c r="AV402" s="752"/>
      <c r="AW402" s="752"/>
      <c r="AX402" s="752"/>
      <c r="AY402" s="752"/>
      <c r="AZ402" s="752"/>
      <c r="BA402" s="752"/>
      <c r="BB402" s="752"/>
      <c r="BC402" s="752"/>
      <c r="BD402" s="752"/>
      <c r="BE402" s="752"/>
      <c r="BF402" s="752"/>
      <c r="BG402" s="752"/>
      <c r="BH402" s="752"/>
      <c r="BI402" s="752"/>
      <c r="BJ402" s="752"/>
      <c r="BK402" s="752"/>
      <c r="BL402" s="752">
        <f>BL403-BG403</f>
        <v>-284.19299999999998</v>
      </c>
      <c r="BM402" s="752">
        <f t="shared" ref="BM402:BV402" si="1840">BM403-BH403</f>
        <v>-279.88599999999997</v>
      </c>
      <c r="BN402" s="752">
        <f t="shared" si="1840"/>
        <v>-522.77699999999959</v>
      </c>
      <c r="BO402" s="752">
        <f t="shared" si="1840"/>
        <v>-410.50799999999981</v>
      </c>
      <c r="BP402" s="752"/>
      <c r="BQ402" s="752">
        <f t="shared" si="1840"/>
        <v>-57.776000000000067</v>
      </c>
      <c r="BR402" s="752">
        <f t="shared" si="1840"/>
        <v>-120.24699999999984</v>
      </c>
      <c r="BS402" s="752">
        <f t="shared" si="1840"/>
        <v>120.25399999999945</v>
      </c>
      <c r="BT402" s="752">
        <f t="shared" si="1840"/>
        <v>73.672999999999774</v>
      </c>
      <c r="BU402" s="752"/>
      <c r="BV402" s="752">
        <f t="shared" si="1840"/>
        <v>17.93100000000004</v>
      </c>
      <c r="BW402" s="752">
        <f t="shared" ref="BW402:BY402" si="1841">BW403-BR403</f>
        <v>118.34999999999991</v>
      </c>
      <c r="BX402" s="752">
        <f t="shared" si="1841"/>
        <v>-12.32300000000032</v>
      </c>
      <c r="BY402" s="752">
        <f t="shared" si="1841"/>
        <v>-379.55099999999948</v>
      </c>
      <c r="BZ402" s="752"/>
      <c r="CA402" s="752">
        <f t="shared" ref="CA402:CM402" si="1842">CA403-BV403</f>
        <v>344.00599999999986</v>
      </c>
      <c r="CB402" s="752">
        <f t="shared" si="1842"/>
        <v>69.510999999999967</v>
      </c>
      <c r="CC402" s="752">
        <f t="shared" si="1842"/>
        <v>169.90800000000036</v>
      </c>
      <c r="CD402" s="752">
        <f t="shared" si="1842"/>
        <v>678.27400000000034</v>
      </c>
      <c r="CE402" s="752"/>
      <c r="CF402" s="752">
        <f t="shared" si="1842"/>
        <v>-108.71900000000005</v>
      </c>
      <c r="CG402" s="752">
        <f t="shared" si="1842"/>
        <v>33.061999999999898</v>
      </c>
      <c r="CH402" s="752">
        <f t="shared" si="1842"/>
        <v>43.475000000000364</v>
      </c>
      <c r="CI402" s="752">
        <f t="shared" si="1842"/>
        <v>-21.141000000000531</v>
      </c>
      <c r="CJ402" s="752"/>
      <c r="CK402" s="752">
        <f t="shared" si="1842"/>
        <v>114.60500000000002</v>
      </c>
      <c r="CL402" s="752">
        <f t="shared" si="1842"/>
        <v>849.92599999999993</v>
      </c>
      <c r="CM402" s="752">
        <f t="shared" si="1842"/>
        <v>1085.0670000000005</v>
      </c>
      <c r="CN402" s="752"/>
      <c r="CO402" s="752"/>
      <c r="CP402" s="752"/>
      <c r="CQ402" s="752"/>
      <c r="CR402" s="752"/>
      <c r="CS402" s="752"/>
      <c r="CT402" s="752"/>
      <c r="CU402" s="347"/>
      <c r="CV402" s="1363"/>
      <c r="CW402" s="347"/>
      <c r="CX402" s="347"/>
      <c r="CY402" s="347"/>
      <c r="CZ402" s="364"/>
      <c r="DA402" s="364"/>
    </row>
    <row r="403" spans="1:146">
      <c r="B403" s="414" t="s">
        <v>1150</v>
      </c>
      <c r="C403" s="863"/>
      <c r="D403" s="863"/>
      <c r="E403" s="863"/>
      <c r="F403" s="863"/>
      <c r="G403" s="863"/>
      <c r="H403" s="863"/>
      <c r="I403" s="863"/>
      <c r="J403" s="863"/>
      <c r="K403" s="863"/>
      <c r="L403" s="863"/>
      <c r="M403" s="863">
        <v>3089</v>
      </c>
      <c r="N403" s="863">
        <v>0</v>
      </c>
      <c r="O403" s="863">
        <v>0</v>
      </c>
      <c r="P403" s="863">
        <v>0</v>
      </c>
      <c r="Q403" s="863">
        <v>0</v>
      </c>
      <c r="R403" s="863">
        <v>3121</v>
      </c>
      <c r="S403" s="863">
        <v>918</v>
      </c>
      <c r="T403" s="863">
        <v>869</v>
      </c>
      <c r="U403" s="863">
        <v>961</v>
      </c>
      <c r="V403" s="863">
        <v>1118</v>
      </c>
      <c r="W403" s="864">
        <v>3866</v>
      </c>
      <c r="X403" s="864">
        <v>1216</v>
      </c>
      <c r="Y403" s="864">
        <v>1314</v>
      </c>
      <c r="Z403" s="864">
        <v>1411</v>
      </c>
      <c r="AA403" s="864">
        <v>1265</v>
      </c>
      <c r="AB403" s="864">
        <v>5206</v>
      </c>
      <c r="AC403" s="864">
        <v>1366</v>
      </c>
      <c r="AD403" s="864">
        <v>1441</v>
      </c>
      <c r="AE403" s="864">
        <v>1571</v>
      </c>
      <c r="AF403" s="864">
        <v>1649</v>
      </c>
      <c r="AG403" s="864">
        <v>6027</v>
      </c>
      <c r="AH403" s="864">
        <v>1796</v>
      </c>
      <c r="AI403" s="864">
        <v>2219</v>
      </c>
      <c r="AJ403" s="864">
        <v>2265</v>
      </c>
      <c r="AK403" s="864">
        <v>1949</v>
      </c>
      <c r="AL403" s="864">
        <v>8229</v>
      </c>
      <c r="AM403" s="864">
        <v>2246</v>
      </c>
      <c r="AN403" s="864">
        <v>2367</v>
      </c>
      <c r="AO403" s="864">
        <v>2362</v>
      </c>
      <c r="AP403" s="864">
        <v>2311</v>
      </c>
      <c r="AQ403" s="864">
        <v>9286</v>
      </c>
      <c r="AR403" s="864">
        <v>2217</v>
      </c>
      <c r="AS403" s="864">
        <v>2098</v>
      </c>
      <c r="AT403" s="864">
        <v>1965</v>
      </c>
      <c r="AU403" s="864">
        <f>AV403-AT403-AS403-AR403</f>
        <v>1989</v>
      </c>
      <c r="AV403" s="864">
        <v>8269</v>
      </c>
      <c r="AW403" s="859">
        <f>'[16]Reported Group Highlights'!T$38</f>
        <v>2107</v>
      </c>
      <c r="AX403" s="859">
        <f>'[16]Reported Group Highlights'!U$38</f>
        <v>2121</v>
      </c>
      <c r="AY403" s="859">
        <f>'[16]Reported Group Highlights'!V$38</f>
        <v>2221</v>
      </c>
      <c r="AZ403" s="859">
        <f>'[16]Reported Group Highlights'!W$38</f>
        <v>2127</v>
      </c>
      <c r="BA403" s="840">
        <f>SUM(AW403:AZ403)</f>
        <v>8576</v>
      </c>
      <c r="BB403" s="859">
        <f>'[16]Reported Group Highlights'!X$38</f>
        <v>2084</v>
      </c>
      <c r="BC403" s="859">
        <f>'[16]Reported Group Highlights'!Y$38</f>
        <v>1984</v>
      </c>
      <c r="BD403" s="859">
        <f>'[16]Reported Group Highlights'!Z$38</f>
        <v>2194</v>
      </c>
      <c r="BE403" s="859">
        <f>'[16]Reported Group Highlights'!AA$38</f>
        <v>2190</v>
      </c>
      <c r="BF403" s="840">
        <f>SUM(BB403:BE403)</f>
        <v>8452</v>
      </c>
      <c r="BG403" s="859">
        <f>'[16]Reported Group Highlights'!AB$38</f>
        <v>2316</v>
      </c>
      <c r="BH403" s="859">
        <f>'[16]Reported Group Highlights'!AC$38</f>
        <v>2353</v>
      </c>
      <c r="BI403" s="859">
        <f>'[16]Reported Group Highlights'!AD$38</f>
        <v>2426</v>
      </c>
      <c r="BJ403" s="859">
        <f>'[16]Reported Group Highlights'!AE$38</f>
        <v>2376</v>
      </c>
      <c r="BK403" s="840">
        <f>SUM(BG403:BJ403)</f>
        <v>9471</v>
      </c>
      <c r="BL403" s="859">
        <f>'[16]Reported Group Highlights'!AF$38</f>
        <v>2031.807</v>
      </c>
      <c r="BM403" s="859">
        <f>'[16]Reported Group Highlights'!AG$38</f>
        <v>2073.114</v>
      </c>
      <c r="BN403" s="859">
        <f>'[16]Reported Group Highlights'!AH$38</f>
        <v>1903.2230000000004</v>
      </c>
      <c r="BO403" s="859">
        <f>'[16]Reported Group Highlights'!AI$38</f>
        <v>1965.4920000000002</v>
      </c>
      <c r="BP403" s="840">
        <f>SUM(BL403:BO403)</f>
        <v>7973.6360000000004</v>
      </c>
      <c r="BQ403" s="859">
        <f>'[16]Reported Group Highlights'!AJ$38</f>
        <v>1974.0309999999999</v>
      </c>
      <c r="BR403" s="859">
        <f>'[16]Reported Group Highlights'!AK$38</f>
        <v>1952.8670000000002</v>
      </c>
      <c r="BS403" s="859">
        <f>'[16]Reported Group Highlights'!AL$38</f>
        <v>2023.4769999999999</v>
      </c>
      <c r="BT403" s="859">
        <f>'[16]Reported Group Highlights'!AM$38</f>
        <v>2039.165</v>
      </c>
      <c r="BU403" s="840">
        <f>SUM(BQ403:BT403)</f>
        <v>7989.54</v>
      </c>
      <c r="BV403" s="859">
        <f>'[16]Reported Group Highlights'!AN$38</f>
        <v>1991.962</v>
      </c>
      <c r="BW403" s="859">
        <f>'[16]Reported Group Highlights'!AO$38</f>
        <v>2071.2170000000001</v>
      </c>
      <c r="BX403" s="859">
        <f>'[16]Reported Group Highlights'!AP$38</f>
        <v>2011.1539999999995</v>
      </c>
      <c r="BY403" s="859">
        <f>'[16]Reported Group Highlights'!AQ$38</f>
        <v>1659.6140000000005</v>
      </c>
      <c r="BZ403" s="840">
        <f>SUM(BV403:BY403)</f>
        <v>7733.9470000000001</v>
      </c>
      <c r="CA403" s="859">
        <f>'[16]Reported Group Highlights'!AR$38</f>
        <v>2335.9679999999998</v>
      </c>
      <c r="CB403" s="859">
        <f>'[16]Reported Group Highlights'!AS$38</f>
        <v>2140.7280000000001</v>
      </c>
      <c r="CC403" s="859">
        <f>'[16]Reported Group Highlights'!AT$38</f>
        <v>2181.0619999999999</v>
      </c>
      <c r="CD403" s="859">
        <f>'[16]Reported Group Highlights'!AU$38</f>
        <v>2337.8880000000008</v>
      </c>
      <c r="CE403" s="840">
        <f>SUM(CA403:CD403)</f>
        <v>8995.6460000000006</v>
      </c>
      <c r="CF403" s="859">
        <f>'[16]Reported Group Highlights'!AV$38</f>
        <v>2227.2489999999998</v>
      </c>
      <c r="CG403" s="859">
        <f>'[16]Reported Group Highlights'!AW$38</f>
        <v>2173.79</v>
      </c>
      <c r="CH403" s="859">
        <f>'[16]Reported Group Highlights'!AX$38</f>
        <v>2224.5370000000003</v>
      </c>
      <c r="CI403" s="859">
        <f>'[16]Reported Group Highlights'!AY$38</f>
        <v>2316.7470000000003</v>
      </c>
      <c r="CJ403" s="840">
        <f>SUM(CF403:CI403)</f>
        <v>8942.3230000000003</v>
      </c>
      <c r="CK403" s="859">
        <f>'[16]Reported Group Highlights'!AZ$38</f>
        <v>2341.8539999999998</v>
      </c>
      <c r="CL403" s="859">
        <f>'[16]Reported Group Highlights'!BA$38</f>
        <v>3023.7159999999999</v>
      </c>
      <c r="CM403" s="859">
        <f>'[16]Reported Group Highlights'!BB$38</f>
        <v>3309.6040000000007</v>
      </c>
      <c r="CN403" s="859"/>
      <c r="CO403" s="860">
        <f t="shared" ref="CO403:CT403" si="1843">CO404*CO5</f>
        <v>11680.37910379075</v>
      </c>
      <c r="CP403" s="860">
        <f t="shared" si="1843"/>
        <v>12529.604238891536</v>
      </c>
      <c r="CQ403" s="860">
        <f t="shared" si="1843"/>
        <v>12829.133392718957</v>
      </c>
      <c r="CR403" s="860">
        <f t="shared" si="1843"/>
        <v>13130.211299745015</v>
      </c>
      <c r="CS403" s="860">
        <f t="shared" si="1843"/>
        <v>13539.908290619323</v>
      </c>
      <c r="CT403" s="860">
        <f t="shared" si="1843"/>
        <v>13959.673016694367</v>
      </c>
      <c r="CU403" s="364"/>
      <c r="CV403" s="1362"/>
      <c r="CW403" s="364"/>
      <c r="CX403" s="364"/>
      <c r="CY403" s="364"/>
      <c r="CZ403" s="347"/>
      <c r="DA403" s="347"/>
    </row>
    <row r="404" spans="1:146">
      <c r="B404" s="407" t="s">
        <v>67</v>
      </c>
      <c r="C404" s="426">
        <f>C403/C5</f>
        <v>0</v>
      </c>
      <c r="D404" s="426"/>
      <c r="E404" s="426"/>
      <c r="F404" s="426"/>
      <c r="G404" s="426"/>
      <c r="H404" s="426">
        <f>H403/H5</f>
        <v>0</v>
      </c>
      <c r="I404" s="426"/>
      <c r="J404" s="426"/>
      <c r="K404" s="426"/>
      <c r="L404" s="426"/>
      <c r="M404" s="426">
        <f>M403/M5</f>
        <v>0.22535930546436128</v>
      </c>
      <c r="N404" s="426"/>
      <c r="O404" s="426"/>
      <c r="P404" s="426"/>
      <c r="Q404" s="426"/>
      <c r="R404" s="426">
        <f>R403/R5</f>
        <v>0.17875143184421535</v>
      </c>
      <c r="S404" s="426"/>
      <c r="T404" s="426"/>
      <c r="U404" s="426"/>
      <c r="V404" s="426"/>
      <c r="W404" s="426">
        <f>W403/W5</f>
        <v>0.21169641879312234</v>
      </c>
      <c r="X404" s="426"/>
      <c r="Y404" s="426"/>
      <c r="Z404" s="426"/>
      <c r="AA404" s="426"/>
      <c r="AB404" s="426">
        <f>AB403/AB5</f>
        <v>0.24827125757069959</v>
      </c>
      <c r="AC404" s="426"/>
      <c r="AD404" s="426"/>
      <c r="AE404" s="426"/>
      <c r="AF404" s="426"/>
      <c r="AG404" s="426">
        <f>AG403/AG5</f>
        <v>0.28341013824884792</v>
      </c>
      <c r="AH404" s="426"/>
      <c r="AI404" s="426"/>
      <c r="AJ404" s="426"/>
      <c r="AK404" s="426"/>
      <c r="AL404" s="426">
        <f>AL403/AL5</f>
        <v>0.35076726342710995</v>
      </c>
      <c r="AM404" s="426"/>
      <c r="AN404" s="426"/>
      <c r="AO404" s="426"/>
      <c r="AP404" s="426"/>
      <c r="AQ404" s="426">
        <f t="shared" ref="AQ404:CL404" si="1844">AQ403/AQ5</f>
        <v>0.40559074033631798</v>
      </c>
      <c r="AR404" s="426">
        <f t="shared" si="1844"/>
        <v>0.39476495726495725</v>
      </c>
      <c r="AS404" s="426">
        <f t="shared" si="1844"/>
        <v>0.40053455517373043</v>
      </c>
      <c r="AT404" s="426">
        <f t="shared" si="1844"/>
        <v>0.375717017208413</v>
      </c>
      <c r="AU404" s="426">
        <f t="shared" si="1844"/>
        <v>0.37835267262697359</v>
      </c>
      <c r="AV404" s="426">
        <f t="shared" si="1844"/>
        <v>0.38747012792277774</v>
      </c>
      <c r="AW404" s="426">
        <f t="shared" si="1844"/>
        <v>0.40011393847322446</v>
      </c>
      <c r="AX404" s="426">
        <f t="shared" si="1844"/>
        <v>0.37427210164107994</v>
      </c>
      <c r="AY404" s="426">
        <f t="shared" si="1844"/>
        <v>0.37202680067001676</v>
      </c>
      <c r="AZ404" s="426">
        <f t="shared" si="1844"/>
        <v>0.35461820606868955</v>
      </c>
      <c r="BA404" s="426">
        <f t="shared" si="1844"/>
        <v>0.37448146369154184</v>
      </c>
      <c r="BB404" s="426">
        <f t="shared" si="1844"/>
        <v>0.37881507589480068</v>
      </c>
      <c r="BC404" s="426">
        <f t="shared" si="1844"/>
        <v>0.35782066295295473</v>
      </c>
      <c r="BD404" s="426">
        <f t="shared" si="1844"/>
        <v>0.37528843670300382</v>
      </c>
      <c r="BE404" s="426">
        <f t="shared" si="1844"/>
        <v>0.3621870141897926</v>
      </c>
      <c r="BF404" s="426">
        <f t="shared" si="1844"/>
        <v>0.36845848860873881</v>
      </c>
      <c r="BG404" s="426">
        <f t="shared" si="1844"/>
        <v>0.38812017112144609</v>
      </c>
      <c r="BH404" s="426">
        <f t="shared" si="1844"/>
        <v>0.37410934390951422</v>
      </c>
      <c r="BI404" s="426">
        <f t="shared" si="1844"/>
        <v>0.37532723166152843</v>
      </c>
      <c r="BJ404" s="426">
        <f t="shared" si="1844"/>
        <v>0.37053613896976606</v>
      </c>
      <c r="BK404" s="426">
        <f t="shared" si="1844"/>
        <v>0.37683745561387144</v>
      </c>
      <c r="BL404" s="426">
        <f t="shared" si="1844"/>
        <v>0.31272276109944191</v>
      </c>
      <c r="BM404" s="426">
        <f t="shared" si="1844"/>
        <v>0.31482325992265159</v>
      </c>
      <c r="BN404" s="426">
        <f t="shared" si="1844"/>
        <v>0.28950800206449939</v>
      </c>
      <c r="BO404" s="426">
        <f t="shared" si="1844"/>
        <v>0.30938286249650554</v>
      </c>
      <c r="BP404" s="426">
        <f t="shared" si="1844"/>
        <v>0.30657106677491086</v>
      </c>
      <c r="BQ404" s="426">
        <f t="shared" si="1844"/>
        <v>0.31597827755486591</v>
      </c>
      <c r="BR404" s="426">
        <f t="shared" si="1844"/>
        <v>0.29030988714456546</v>
      </c>
      <c r="BS404" s="426">
        <f t="shared" si="1844"/>
        <v>0.29643697313534118</v>
      </c>
      <c r="BT404" s="426">
        <f t="shared" si="1844"/>
        <v>0.29324229704464733</v>
      </c>
      <c r="BU404" s="426">
        <f t="shared" si="1844"/>
        <v>0.29862917950740164</v>
      </c>
      <c r="BV404" s="426">
        <f t="shared" si="1844"/>
        <v>0.29545306559909962</v>
      </c>
      <c r="BW404" s="426">
        <f t="shared" si="1844"/>
        <v>0.28246149700364437</v>
      </c>
      <c r="BX404" s="426">
        <f t="shared" si="1844"/>
        <v>0.26741935483870949</v>
      </c>
      <c r="BY404" s="426">
        <f t="shared" si="1844"/>
        <v>0.21991563346325518</v>
      </c>
      <c r="BZ404" s="426">
        <f t="shared" si="1844"/>
        <v>0.26538839449352708</v>
      </c>
      <c r="CA404" s="426">
        <f t="shared" si="1844"/>
        <v>0.30950943672220776</v>
      </c>
      <c r="CB404" s="426">
        <f t="shared" si="1844"/>
        <v>0.26051784287183849</v>
      </c>
      <c r="CC404" s="426">
        <f t="shared" si="1844"/>
        <v>0.26915802088463719</v>
      </c>
      <c r="CD404" s="426">
        <f t="shared" si="1844"/>
        <v>0.27651452474539168</v>
      </c>
      <c r="CE404" s="426">
        <f t="shared" si="1844"/>
        <v>0.27830780340387301</v>
      </c>
      <c r="CF404" s="426">
        <f t="shared" si="1844"/>
        <v>0.26394569512643856</v>
      </c>
      <c r="CG404" s="426">
        <f t="shared" si="1844"/>
        <v>0.25237562507894751</v>
      </c>
      <c r="CH404" s="426">
        <f t="shared" si="1844"/>
        <v>0.26769997499342352</v>
      </c>
      <c r="CI404" s="426">
        <f t="shared" si="1844"/>
        <v>0.25655584502910572</v>
      </c>
      <c r="CJ404" s="426">
        <f t="shared" si="1844"/>
        <v>0.26001476465312151</v>
      </c>
      <c r="CK404" s="426">
        <f t="shared" si="1844"/>
        <v>0.27227134146873155</v>
      </c>
      <c r="CL404" s="426">
        <f t="shared" si="1844"/>
        <v>0.28814537308372234</v>
      </c>
      <c r="CM404" s="426">
        <f t="shared" ref="CM404" si="1845">CM403/CM5</f>
        <v>0.28898354596248238</v>
      </c>
      <c r="CN404" s="426"/>
      <c r="CO404" s="595">
        <v>0.27500000000000002</v>
      </c>
      <c r="CP404" s="595">
        <v>0.26500000000000001</v>
      </c>
      <c r="CQ404" s="595">
        <f>CP404-0.5%</f>
        <v>0.26</v>
      </c>
      <c r="CR404" s="595">
        <f>CQ404-0.5%</f>
        <v>0.255</v>
      </c>
      <c r="CS404" s="595">
        <f t="shared" ref="CS404:CT404" si="1846">CR404-0.3%</f>
        <v>0.252</v>
      </c>
      <c r="CT404" s="595">
        <f t="shared" si="1846"/>
        <v>0.249</v>
      </c>
      <c r="CU404" s="347"/>
      <c r="CV404" s="1363"/>
      <c r="CW404" s="347"/>
      <c r="CX404" s="347"/>
      <c r="CY404" s="347"/>
      <c r="CZ404" s="347"/>
      <c r="DA404" s="347"/>
    </row>
    <row r="405" spans="1:146">
      <c r="B405" s="407" t="s">
        <v>68</v>
      </c>
      <c r="C405" s="426"/>
      <c r="D405" s="426"/>
      <c r="E405" s="426"/>
      <c r="F405" s="426"/>
      <c r="G405" s="426"/>
      <c r="H405" s="426" t="e">
        <f>H403/C403-1</f>
        <v>#DIV/0!</v>
      </c>
      <c r="I405" s="426"/>
      <c r="J405" s="426"/>
      <c r="K405" s="426"/>
      <c r="L405" s="426"/>
      <c r="M405" s="426" t="e">
        <f>M403/H403-1</f>
        <v>#DIV/0!</v>
      </c>
      <c r="N405" s="426"/>
      <c r="O405" s="426"/>
      <c r="P405" s="426"/>
      <c r="Q405" s="426"/>
      <c r="R405" s="426">
        <f>R403/M403-1</f>
        <v>1.0359339592101113E-2</v>
      </c>
      <c r="S405" s="426"/>
      <c r="T405" s="426"/>
      <c r="U405" s="426"/>
      <c r="V405" s="426"/>
      <c r="W405" s="426">
        <f>W403/R403-1</f>
        <v>0.2387055430951619</v>
      </c>
      <c r="X405" s="426"/>
      <c r="Y405" s="426"/>
      <c r="Z405" s="426"/>
      <c r="AA405" s="426"/>
      <c r="AB405" s="426">
        <f>AB403/W403-1</f>
        <v>0.34661148473874803</v>
      </c>
      <c r="AC405" s="426"/>
      <c r="AD405" s="426"/>
      <c r="AE405" s="426"/>
      <c r="AF405" s="426"/>
      <c r="AG405" s="426">
        <f>AG403/AB403-1</f>
        <v>0.15770265078755275</v>
      </c>
      <c r="AH405" s="426"/>
      <c r="AI405" s="426"/>
      <c r="AJ405" s="426"/>
      <c r="AK405" s="426"/>
      <c r="AL405" s="426">
        <f>AL403/AG403-1</f>
        <v>0.36535589845694383</v>
      </c>
      <c r="AM405" s="426"/>
      <c r="AN405" s="426"/>
      <c r="AO405" s="426"/>
      <c r="AP405" s="426"/>
      <c r="AQ405" s="356">
        <f>AQ403/AL403-1</f>
        <v>0.12844817110219964</v>
      </c>
      <c r="AR405" s="356">
        <f t="shared" ref="AR405:BA405" si="1847">AR403/AM403-1</f>
        <v>-1.291184327693673E-2</v>
      </c>
      <c r="AS405" s="356">
        <f t="shared" si="1847"/>
        <v>-0.11364596535699201</v>
      </c>
      <c r="AT405" s="356">
        <f t="shared" si="1847"/>
        <v>-0.16807790008467405</v>
      </c>
      <c r="AU405" s="356">
        <f t="shared" si="1847"/>
        <v>-0.13933362180874076</v>
      </c>
      <c r="AV405" s="356">
        <f t="shared" si="1847"/>
        <v>-0.10951970708593584</v>
      </c>
      <c r="AW405" s="356">
        <f t="shared" si="1847"/>
        <v>-4.9616599007668016E-2</v>
      </c>
      <c r="AX405" s="356">
        <f t="shared" si="1847"/>
        <v>1.096282173498575E-2</v>
      </c>
      <c r="AY405" s="356">
        <f t="shared" si="1847"/>
        <v>0.13027989821882957</v>
      </c>
      <c r="AZ405" s="356">
        <f t="shared" si="1847"/>
        <v>6.9381598793363475E-2</v>
      </c>
      <c r="BA405" s="356">
        <f t="shared" si="1847"/>
        <v>3.7126617486999747E-2</v>
      </c>
      <c r="BB405" s="356">
        <f t="shared" ref="BB405:BV405" si="1848">BB403/AW403-1</f>
        <v>-1.0915994304698584E-2</v>
      </c>
      <c r="BC405" s="356">
        <f t="shared" si="1848"/>
        <v>-6.4592173503064565E-2</v>
      </c>
      <c r="BD405" s="356">
        <f t="shared" si="1848"/>
        <v>-1.2156686177397513E-2</v>
      </c>
      <c r="BE405" s="356">
        <f t="shared" si="1848"/>
        <v>2.9619181946403339E-2</v>
      </c>
      <c r="BF405" s="356">
        <f t="shared" si="1848"/>
        <v>-1.4458955223880632E-2</v>
      </c>
      <c r="BG405" s="356">
        <f t="shared" si="1848"/>
        <v>0.1113243761996161</v>
      </c>
      <c r="BH405" s="356">
        <f t="shared" si="1848"/>
        <v>0.18598790322580649</v>
      </c>
      <c r="BI405" s="356">
        <f t="shared" si="1848"/>
        <v>0.10574293527803102</v>
      </c>
      <c r="BJ405" s="356">
        <f t="shared" si="1848"/>
        <v>8.4931506849315053E-2</v>
      </c>
      <c r="BK405" s="356">
        <f t="shared" si="1848"/>
        <v>0.12056318031235214</v>
      </c>
      <c r="BL405" s="356">
        <f t="shared" si="1848"/>
        <v>-0.12270854922279795</v>
      </c>
      <c r="BM405" s="356">
        <f t="shared" si="1848"/>
        <v>-0.11894857628559286</v>
      </c>
      <c r="BN405" s="356">
        <f t="shared" si="1848"/>
        <v>-0.21548928276999157</v>
      </c>
      <c r="BO405" s="356">
        <f t="shared" si="1848"/>
        <v>-0.17277272727272719</v>
      </c>
      <c r="BP405" s="356">
        <f t="shared" si="1848"/>
        <v>-0.15809988385598139</v>
      </c>
      <c r="BQ405" s="356">
        <f t="shared" si="1848"/>
        <v>-2.8435771704694468E-2</v>
      </c>
      <c r="BR405" s="356">
        <f t="shared" si="1848"/>
        <v>-5.8003081354908503E-2</v>
      </c>
      <c r="BS405" s="356">
        <f t="shared" si="1848"/>
        <v>6.3184398254959806E-2</v>
      </c>
      <c r="BT405" s="356">
        <f t="shared" si="1848"/>
        <v>3.7483235749623978E-2</v>
      </c>
      <c r="BU405" s="356">
        <f t="shared" si="1848"/>
        <v>1.9945731157027247E-3</v>
      </c>
      <c r="BV405" s="356">
        <f t="shared" si="1848"/>
        <v>9.0834439783367138E-3</v>
      </c>
      <c r="BW405" s="356">
        <f t="shared" ref="BW405:CM405" si="1849">BW403/BR403-1</f>
        <v>6.0603205441025931E-2</v>
      </c>
      <c r="BX405" s="356">
        <f t="shared" si="1849"/>
        <v>-6.0900123895653024E-3</v>
      </c>
      <c r="BY405" s="356">
        <f t="shared" si="1849"/>
        <v>-0.18613059757302597</v>
      </c>
      <c r="BZ405" s="356">
        <f t="shared" si="1849"/>
        <v>-3.199095317127143E-2</v>
      </c>
      <c r="CA405" s="356">
        <f t="shared" si="1849"/>
        <v>0.1726970695224106</v>
      </c>
      <c r="CB405" s="356">
        <f t="shared" si="1849"/>
        <v>3.3560462278940273E-2</v>
      </c>
      <c r="CC405" s="356">
        <f t="shared" si="1849"/>
        <v>8.4482839205749727E-2</v>
      </c>
      <c r="CD405" s="356">
        <f t="shared" si="1849"/>
        <v>0.40869382880597538</v>
      </c>
      <c r="CE405" s="356">
        <f t="shared" si="1849"/>
        <v>0.16313778721266137</v>
      </c>
      <c r="CF405" s="356">
        <f t="shared" si="1849"/>
        <v>-4.6541305360347396E-2</v>
      </c>
      <c r="CG405" s="356">
        <f t="shared" si="1849"/>
        <v>1.5444278768717901E-2</v>
      </c>
      <c r="CH405" s="356">
        <f t="shared" si="1849"/>
        <v>1.9932950094953883E-2</v>
      </c>
      <c r="CI405" s="356">
        <f t="shared" si="1849"/>
        <v>-9.0427770705869825E-3</v>
      </c>
      <c r="CJ405" s="356">
        <f t="shared" si="1849"/>
        <v>-5.927645440916729E-3</v>
      </c>
      <c r="CK405" s="356">
        <f t="shared" si="1849"/>
        <v>5.1455854284815139E-2</v>
      </c>
      <c r="CL405" s="356">
        <f t="shared" si="1849"/>
        <v>0.39098808992588974</v>
      </c>
      <c r="CM405" s="356">
        <f t="shared" si="1849"/>
        <v>0.48777206223137681</v>
      </c>
      <c r="CN405" s="356"/>
      <c r="CO405" s="356">
        <f>CO403/CJ403-1</f>
        <v>0.30619069606306426</v>
      </c>
      <c r="CP405" s="356">
        <f t="shared" ref="CP405:CR405" si="1850">CP403/CO403-1</f>
        <v>7.2705271597321541E-2</v>
      </c>
      <c r="CQ405" s="356">
        <f t="shared" si="1850"/>
        <v>2.3905715465273092E-2</v>
      </c>
      <c r="CR405" s="356">
        <f t="shared" si="1850"/>
        <v>2.346829655672078E-2</v>
      </c>
      <c r="CS405" s="356">
        <f t="shared" ref="CS405" si="1851">CS403/CR403-1</f>
        <v>3.1202619784364449E-2</v>
      </c>
      <c r="CT405" s="356">
        <f t="shared" ref="CT405" si="1852">CT403/CS403-1</f>
        <v>3.1002036133868316E-2</v>
      </c>
      <c r="CU405" s="347"/>
      <c r="CV405" s="1363"/>
      <c r="CW405" s="347"/>
    </row>
    <row r="406" spans="1:146">
      <c r="B406" s="407"/>
      <c r="C406" s="426"/>
      <c r="D406" s="426"/>
      <c r="E406" s="426"/>
      <c r="F406" s="426"/>
      <c r="G406" s="426"/>
      <c r="H406" s="426"/>
      <c r="I406" s="426"/>
      <c r="J406" s="426"/>
      <c r="K406" s="426"/>
      <c r="L406" s="426"/>
      <c r="M406" s="356"/>
      <c r="N406" s="356"/>
      <c r="O406" s="356"/>
      <c r="P406" s="356"/>
      <c r="Q406" s="356"/>
      <c r="R406" s="356"/>
      <c r="S406" s="356"/>
      <c r="T406" s="356"/>
      <c r="U406" s="356"/>
      <c r="V406" s="356"/>
      <c r="W406" s="356"/>
      <c r="X406" s="356"/>
      <c r="Y406" s="356"/>
      <c r="Z406" s="356"/>
      <c r="AA406" s="356"/>
      <c r="AB406" s="356"/>
      <c r="AC406" s="356"/>
      <c r="AD406" s="356"/>
      <c r="AE406" s="356"/>
      <c r="AF406" s="356"/>
      <c r="AG406" s="347"/>
      <c r="AH406" s="347"/>
      <c r="AI406" s="347"/>
      <c r="AJ406" s="347"/>
      <c r="AK406" s="347"/>
      <c r="AL406" s="347"/>
      <c r="AM406" s="347"/>
      <c r="AN406" s="347"/>
      <c r="AO406" s="347"/>
      <c r="AP406" s="347"/>
      <c r="AQ406" s="347"/>
      <c r="AR406" s="347"/>
      <c r="AS406" s="347"/>
      <c r="AT406" s="347"/>
      <c r="AU406" s="347"/>
      <c r="AV406" s="347"/>
      <c r="AW406" s="347"/>
      <c r="AX406" s="347"/>
      <c r="AY406" s="347"/>
      <c r="AZ406" s="347"/>
      <c r="BA406" s="347"/>
      <c r="BB406" s="347"/>
      <c r="BC406" s="347"/>
      <c r="BD406" s="347"/>
      <c r="BE406" s="347"/>
      <c r="BF406" s="347"/>
      <c r="BG406" s="347"/>
      <c r="BH406" s="347"/>
      <c r="BI406" s="347"/>
      <c r="BJ406" s="347"/>
      <c r="BK406" s="347"/>
      <c r="BL406" s="347"/>
      <c r="BM406" s="347"/>
      <c r="BN406" s="347"/>
      <c r="BO406" s="347"/>
      <c r="BP406" s="347"/>
      <c r="BQ406" s="347"/>
      <c r="BR406" s="347"/>
      <c r="BS406" s="347"/>
      <c r="BT406" s="347"/>
      <c r="BU406" s="347"/>
      <c r="BV406" s="347"/>
      <c r="BW406" s="347"/>
      <c r="BX406" s="347"/>
      <c r="BY406" s="347"/>
      <c r="BZ406" s="347"/>
      <c r="CA406" s="347"/>
      <c r="CB406" s="347"/>
      <c r="CC406" s="347"/>
      <c r="CD406" s="347"/>
      <c r="CE406" s="347"/>
      <c r="CF406" s="347"/>
      <c r="CG406" s="347"/>
      <c r="CH406" s="347"/>
      <c r="CI406" s="347"/>
      <c r="CJ406" s="347"/>
      <c r="CK406" s="347"/>
      <c r="CL406" s="347"/>
      <c r="CM406" s="347"/>
      <c r="CN406" s="347"/>
      <c r="CO406" s="347"/>
      <c r="CP406" s="347"/>
      <c r="CQ406" s="347"/>
      <c r="CR406" s="347"/>
      <c r="CS406" s="347"/>
      <c r="CT406" s="347"/>
      <c r="DT406" s="486"/>
      <c r="DU406" s="487"/>
    </row>
    <row r="407" spans="1:146">
      <c r="B407" s="414" t="s">
        <v>75</v>
      </c>
      <c r="C407" s="863"/>
      <c r="D407" s="863"/>
      <c r="E407" s="863"/>
      <c r="F407" s="863"/>
      <c r="G407" s="863"/>
      <c r="H407" s="863"/>
      <c r="I407" s="863"/>
      <c r="J407" s="863"/>
      <c r="K407" s="863"/>
      <c r="L407" s="863"/>
      <c r="M407" s="863">
        <v>576</v>
      </c>
      <c r="N407" s="863">
        <v>0</v>
      </c>
      <c r="O407" s="863">
        <v>0</v>
      </c>
      <c r="P407" s="863">
        <v>0</v>
      </c>
      <c r="Q407" s="863">
        <v>0</v>
      </c>
      <c r="R407" s="863">
        <v>551</v>
      </c>
      <c r="S407" s="863">
        <v>128</v>
      </c>
      <c r="T407" s="863">
        <v>150</v>
      </c>
      <c r="U407" s="863">
        <v>140</v>
      </c>
      <c r="V407" s="863">
        <v>180</v>
      </c>
      <c r="W407" s="864">
        <v>598</v>
      </c>
      <c r="X407" s="864">
        <v>172</v>
      </c>
      <c r="Y407" s="864">
        <v>163</v>
      </c>
      <c r="Z407" s="864">
        <v>188</v>
      </c>
      <c r="AA407" s="864">
        <v>150</v>
      </c>
      <c r="AB407" s="864">
        <v>673</v>
      </c>
      <c r="AC407" s="864">
        <v>127</v>
      </c>
      <c r="AD407" s="864">
        <v>137</v>
      </c>
      <c r="AE407" s="864">
        <v>137</v>
      </c>
      <c r="AF407" s="864">
        <v>160</v>
      </c>
      <c r="AG407" s="864">
        <v>561</v>
      </c>
      <c r="AH407" s="864">
        <v>112</v>
      </c>
      <c r="AI407" s="864">
        <v>223</v>
      </c>
      <c r="AJ407" s="864">
        <v>138</v>
      </c>
      <c r="AK407" s="864">
        <v>194</v>
      </c>
      <c r="AL407" s="864">
        <v>667</v>
      </c>
      <c r="AM407" s="864">
        <v>156</v>
      </c>
      <c r="AN407" s="864">
        <v>203</v>
      </c>
      <c r="AO407" s="864">
        <v>158</v>
      </c>
      <c r="AP407" s="864">
        <v>143</v>
      </c>
      <c r="AQ407" s="864">
        <v>660</v>
      </c>
      <c r="AR407" s="864">
        <v>147</v>
      </c>
      <c r="AS407" s="864">
        <v>105</v>
      </c>
      <c r="AT407" s="864">
        <v>114</v>
      </c>
      <c r="AU407" s="864">
        <f>AV407-AT407-AS407-AR407</f>
        <v>132</v>
      </c>
      <c r="AV407" s="864">
        <v>498</v>
      </c>
      <c r="AW407" s="859">
        <f>'[16]Reported Group Highlights'!T$39</f>
        <v>121</v>
      </c>
      <c r="AX407" s="859">
        <f>'[16]Reported Group Highlights'!U$39</f>
        <v>163</v>
      </c>
      <c r="AY407" s="859">
        <f>'[16]Reported Group Highlights'!V$39</f>
        <v>151</v>
      </c>
      <c r="AZ407" s="859">
        <f>'[16]Reported Group Highlights'!W$39</f>
        <v>117</v>
      </c>
      <c r="BA407" s="840">
        <f>SUM(AW407:AZ407)</f>
        <v>552</v>
      </c>
      <c r="BB407" s="859">
        <f>'[16]Reported Group Highlights'!X$39</f>
        <v>110</v>
      </c>
      <c r="BC407" s="859">
        <f>'[16]Reported Group Highlights'!Y$39</f>
        <v>110</v>
      </c>
      <c r="BD407" s="859">
        <f>'[16]Reported Group Highlights'!Z$39</f>
        <v>110</v>
      </c>
      <c r="BE407" s="859">
        <f>'[16]Reported Group Highlights'!AA$39</f>
        <v>146</v>
      </c>
      <c r="BF407" s="840">
        <f>SUM(BB407:BE407)</f>
        <v>476</v>
      </c>
      <c r="BG407" s="859">
        <f>'[16]Reported Group Highlights'!AB$39</f>
        <v>169</v>
      </c>
      <c r="BH407" s="859">
        <f>'[16]Reported Group Highlights'!AC$39</f>
        <v>136</v>
      </c>
      <c r="BI407" s="859">
        <f>'[16]Reported Group Highlights'!AD$39</f>
        <v>112</v>
      </c>
      <c r="BJ407" s="859">
        <f>'[16]Reported Group Highlights'!AE$39</f>
        <v>114</v>
      </c>
      <c r="BK407" s="840">
        <f>SUM(BG407:BJ407)</f>
        <v>531</v>
      </c>
      <c r="BL407" s="859">
        <f>'[16]Reported Group Highlights'!AF$39</f>
        <v>91.225999999999999</v>
      </c>
      <c r="BM407" s="859">
        <f>'[16]Reported Group Highlights'!AG$39</f>
        <v>80.394999999999996</v>
      </c>
      <c r="BN407" s="859">
        <f>'[16]Reported Group Highlights'!AH$39</f>
        <v>71.702000000000012</v>
      </c>
      <c r="BO407" s="859">
        <f>'[16]Reported Group Highlights'!AI$39</f>
        <v>91.895000000000024</v>
      </c>
      <c r="BP407" s="840">
        <f>SUM(BL407:BO407)</f>
        <v>335.21800000000002</v>
      </c>
      <c r="BQ407" s="859">
        <f>'[16]Reported Group Highlights'!AJ$39</f>
        <v>52.914999999999999</v>
      </c>
      <c r="BR407" s="859">
        <f>'[16]Reported Group Highlights'!AK$39</f>
        <v>77.344999999999999</v>
      </c>
      <c r="BS407" s="859">
        <f>'[16]Reported Group Highlights'!AL$39</f>
        <v>91.066000000000003</v>
      </c>
      <c r="BT407" s="859">
        <f>'[16]Reported Group Highlights'!AM$39</f>
        <v>77.476000000000028</v>
      </c>
      <c r="BU407" s="840">
        <f>SUM(BQ407:BT407)</f>
        <v>298.80200000000002</v>
      </c>
      <c r="BV407" s="859">
        <f>'[16]Reported Group Highlights'!AN$39</f>
        <v>85.759</v>
      </c>
      <c r="BW407" s="859">
        <f>'[16]Reported Group Highlights'!AO$39</f>
        <v>92.792999999999992</v>
      </c>
      <c r="BX407" s="859">
        <f>'[16]Reported Group Highlights'!AP$39</f>
        <v>79.390999999999977</v>
      </c>
      <c r="BY407" s="859">
        <f>'[16]Reported Group Highlights'!AQ$39</f>
        <v>94.75500000000001</v>
      </c>
      <c r="BZ407" s="840">
        <f>SUM(BV407:BY407)</f>
        <v>352.69799999999998</v>
      </c>
      <c r="CA407" s="859">
        <f>'[16]Reported Group Highlights'!AR$39</f>
        <v>82.908000000000001</v>
      </c>
      <c r="CB407" s="859">
        <f>'[16]Reported Group Highlights'!AS$39</f>
        <v>138.358</v>
      </c>
      <c r="CC407" s="859">
        <f>'[16]Reported Group Highlights'!AT$39</f>
        <v>50.065999999999988</v>
      </c>
      <c r="CD407" s="859">
        <f>'[16]Reported Group Highlights'!AU$39</f>
        <v>141.70800000000003</v>
      </c>
      <c r="CE407" s="840">
        <f>SUM(CA407:CD407)</f>
        <v>413.04</v>
      </c>
      <c r="CF407" s="859">
        <f>'[16]Reported Group Highlights'!AV$39</f>
        <v>101.884</v>
      </c>
      <c r="CG407" s="859">
        <f>'[16]Reported Group Highlights'!AW$39</f>
        <v>106.508</v>
      </c>
      <c r="CH407" s="859">
        <f>'[16]Reported Group Highlights'!AX$39</f>
        <v>105.07299999999999</v>
      </c>
      <c r="CI407" s="859">
        <f>'[16]Reported Group Highlights'!AY$39</f>
        <v>141.52500000000003</v>
      </c>
      <c r="CJ407" s="840">
        <f>SUM(CF407:CI407)</f>
        <v>454.99</v>
      </c>
      <c r="CK407" s="859">
        <f>'[16]Reported Group Highlights'!AZ$39</f>
        <v>83.888999999999996</v>
      </c>
      <c r="CL407" s="859">
        <f>'[16]Reported Group Highlights'!BA$39</f>
        <v>181.24299999999999</v>
      </c>
      <c r="CM407" s="859">
        <f>'[16]Reported Group Highlights'!BB$39</f>
        <v>258.36899999999997</v>
      </c>
      <c r="CN407" s="859"/>
      <c r="CO407" s="860">
        <f t="shared" ref="CO407:CT407" si="1853">CO5*CO408</f>
        <v>552.16337581556274</v>
      </c>
      <c r="CP407" s="860">
        <f t="shared" si="1853"/>
        <v>614.65983058713186</v>
      </c>
      <c r="CQ407" s="860">
        <f t="shared" si="1853"/>
        <v>641.45666963594783</v>
      </c>
      <c r="CR407" s="860">
        <f t="shared" si="1853"/>
        <v>669.38332116347124</v>
      </c>
      <c r="CS407" s="860">
        <f t="shared" si="1853"/>
        <v>698.48733245258416</v>
      </c>
      <c r="CT407" s="860">
        <f t="shared" si="1853"/>
        <v>728.81826994789867</v>
      </c>
      <c r="DT407" s="486"/>
      <c r="DU407" s="487"/>
    </row>
    <row r="408" spans="1:146">
      <c r="B408" s="407" t="s">
        <v>67</v>
      </c>
      <c r="C408" s="426">
        <f>C407/C5</f>
        <v>0</v>
      </c>
      <c r="D408" s="426"/>
      <c r="E408" s="426"/>
      <c r="F408" s="426"/>
      <c r="G408" s="426"/>
      <c r="H408" s="426">
        <f>H407/H5</f>
        <v>0</v>
      </c>
      <c r="I408" s="426"/>
      <c r="J408" s="426"/>
      <c r="K408" s="426"/>
      <c r="L408" s="426"/>
      <c r="M408" s="426">
        <f>M407/M5</f>
        <v>4.2022324359816149E-2</v>
      </c>
      <c r="N408" s="426"/>
      <c r="O408" s="426"/>
      <c r="P408" s="426"/>
      <c r="Q408" s="426"/>
      <c r="R408" s="426">
        <f>R407/R5</f>
        <v>3.1557846506300113E-2</v>
      </c>
      <c r="S408" s="426"/>
      <c r="T408" s="426"/>
      <c r="U408" s="426"/>
      <c r="V408" s="426"/>
      <c r="W408" s="426">
        <f>W407/W5</f>
        <v>3.2745591939546598E-2</v>
      </c>
      <c r="X408" s="426"/>
      <c r="Y408" s="426"/>
      <c r="Z408" s="426"/>
      <c r="AA408" s="426"/>
      <c r="AB408" s="426">
        <f>AB407/AB5</f>
        <v>3.209499737708045E-2</v>
      </c>
      <c r="AC408" s="426"/>
      <c r="AD408" s="426"/>
      <c r="AE408" s="426"/>
      <c r="AF408" s="426"/>
      <c r="AG408" s="426">
        <f>AG407/AG5</f>
        <v>2.6380137308379573E-2</v>
      </c>
      <c r="AH408" s="426"/>
      <c r="AI408" s="426"/>
      <c r="AJ408" s="426"/>
      <c r="AK408" s="426"/>
      <c r="AL408" s="426">
        <f>AL407/AL5</f>
        <v>2.8431372549019607E-2</v>
      </c>
      <c r="AM408" s="426"/>
      <c r="AN408" s="426"/>
      <c r="AO408" s="426"/>
      <c r="AP408" s="426"/>
      <c r="AQ408" s="426">
        <f t="shared" ref="AQ408:CL408" si="1854">AQ407/AQ5</f>
        <v>2.8827254859139551E-2</v>
      </c>
      <c r="AR408" s="426">
        <f t="shared" si="1854"/>
        <v>2.6175213675213676E-2</v>
      </c>
      <c r="AS408" s="426">
        <f t="shared" si="1854"/>
        <v>2.0045819014891181E-2</v>
      </c>
      <c r="AT408" s="426">
        <f t="shared" si="1854"/>
        <v>2.1797323135755258E-2</v>
      </c>
      <c r="AU408" s="426">
        <f t="shared" si="1854"/>
        <v>2.5109377972227506E-2</v>
      </c>
      <c r="AV408" s="426">
        <f t="shared" si="1854"/>
        <v>2.3335363853615107E-2</v>
      </c>
      <c r="AW408" s="426">
        <f t="shared" si="1854"/>
        <v>2.2977592100265856E-2</v>
      </c>
      <c r="AX408" s="426">
        <f t="shared" si="1854"/>
        <v>2.8763013940356449E-2</v>
      </c>
      <c r="AY408" s="426">
        <f t="shared" si="1854"/>
        <v>2.5293132328308206E-2</v>
      </c>
      <c r="AZ408" s="426">
        <f t="shared" si="1854"/>
        <v>1.9506502167389129E-2</v>
      </c>
      <c r="BA408" s="426">
        <f t="shared" si="1854"/>
        <v>2.4103750927907078E-2</v>
      </c>
      <c r="BB408" s="426">
        <f t="shared" si="1854"/>
        <v>1.9995037595215006E-2</v>
      </c>
      <c r="BC408" s="426">
        <f t="shared" si="1854"/>
        <v>1.9838847240335192E-2</v>
      </c>
      <c r="BD408" s="426">
        <f t="shared" si="1854"/>
        <v>1.8815737482830639E-2</v>
      </c>
      <c r="BE408" s="426">
        <f t="shared" si="1854"/>
        <v>2.4145800945986173E-2</v>
      </c>
      <c r="BF408" s="426">
        <f t="shared" si="1854"/>
        <v>2.075085667034544E-2</v>
      </c>
      <c r="BG408" s="426">
        <f t="shared" si="1854"/>
        <v>2.8321376908257506E-2</v>
      </c>
      <c r="BH408" s="426">
        <f t="shared" si="1854"/>
        <v>2.1622979503482336E-2</v>
      </c>
      <c r="BI408" s="426">
        <f t="shared" si="1854"/>
        <v>1.7327555624934536E-2</v>
      </c>
      <c r="BJ408" s="426">
        <f t="shared" si="1854"/>
        <v>1.7778249091983726E-2</v>
      </c>
      <c r="BK408" s="426">
        <f t="shared" si="1854"/>
        <v>2.1127725576070715E-2</v>
      </c>
      <c r="BL408" s="426">
        <f t="shared" si="1854"/>
        <v>1.4040923475535661E-2</v>
      </c>
      <c r="BM408" s="426">
        <f t="shared" si="1854"/>
        <v>1.220879121046E-2</v>
      </c>
      <c r="BN408" s="426">
        <f t="shared" si="1854"/>
        <v>1.0906920925203581E-2</v>
      </c>
      <c r="BO408" s="426">
        <f t="shared" si="1854"/>
        <v>1.4464947274838248E-2</v>
      </c>
      <c r="BP408" s="426">
        <f t="shared" si="1854"/>
        <v>1.2888491506528774E-2</v>
      </c>
      <c r="BQ408" s="426">
        <f t="shared" si="1854"/>
        <v>8.4699736512829481E-3</v>
      </c>
      <c r="BR408" s="426">
        <f t="shared" si="1854"/>
        <v>1.1497976165912176E-2</v>
      </c>
      <c r="BS408" s="426">
        <f t="shared" si="1854"/>
        <v>1.3341060657246403E-2</v>
      </c>
      <c r="BT408" s="426">
        <f t="shared" si="1854"/>
        <v>1.1141442799298292E-2</v>
      </c>
      <c r="BU408" s="426">
        <f t="shared" si="1854"/>
        <v>1.1168477295960799E-2</v>
      </c>
      <c r="BV408" s="426">
        <f t="shared" si="1854"/>
        <v>1.2720001412031546E-2</v>
      </c>
      <c r="BW408" s="426">
        <f t="shared" si="1854"/>
        <v>1.2654613056700081E-2</v>
      </c>
      <c r="BX408" s="426">
        <f t="shared" si="1854"/>
        <v>1.0556471558120353E-2</v>
      </c>
      <c r="BY408" s="426">
        <f t="shared" si="1854"/>
        <v>1.25559954596736E-2</v>
      </c>
      <c r="BZ408" s="426">
        <f t="shared" si="1854"/>
        <v>1.210274080764686E-2</v>
      </c>
      <c r="CA408" s="426">
        <f t="shared" si="1854"/>
        <v>1.098508557470171E-2</v>
      </c>
      <c r="CB408" s="426">
        <f t="shared" si="1854"/>
        <v>1.6837602770675128E-2</v>
      </c>
      <c r="CC408" s="426">
        <f t="shared" si="1854"/>
        <v>6.1784880363833046E-3</v>
      </c>
      <c r="CD408" s="426">
        <f t="shared" si="1854"/>
        <v>1.6760563496891191E-2</v>
      </c>
      <c r="CE408" s="426">
        <f t="shared" si="1854"/>
        <v>1.2778654820113609E-2</v>
      </c>
      <c r="CF408" s="426">
        <f t="shared" si="1854"/>
        <v>1.2074017409935788E-2</v>
      </c>
      <c r="CG408" s="426">
        <f t="shared" si="1854"/>
        <v>1.2365510502812389E-2</v>
      </c>
      <c r="CH408" s="426">
        <f t="shared" si="1854"/>
        <v>1.2644446674739051E-2</v>
      </c>
      <c r="CI408" s="426">
        <f t="shared" si="1854"/>
        <v>1.5672434654169915E-2</v>
      </c>
      <c r="CJ408" s="426">
        <f t="shared" si="1854"/>
        <v>1.3229685146636255E-2</v>
      </c>
      <c r="CK408" s="426">
        <f t="shared" si="1854"/>
        <v>9.7532000562248634E-3</v>
      </c>
      <c r="CL408" s="426">
        <f t="shared" si="1854"/>
        <v>1.727157307558418E-2</v>
      </c>
      <c r="CM408" s="426">
        <f t="shared" ref="CM408" si="1855">CM407/CM5</f>
        <v>2.2559916469396514E-2</v>
      </c>
      <c r="CN408" s="426"/>
      <c r="CO408" s="595">
        <v>1.2999999999999999E-2</v>
      </c>
      <c r="CP408" s="595">
        <f t="shared" ref="CP408:CR408" si="1856">CO408</f>
        <v>1.2999999999999999E-2</v>
      </c>
      <c r="CQ408" s="595">
        <f t="shared" si="1856"/>
        <v>1.2999999999999999E-2</v>
      </c>
      <c r="CR408" s="595">
        <f t="shared" si="1856"/>
        <v>1.2999999999999999E-2</v>
      </c>
      <c r="CS408" s="595">
        <f t="shared" ref="CS408" si="1857">CR408</f>
        <v>1.2999999999999999E-2</v>
      </c>
      <c r="CT408" s="595">
        <f t="shared" ref="CT408" si="1858">CS408</f>
        <v>1.2999999999999999E-2</v>
      </c>
      <c r="CU408" s="347"/>
      <c r="DU408" s="399"/>
      <c r="DV408" s="399"/>
      <c r="DW408" s="399"/>
      <c r="DX408" s="399"/>
      <c r="DY408" s="399"/>
      <c r="DZ408" s="399"/>
      <c r="EA408" s="399"/>
      <c r="EB408" s="399"/>
      <c r="EC408" s="399"/>
      <c r="ED408" s="399"/>
    </row>
    <row r="409" spans="1:146">
      <c r="B409" s="407" t="s">
        <v>68</v>
      </c>
      <c r="C409" s="426"/>
      <c r="D409" s="426"/>
      <c r="E409" s="426"/>
      <c r="F409" s="426"/>
      <c r="G409" s="426"/>
      <c r="H409" s="426" t="e">
        <f>H407/C407-1</f>
        <v>#DIV/0!</v>
      </c>
      <c r="I409" s="426"/>
      <c r="J409" s="426"/>
      <c r="K409" s="426"/>
      <c r="L409" s="426"/>
      <c r="M409" s="426" t="e">
        <f>M407/H407-1</f>
        <v>#DIV/0!</v>
      </c>
      <c r="N409" s="426"/>
      <c r="O409" s="426"/>
      <c r="P409" s="426"/>
      <c r="Q409" s="426"/>
      <c r="R409" s="426">
        <f>R407/M407-1</f>
        <v>-4.340277777777779E-2</v>
      </c>
      <c r="S409" s="426"/>
      <c r="T409" s="426"/>
      <c r="U409" s="426"/>
      <c r="V409" s="426"/>
      <c r="W409" s="426">
        <f>W407/R407-1</f>
        <v>8.529945553539009E-2</v>
      </c>
      <c r="X409" s="426"/>
      <c r="Y409" s="426"/>
      <c r="Z409" s="426"/>
      <c r="AA409" s="426"/>
      <c r="AB409" s="426">
        <f>AB407/W407-1</f>
        <v>0.12541806020066892</v>
      </c>
      <c r="AC409" s="426"/>
      <c r="AD409" s="426"/>
      <c r="AE409" s="426"/>
      <c r="AF409" s="426"/>
      <c r="AG409" s="426">
        <f>AG407/AB407-1</f>
        <v>-0.16641901931649328</v>
      </c>
      <c r="AH409" s="426"/>
      <c r="AI409" s="426"/>
      <c r="AJ409" s="426"/>
      <c r="AK409" s="426"/>
      <c r="AL409" s="426">
        <f>AL407/AG407-1</f>
        <v>0.18894830659536543</v>
      </c>
      <c r="AM409" s="426"/>
      <c r="AN409" s="426"/>
      <c r="AO409" s="426"/>
      <c r="AP409" s="426"/>
      <c r="AQ409" s="426">
        <f>AQ407/AL407-1</f>
        <v>-1.0494752623688153E-2</v>
      </c>
      <c r="AR409" s="426">
        <f t="shared" ref="AR409:BA409" si="1859">AR407/AM407-1</f>
        <v>-5.7692307692307709E-2</v>
      </c>
      <c r="AS409" s="426">
        <f t="shared" si="1859"/>
        <v>-0.48275862068965514</v>
      </c>
      <c r="AT409" s="426">
        <f t="shared" si="1859"/>
        <v>-0.27848101265822789</v>
      </c>
      <c r="AU409" s="426">
        <f t="shared" si="1859"/>
        <v>-7.6923076923076872E-2</v>
      </c>
      <c r="AV409" s="426">
        <f t="shared" si="1859"/>
        <v>-0.24545454545454548</v>
      </c>
      <c r="AW409" s="426">
        <f t="shared" si="1859"/>
        <v>-0.1768707482993197</v>
      </c>
      <c r="AX409" s="426">
        <f t="shared" si="1859"/>
        <v>0.55238095238095242</v>
      </c>
      <c r="AY409" s="426">
        <f t="shared" si="1859"/>
        <v>0.32456140350877183</v>
      </c>
      <c r="AZ409" s="426">
        <f t="shared" si="1859"/>
        <v>-0.11363636363636365</v>
      </c>
      <c r="BA409" s="426">
        <f t="shared" si="1859"/>
        <v>0.10843373493975905</v>
      </c>
      <c r="BB409" s="426">
        <f t="shared" ref="BB409:BV409" si="1860">BB407/AW407-1</f>
        <v>-9.0909090909090939E-2</v>
      </c>
      <c r="BC409" s="426">
        <f t="shared" si="1860"/>
        <v>-0.32515337423312884</v>
      </c>
      <c r="BD409" s="426">
        <f t="shared" si="1860"/>
        <v>-0.27152317880794707</v>
      </c>
      <c r="BE409" s="426">
        <f t="shared" si="1860"/>
        <v>0.24786324786324787</v>
      </c>
      <c r="BF409" s="426">
        <f t="shared" si="1860"/>
        <v>-0.1376811594202898</v>
      </c>
      <c r="BG409" s="426">
        <f t="shared" si="1860"/>
        <v>0.53636363636363638</v>
      </c>
      <c r="BH409" s="426">
        <f t="shared" si="1860"/>
        <v>0.23636363636363633</v>
      </c>
      <c r="BI409" s="426">
        <f t="shared" si="1860"/>
        <v>1.8181818181818077E-2</v>
      </c>
      <c r="BJ409" s="426">
        <f t="shared" si="1860"/>
        <v>-0.21917808219178081</v>
      </c>
      <c r="BK409" s="426">
        <f t="shared" si="1860"/>
        <v>0.11554621848739499</v>
      </c>
      <c r="BL409" s="426">
        <f t="shared" si="1860"/>
        <v>-0.46020118343195271</v>
      </c>
      <c r="BM409" s="426">
        <f t="shared" si="1860"/>
        <v>-0.40886029411764713</v>
      </c>
      <c r="BN409" s="426">
        <f t="shared" si="1860"/>
        <v>-0.35980357142857133</v>
      </c>
      <c r="BO409" s="426">
        <f t="shared" si="1860"/>
        <v>-0.19390350877192963</v>
      </c>
      <c r="BP409" s="426">
        <f t="shared" si="1860"/>
        <v>-0.36870433145009418</v>
      </c>
      <c r="BQ409" s="426">
        <f t="shared" si="1860"/>
        <v>-0.41995702979413763</v>
      </c>
      <c r="BR409" s="426">
        <f t="shared" si="1860"/>
        <v>-3.7937682691709607E-2</v>
      </c>
      <c r="BS409" s="426">
        <f t="shared" si="1860"/>
        <v>0.27006220189116048</v>
      </c>
      <c r="BT409" s="426">
        <f t="shared" si="1860"/>
        <v>-0.15690733989879746</v>
      </c>
      <c r="BU409" s="426">
        <f t="shared" si="1860"/>
        <v>-0.10863378458197348</v>
      </c>
      <c r="BV409" s="426">
        <f t="shared" si="1860"/>
        <v>0.6206935651516583</v>
      </c>
      <c r="BW409" s="426">
        <f t="shared" ref="BW409:CM409" si="1861">BW407/BR407-1</f>
        <v>0.19972848923653741</v>
      </c>
      <c r="BX409" s="426">
        <f t="shared" si="1861"/>
        <v>-0.12820372037862682</v>
      </c>
      <c r="BY409" s="426">
        <f t="shared" si="1861"/>
        <v>0.22302390417677698</v>
      </c>
      <c r="BZ409" s="426">
        <f t="shared" si="1861"/>
        <v>0.18037362534387302</v>
      </c>
      <c r="CA409" s="426">
        <f t="shared" si="1861"/>
        <v>-3.324432421086998E-2</v>
      </c>
      <c r="CB409" s="426">
        <f t="shared" si="1861"/>
        <v>0.49103919476684688</v>
      </c>
      <c r="CC409" s="426">
        <f t="shared" si="1861"/>
        <v>-0.36937436233326193</v>
      </c>
      <c r="CD409" s="426">
        <f t="shared" si="1861"/>
        <v>0.49552002532847883</v>
      </c>
      <c r="CE409" s="426">
        <f t="shared" si="1861"/>
        <v>0.17108687885953433</v>
      </c>
      <c r="CF409" s="426">
        <f t="shared" si="1861"/>
        <v>0.22888020456409519</v>
      </c>
      <c r="CG409" s="426">
        <f t="shared" si="1861"/>
        <v>-0.23019991615952828</v>
      </c>
      <c r="CH409" s="426">
        <f t="shared" si="1861"/>
        <v>1.0986897295569853</v>
      </c>
      <c r="CI409" s="426">
        <f t="shared" si="1861"/>
        <v>-1.2913879244643711E-3</v>
      </c>
      <c r="CJ409" s="426">
        <f t="shared" si="1861"/>
        <v>0.10156401317063724</v>
      </c>
      <c r="CK409" s="426">
        <f t="shared" si="1861"/>
        <v>-0.17662243335558092</v>
      </c>
      <c r="CL409" s="426">
        <f t="shared" si="1861"/>
        <v>0.70168438051601756</v>
      </c>
      <c r="CM409" s="426">
        <f t="shared" si="1861"/>
        <v>1.4589475888192016</v>
      </c>
      <c r="CN409" s="426"/>
      <c r="CO409" s="426">
        <f>CO407/CJ407-1</f>
        <v>0.21357255283756293</v>
      </c>
      <c r="CP409" s="426">
        <f t="shared" ref="CP409:CR409" si="1862">CP407/CO407-1</f>
        <v>0.11318471580854106</v>
      </c>
      <c r="CQ409" s="426">
        <f t="shared" si="1862"/>
        <v>4.3596209993451485E-2</v>
      </c>
      <c r="CR409" s="426">
        <f t="shared" si="1862"/>
        <v>4.3536302371558255E-2</v>
      </c>
      <c r="CS409" s="426">
        <f t="shared" ref="CS409" si="1863">CS407/CR407-1</f>
        <v>4.3478841448464145E-2</v>
      </c>
      <c r="CT409" s="426">
        <f t="shared" ref="CT409" si="1864">CT407/CS407-1</f>
        <v>4.3423747412589586E-2</v>
      </c>
      <c r="CU409" s="347"/>
      <c r="CV409" s="1363"/>
      <c r="CW409" s="347"/>
      <c r="CX409" s="347"/>
      <c r="CY409" s="347"/>
      <c r="CZ409" s="347"/>
      <c r="DA409" s="347"/>
    </row>
    <row r="410" spans="1:146">
      <c r="B410" s="407"/>
      <c r="C410" s="426"/>
      <c r="D410" s="426"/>
      <c r="E410" s="426"/>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c r="AB410" s="426"/>
      <c r="AC410" s="426"/>
      <c r="AD410" s="426"/>
      <c r="AE410" s="426"/>
      <c r="AF410" s="426"/>
      <c r="AG410" s="426"/>
      <c r="AH410" s="426"/>
      <c r="AI410" s="426"/>
      <c r="AJ410" s="426"/>
      <c r="AK410" s="426"/>
      <c r="AL410" s="426"/>
      <c r="AM410" s="426"/>
      <c r="AN410" s="426"/>
      <c r="AO410" s="426"/>
      <c r="AP410" s="426"/>
      <c r="AQ410" s="426"/>
      <c r="AR410" s="426"/>
      <c r="AS410" s="426"/>
      <c r="AT410" s="426"/>
      <c r="AU410" s="426"/>
      <c r="AV410" s="426"/>
      <c r="AW410" s="426"/>
      <c r="AX410" s="426"/>
      <c r="AY410" s="426"/>
      <c r="AZ410" s="426"/>
      <c r="BA410" s="426"/>
      <c r="BB410" s="426"/>
      <c r="BC410" s="426"/>
      <c r="BD410" s="426"/>
      <c r="BE410" s="426"/>
      <c r="BF410" s="426"/>
      <c r="BG410" s="426"/>
      <c r="BH410" s="426"/>
      <c r="BI410" s="426"/>
      <c r="BJ410" s="426"/>
      <c r="BK410" s="426"/>
      <c r="BL410" s="426"/>
      <c r="BM410" s="426"/>
      <c r="BN410" s="426"/>
      <c r="BO410" s="426"/>
      <c r="BP410" s="426"/>
      <c r="BQ410" s="426"/>
      <c r="BR410" s="426"/>
      <c r="BS410" s="426"/>
      <c r="BT410" s="426"/>
      <c r="BU410" s="426"/>
      <c r="BV410" s="426"/>
      <c r="BW410" s="426"/>
      <c r="BX410" s="426"/>
      <c r="BY410" s="426"/>
      <c r="BZ410" s="426"/>
      <c r="CA410" s="426"/>
      <c r="CB410" s="426"/>
      <c r="CC410" s="426"/>
      <c r="CD410" s="426"/>
      <c r="CE410" s="426"/>
      <c r="CF410" s="426"/>
      <c r="CG410" s="426"/>
      <c r="CH410" s="426"/>
      <c r="CI410" s="426"/>
      <c r="CJ410" s="426"/>
      <c r="CK410" s="426"/>
      <c r="CL410" s="426"/>
      <c r="CM410" s="426"/>
      <c r="CN410" s="426"/>
      <c r="CO410" s="426"/>
      <c r="CP410" s="426"/>
      <c r="CQ410" s="426"/>
      <c r="CR410" s="426"/>
      <c r="CS410" s="426"/>
      <c r="CT410" s="426"/>
      <c r="CU410" s="347"/>
      <c r="CV410" s="1363"/>
      <c r="CW410" s="347"/>
      <c r="CX410" s="347"/>
      <c r="CY410" s="347"/>
      <c r="CZ410" s="347"/>
      <c r="DA410" s="347"/>
      <c r="EC410" s="399"/>
      <c r="ED410" s="399"/>
      <c r="EE410" s="399"/>
      <c r="EF410" s="399"/>
      <c r="EG410" s="399"/>
      <c r="EH410" s="399"/>
      <c r="EI410" s="399"/>
      <c r="EJ410" s="399"/>
      <c r="EK410" s="399"/>
      <c r="EL410" s="399"/>
    </row>
    <row r="411" spans="1:146">
      <c r="B411" s="452" t="s">
        <v>76</v>
      </c>
      <c r="C411" s="826">
        <v>4480</v>
      </c>
      <c r="D411" s="826">
        <f>D390+D395+D399+D403+D407</f>
        <v>0</v>
      </c>
      <c r="E411" s="826">
        <f t="shared" ref="E411:BP411" si="1865">E390+E395+E399+E403+E407</f>
        <v>0</v>
      </c>
      <c r="F411" s="826">
        <f t="shared" si="1865"/>
        <v>0</v>
      </c>
      <c r="G411" s="826">
        <f t="shared" si="1865"/>
        <v>0</v>
      </c>
      <c r="H411" s="826">
        <v>6930</v>
      </c>
      <c r="I411" s="826">
        <f t="shared" si="1865"/>
        <v>0</v>
      </c>
      <c r="J411" s="826">
        <f t="shared" si="1865"/>
        <v>0</v>
      </c>
      <c r="K411" s="826">
        <f t="shared" si="1865"/>
        <v>0</v>
      </c>
      <c r="L411" s="826">
        <f t="shared" si="1865"/>
        <v>0</v>
      </c>
      <c r="M411" s="826">
        <f t="shared" si="1865"/>
        <v>7501</v>
      </c>
      <c r="N411" s="826">
        <f t="shared" si="1865"/>
        <v>0</v>
      </c>
      <c r="O411" s="826">
        <f t="shared" si="1865"/>
        <v>0</v>
      </c>
      <c r="P411" s="826">
        <f t="shared" si="1865"/>
        <v>0</v>
      </c>
      <c r="Q411" s="826">
        <f t="shared" si="1865"/>
        <v>0</v>
      </c>
      <c r="R411" s="826">
        <f t="shared" si="1865"/>
        <v>8171</v>
      </c>
      <c r="S411" s="826">
        <f t="shared" si="1865"/>
        <v>2120</v>
      </c>
      <c r="T411" s="826">
        <f t="shared" si="1865"/>
        <v>2160</v>
      </c>
      <c r="U411" s="826">
        <f t="shared" si="1865"/>
        <v>2505</v>
      </c>
      <c r="V411" s="826">
        <f t="shared" si="1865"/>
        <v>2127</v>
      </c>
      <c r="W411" s="826">
        <f t="shared" si="1865"/>
        <v>8912</v>
      </c>
      <c r="X411" s="826">
        <f t="shared" si="1865"/>
        <v>2473</v>
      </c>
      <c r="Y411" s="826">
        <f t="shared" si="1865"/>
        <v>2711</v>
      </c>
      <c r="Z411" s="826">
        <f t="shared" si="1865"/>
        <v>3145</v>
      </c>
      <c r="AA411" s="826">
        <f t="shared" si="1865"/>
        <v>2894</v>
      </c>
      <c r="AB411" s="826">
        <f t="shared" si="1865"/>
        <v>11223</v>
      </c>
      <c r="AC411" s="826">
        <f t="shared" si="1865"/>
        <v>2996</v>
      </c>
      <c r="AD411" s="826">
        <f t="shared" si="1865"/>
        <v>3130</v>
      </c>
      <c r="AE411" s="826">
        <f t="shared" si="1865"/>
        <v>3264</v>
      </c>
      <c r="AF411" s="826">
        <f t="shared" si="1865"/>
        <v>3216</v>
      </c>
      <c r="AG411" s="826">
        <f t="shared" si="1865"/>
        <v>12606</v>
      </c>
      <c r="AH411" s="826">
        <f t="shared" si="1865"/>
        <v>3313</v>
      </c>
      <c r="AI411" s="826">
        <f t="shared" si="1865"/>
        <v>3971</v>
      </c>
      <c r="AJ411" s="826">
        <f t="shared" si="1865"/>
        <v>3934</v>
      </c>
      <c r="AK411" s="826">
        <f t="shared" si="1865"/>
        <v>3618</v>
      </c>
      <c r="AL411" s="826">
        <f t="shared" si="1865"/>
        <v>14836</v>
      </c>
      <c r="AM411" s="826">
        <f t="shared" si="1865"/>
        <v>3603</v>
      </c>
      <c r="AN411" s="826">
        <f t="shared" si="1865"/>
        <v>3612</v>
      </c>
      <c r="AO411" s="826">
        <f t="shared" si="1865"/>
        <v>3635</v>
      </c>
      <c r="AP411" s="826">
        <f t="shared" si="1865"/>
        <v>3633</v>
      </c>
      <c r="AQ411" s="826">
        <f t="shared" si="1865"/>
        <v>14483</v>
      </c>
      <c r="AR411" s="826">
        <f t="shared" si="1865"/>
        <v>3424</v>
      </c>
      <c r="AS411" s="826">
        <f t="shared" si="1865"/>
        <v>3173</v>
      </c>
      <c r="AT411" s="826">
        <f t="shared" si="1865"/>
        <v>3250</v>
      </c>
      <c r="AU411" s="826">
        <f t="shared" si="1865"/>
        <v>3437</v>
      </c>
      <c r="AV411" s="826">
        <f t="shared" si="1865"/>
        <v>13284</v>
      </c>
      <c r="AW411" s="826">
        <f t="shared" si="1865"/>
        <v>3418</v>
      </c>
      <c r="AX411" s="826">
        <f t="shared" si="1865"/>
        <v>3594</v>
      </c>
      <c r="AY411" s="826">
        <f t="shared" si="1865"/>
        <v>3690</v>
      </c>
      <c r="AZ411" s="826">
        <f t="shared" si="1865"/>
        <v>3852</v>
      </c>
      <c r="BA411" s="826">
        <f t="shared" si="1865"/>
        <v>14554</v>
      </c>
      <c r="BB411" s="826">
        <f t="shared" si="1865"/>
        <v>3516</v>
      </c>
      <c r="BC411" s="826">
        <f t="shared" si="1865"/>
        <v>3544</v>
      </c>
      <c r="BD411" s="826">
        <f t="shared" si="1865"/>
        <v>3670</v>
      </c>
      <c r="BE411" s="826">
        <f t="shared" si="1865"/>
        <v>3695</v>
      </c>
      <c r="BF411" s="826">
        <f t="shared" si="1865"/>
        <v>14425</v>
      </c>
      <c r="BG411" s="826">
        <f t="shared" si="1865"/>
        <v>3689</v>
      </c>
      <c r="BH411" s="826">
        <f t="shared" si="1865"/>
        <v>3818</v>
      </c>
      <c r="BI411" s="826">
        <f t="shared" si="1865"/>
        <v>3855</v>
      </c>
      <c r="BJ411" s="826">
        <f t="shared" si="1865"/>
        <v>3804</v>
      </c>
      <c r="BK411" s="826">
        <f t="shared" si="1865"/>
        <v>15166</v>
      </c>
      <c r="BL411" s="826">
        <f t="shared" si="1865"/>
        <v>3313.1740000000004</v>
      </c>
      <c r="BM411" s="826">
        <f t="shared" si="1865"/>
        <v>3279.0070000000001</v>
      </c>
      <c r="BN411" s="826">
        <f t="shared" si="1865"/>
        <v>3169.0990000000002</v>
      </c>
      <c r="BO411" s="826">
        <f t="shared" si="1865"/>
        <v>3187.7890000000002</v>
      </c>
      <c r="BP411" s="826">
        <f t="shared" si="1865"/>
        <v>12949.069000000001</v>
      </c>
      <c r="BQ411" s="826">
        <f t="shared" ref="BQ411:CT411" si="1866">BQ390+BQ395+BQ399+BQ403+BQ407</f>
        <v>3128.5740000000001</v>
      </c>
      <c r="BR411" s="826">
        <f t="shared" si="1866"/>
        <v>3358.0229999999997</v>
      </c>
      <c r="BS411" s="826">
        <f t="shared" si="1866"/>
        <v>3408.06</v>
      </c>
      <c r="BT411" s="826">
        <f t="shared" si="1866"/>
        <v>3572.6080000000002</v>
      </c>
      <c r="BU411" s="826">
        <f t="shared" si="1866"/>
        <v>13467.264999999999</v>
      </c>
      <c r="BV411" s="826">
        <f t="shared" si="1866"/>
        <v>3568.1550000000002</v>
      </c>
      <c r="BW411" s="826">
        <f t="shared" si="1866"/>
        <v>3772.2980000000002</v>
      </c>
      <c r="BX411" s="826">
        <f t="shared" si="1866"/>
        <v>3877.8529999999996</v>
      </c>
      <c r="BY411" s="826">
        <f t="shared" si="1866"/>
        <v>3688.3430000000003</v>
      </c>
      <c r="BZ411" s="826">
        <f t="shared" ref="BZ411" si="1867">BZ390+BZ395+BZ399+BZ403+BZ407</f>
        <v>14906.648999999999</v>
      </c>
      <c r="CA411" s="826">
        <f t="shared" si="1866"/>
        <v>3964.1779999999999</v>
      </c>
      <c r="CB411" s="826">
        <f t="shared" ref="CB411:CC411" si="1868">CB390+CB395+CB399+CB403+CB407</f>
        <v>4148.3999999999996</v>
      </c>
      <c r="CC411" s="826">
        <f t="shared" si="1868"/>
        <v>4000.5279999999993</v>
      </c>
      <c r="CD411" s="826">
        <f t="shared" ref="CD411:CE411" si="1869">CD390+CD395+CD399+CD403+CD407</f>
        <v>4324.817</v>
      </c>
      <c r="CE411" s="826">
        <f t="shared" si="1869"/>
        <v>16437.922999999999</v>
      </c>
      <c r="CF411" s="826">
        <f t="shared" ref="CF411:CG411" si="1870">CF390+CF395+CF399+CF403+CF407</f>
        <v>3983.9309999999996</v>
      </c>
      <c r="CG411" s="826">
        <f t="shared" si="1870"/>
        <v>4109.875</v>
      </c>
      <c r="CH411" s="826">
        <f t="shared" ref="CH411:CK411" si="1871">CH390+CH395+CH399+CH403+CH407</f>
        <v>3971.0260000000003</v>
      </c>
      <c r="CI411" s="826">
        <f t="shared" si="1871"/>
        <v>4446.9269999999997</v>
      </c>
      <c r="CJ411" s="826">
        <f t="shared" si="1871"/>
        <v>16511.759000000002</v>
      </c>
      <c r="CK411" s="826">
        <f t="shared" si="1871"/>
        <v>4280.098</v>
      </c>
      <c r="CL411" s="826">
        <f t="shared" ref="CL411" si="1872">CL390+CL395+CL399+CL403+CL407</f>
        <v>6007.0429999999997</v>
      </c>
      <c r="CM411" s="826">
        <f t="shared" ref="CM411" si="1873">CM390+CM395+CM399+CM403+CM407</f>
        <v>6595.1650000000009</v>
      </c>
      <c r="CN411" s="826"/>
      <c r="CO411" s="826">
        <f t="shared" si="1866"/>
        <v>22426.32787927824</v>
      </c>
      <c r="CP411" s="826">
        <f t="shared" si="1866"/>
        <v>24255.422545476824</v>
      </c>
      <c r="CQ411" s="826">
        <f t="shared" si="1866"/>
        <v>24326.010625424791</v>
      </c>
      <c r="CR411" s="826">
        <f t="shared" si="1866"/>
        <v>24870.164932458203</v>
      </c>
      <c r="CS411" s="826">
        <f t="shared" si="1866"/>
        <v>25790.30150594157</v>
      </c>
      <c r="CT411" s="826">
        <f t="shared" si="1866"/>
        <v>26742.024212703669</v>
      </c>
      <c r="CU411" s="347"/>
      <c r="CV411" s="1363"/>
      <c r="CW411" s="347"/>
      <c r="CX411" s="347"/>
      <c r="CY411" s="347"/>
      <c r="CZ411" s="347"/>
      <c r="DA411" s="347"/>
      <c r="EM411" s="399"/>
    </row>
    <row r="412" spans="1:146">
      <c r="B412" s="407" t="s">
        <v>561</v>
      </c>
      <c r="C412" s="501"/>
      <c r="D412" s="501"/>
      <c r="E412" s="501"/>
      <c r="F412" s="501"/>
      <c r="G412" s="501"/>
      <c r="H412" s="501"/>
      <c r="I412" s="426"/>
      <c r="J412" s="426"/>
      <c r="K412" s="426"/>
      <c r="L412" s="426"/>
      <c r="M412" s="426">
        <f t="shared" ref="M412:BU412" si="1874">M411/H411-1</f>
        <v>8.2395382395382466E-2</v>
      </c>
      <c r="N412" s="426"/>
      <c r="O412" s="426"/>
      <c r="P412" s="426"/>
      <c r="Q412" s="426"/>
      <c r="R412" s="426">
        <f t="shared" si="1874"/>
        <v>8.9321423810158729E-2</v>
      </c>
      <c r="S412" s="426" t="e">
        <f t="shared" si="1874"/>
        <v>#DIV/0!</v>
      </c>
      <c r="T412" s="426" t="e">
        <f t="shared" si="1874"/>
        <v>#DIV/0!</v>
      </c>
      <c r="U412" s="426" t="e">
        <f t="shared" si="1874"/>
        <v>#DIV/0!</v>
      </c>
      <c r="V412" s="426" t="e">
        <f t="shared" si="1874"/>
        <v>#DIV/0!</v>
      </c>
      <c r="W412" s="426">
        <f t="shared" si="1874"/>
        <v>9.0686574470689063E-2</v>
      </c>
      <c r="X412" s="426">
        <f t="shared" si="1874"/>
        <v>0.16650943396226414</v>
      </c>
      <c r="Y412" s="426">
        <f t="shared" si="1874"/>
        <v>0.25509259259259265</v>
      </c>
      <c r="Z412" s="426">
        <f t="shared" si="1874"/>
        <v>0.25548902195608791</v>
      </c>
      <c r="AA412" s="426">
        <f t="shared" si="1874"/>
        <v>0.36060178655383179</v>
      </c>
      <c r="AB412" s="426">
        <f t="shared" si="1874"/>
        <v>0.25931328545780974</v>
      </c>
      <c r="AC412" s="426">
        <f t="shared" si="1874"/>
        <v>0.21148402749696715</v>
      </c>
      <c r="AD412" s="426">
        <f t="shared" si="1874"/>
        <v>0.15455551457026928</v>
      </c>
      <c r="AE412" s="426">
        <f t="shared" si="1874"/>
        <v>3.7837837837837895E-2</v>
      </c>
      <c r="AF412" s="426">
        <f t="shared" si="1874"/>
        <v>0.11126468555632352</v>
      </c>
      <c r="AG412" s="426">
        <f t="shared" si="1874"/>
        <v>0.12322908313285219</v>
      </c>
      <c r="AH412" s="426">
        <f t="shared" si="1874"/>
        <v>0.105807743658211</v>
      </c>
      <c r="AI412" s="426">
        <f t="shared" si="1874"/>
        <v>0.26869009584664538</v>
      </c>
      <c r="AJ412" s="426">
        <f t="shared" si="1874"/>
        <v>0.2052696078431373</v>
      </c>
      <c r="AK412" s="426">
        <f t="shared" si="1874"/>
        <v>0.125</v>
      </c>
      <c r="AL412" s="426">
        <f t="shared" si="1874"/>
        <v>0.17689988894177366</v>
      </c>
      <c r="AM412" s="426">
        <f t="shared" si="1874"/>
        <v>8.7533957138545171E-2</v>
      </c>
      <c r="AN412" s="426">
        <f t="shared" si="1874"/>
        <v>-9.0405439435910395E-2</v>
      </c>
      <c r="AO412" s="426">
        <f t="shared" si="1874"/>
        <v>-7.6004067107269924E-2</v>
      </c>
      <c r="AP412" s="426">
        <f t="shared" si="1874"/>
        <v>4.1459369817578029E-3</v>
      </c>
      <c r="AQ412" s="426">
        <f t="shared" si="1874"/>
        <v>-2.3793475330277758E-2</v>
      </c>
      <c r="AR412" s="426">
        <f t="shared" si="1874"/>
        <v>-4.9680821537607556E-2</v>
      </c>
      <c r="AS412" s="426">
        <f t="shared" si="1874"/>
        <v>-0.12153931339977853</v>
      </c>
      <c r="AT412" s="426">
        <f t="shared" si="1874"/>
        <v>-0.10591471801925723</v>
      </c>
      <c r="AU412" s="426">
        <f t="shared" si="1874"/>
        <v>-5.3949903660886367E-2</v>
      </c>
      <c r="AV412" s="426">
        <f t="shared" si="1874"/>
        <v>-8.2786715459504223E-2</v>
      </c>
      <c r="AW412" s="426">
        <f t="shared" si="1874"/>
        <v>-1.7523364485981796E-3</v>
      </c>
      <c r="AX412" s="426">
        <f t="shared" si="1874"/>
        <v>0.13268200441222811</v>
      </c>
      <c r="AY412" s="426">
        <f t="shared" si="1874"/>
        <v>0.13538461538461544</v>
      </c>
      <c r="AZ412" s="426">
        <f t="shared" si="1874"/>
        <v>0.12074483561245275</v>
      </c>
      <c r="BA412" s="426">
        <f t="shared" si="1874"/>
        <v>9.5603733815115888E-2</v>
      </c>
      <c r="BB412" s="426">
        <f t="shared" si="1874"/>
        <v>2.8671737858396718E-2</v>
      </c>
      <c r="BC412" s="426">
        <f t="shared" si="1874"/>
        <v>-1.3912075681691727E-2</v>
      </c>
      <c r="BD412" s="426">
        <f t="shared" si="1874"/>
        <v>-5.4200542005420349E-3</v>
      </c>
      <c r="BE412" s="426">
        <f t="shared" si="1874"/>
        <v>-4.0758047767393557E-2</v>
      </c>
      <c r="BF412" s="426">
        <f t="shared" si="1874"/>
        <v>-8.8635426686821672E-3</v>
      </c>
      <c r="BG412" s="426">
        <f t="shared" si="1874"/>
        <v>4.9203640500568913E-2</v>
      </c>
      <c r="BH412" s="426">
        <f t="shared" si="1874"/>
        <v>7.7313769751693018E-2</v>
      </c>
      <c r="BI412" s="426">
        <f t="shared" si="1874"/>
        <v>5.0408719346048958E-2</v>
      </c>
      <c r="BJ412" s="426">
        <f t="shared" si="1874"/>
        <v>2.94993234100136E-2</v>
      </c>
      <c r="BK412" s="426">
        <f t="shared" si="1874"/>
        <v>5.1369150779896122E-2</v>
      </c>
      <c r="BL412" s="426">
        <f t="shared" si="1874"/>
        <v>-0.10187747357007304</v>
      </c>
      <c r="BM412" s="426">
        <f t="shared" si="1874"/>
        <v>-0.14117155578837082</v>
      </c>
      <c r="BN412" s="426">
        <f t="shared" si="1874"/>
        <v>-0.17792503242542146</v>
      </c>
      <c r="BO412" s="426">
        <f t="shared" si="1874"/>
        <v>-0.1619902733964248</v>
      </c>
      <c r="BP412" s="426">
        <f t="shared" si="1874"/>
        <v>-0.14617770011868647</v>
      </c>
      <c r="BQ412" s="426">
        <f t="shared" si="1874"/>
        <v>-5.5716965061297863E-2</v>
      </c>
      <c r="BR412" s="426">
        <f t="shared" si="1874"/>
        <v>2.4097539285521385E-2</v>
      </c>
      <c r="BS412" s="426">
        <f t="shared" si="1874"/>
        <v>7.5403450633760416E-2</v>
      </c>
      <c r="BT412" s="426">
        <f t="shared" si="1874"/>
        <v>0.12071658444144195</v>
      </c>
      <c r="BU412" s="426">
        <f t="shared" si="1874"/>
        <v>4.0018012105734968E-2</v>
      </c>
      <c r="BV412" s="426">
        <f t="shared" ref="BV412" si="1875">BV411/BQ411-1</f>
        <v>0.14050522698200529</v>
      </c>
      <c r="BW412" s="426">
        <f t="shared" ref="BW412:CM412" si="1876">BW411/BR411-1</f>
        <v>0.12336872022615708</v>
      </c>
      <c r="BX412" s="426">
        <f t="shared" si="1876"/>
        <v>0.13784763179051995</v>
      </c>
      <c r="BY412" s="426">
        <f t="shared" si="1876"/>
        <v>3.2395101841567797E-2</v>
      </c>
      <c r="BZ412" s="356">
        <f t="shared" si="1876"/>
        <v>0.10688020173361101</v>
      </c>
      <c r="CA412" s="426">
        <f t="shared" si="1876"/>
        <v>0.1109881717582335</v>
      </c>
      <c r="CB412" s="426">
        <f t="shared" si="1876"/>
        <v>9.9701031042616295E-2</v>
      </c>
      <c r="CC412" s="426">
        <f t="shared" si="1876"/>
        <v>3.1634773159271212E-2</v>
      </c>
      <c r="CD412" s="426">
        <f t="shared" si="1876"/>
        <v>0.17256366883448737</v>
      </c>
      <c r="CE412" s="356">
        <f t="shared" si="1876"/>
        <v>0.10272422728944641</v>
      </c>
      <c r="CF412" s="426">
        <f t="shared" si="1876"/>
        <v>4.9828741292645695E-3</v>
      </c>
      <c r="CG412" s="426">
        <f t="shared" si="1876"/>
        <v>-9.2867129495708411E-3</v>
      </c>
      <c r="CH412" s="426">
        <f t="shared" si="1876"/>
        <v>-7.3745265624934886E-3</v>
      </c>
      <c r="CI412" s="426">
        <f t="shared" si="1876"/>
        <v>2.8234720682979164E-2</v>
      </c>
      <c r="CJ412" s="356">
        <f t="shared" si="1876"/>
        <v>4.4918083628937566E-3</v>
      </c>
      <c r="CK412" s="426">
        <f t="shared" si="1876"/>
        <v>7.4340393947585959E-2</v>
      </c>
      <c r="CL412" s="426">
        <f t="shared" si="1876"/>
        <v>0.46161209282520743</v>
      </c>
      <c r="CM412" s="426">
        <f t="shared" si="1876"/>
        <v>0.66082140988248383</v>
      </c>
      <c r="CN412" s="426"/>
      <c r="CO412" s="353">
        <f>CO411/CJ411-1</f>
        <v>0.35820344030446649</v>
      </c>
      <c r="CP412" s="353">
        <f t="shared" ref="CP412:CT412" si="1877">CP411/CO411-1</f>
        <v>8.1560150018525901E-2</v>
      </c>
      <c r="CQ412" s="353">
        <f t="shared" si="1877"/>
        <v>2.9101979079366735E-3</v>
      </c>
      <c r="CR412" s="353">
        <f t="shared" si="1877"/>
        <v>2.2369237414731735E-2</v>
      </c>
      <c r="CS412" s="353">
        <f t="shared" si="1877"/>
        <v>3.6997606408411432E-2</v>
      </c>
      <c r="CT412" s="353">
        <f t="shared" si="1877"/>
        <v>3.6902348991260991E-2</v>
      </c>
      <c r="CU412" s="347"/>
      <c r="CV412" s="1363"/>
      <c r="CW412" s="347"/>
      <c r="CX412" s="347"/>
      <c r="CY412" s="347"/>
      <c r="CZ412" s="347"/>
      <c r="DA412" s="347"/>
      <c r="EA412" s="399"/>
      <c r="EB412" s="399"/>
      <c r="EC412" s="399"/>
      <c r="EH412" s="399"/>
      <c r="EI412" s="399"/>
      <c r="EJ412" s="399"/>
      <c r="EK412" s="399"/>
      <c r="EL412" s="399"/>
      <c r="EN412" s="399"/>
      <c r="EO412" s="399"/>
      <c r="EP412" s="399"/>
    </row>
    <row r="413" spans="1:146">
      <c r="B413" s="407" t="s">
        <v>181</v>
      </c>
      <c r="C413" s="501"/>
      <c r="D413" s="501"/>
      <c r="E413" s="501"/>
      <c r="F413" s="501"/>
      <c r="G413" s="501"/>
      <c r="H413" s="501"/>
      <c r="I413" s="426"/>
      <c r="J413" s="426"/>
      <c r="K413" s="426"/>
      <c r="L413" s="426"/>
      <c r="M413" s="426">
        <f>M411/M$5</f>
        <v>0.54723863719267529</v>
      </c>
      <c r="N413" s="426">
        <f t="shared" ref="N413:BY413" si="1878">N411/N$5</f>
        <v>0</v>
      </c>
      <c r="O413" s="426">
        <f t="shared" si="1878"/>
        <v>0</v>
      </c>
      <c r="P413" s="426">
        <f t="shared" si="1878"/>
        <v>0</v>
      </c>
      <c r="Q413" s="426">
        <f t="shared" si="1878"/>
        <v>0</v>
      </c>
      <c r="R413" s="426">
        <f t="shared" si="1878"/>
        <v>0.46798396334478809</v>
      </c>
      <c r="S413" s="426">
        <f t="shared" si="1878"/>
        <v>0.47300312360553326</v>
      </c>
      <c r="T413" s="426">
        <f t="shared" si="1878"/>
        <v>0.47441247529101693</v>
      </c>
      <c r="U413" s="426">
        <f t="shared" si="1878"/>
        <v>0.52405857740585771</v>
      </c>
      <c r="V413" s="426">
        <f t="shared" si="1878"/>
        <v>0.42874420479741987</v>
      </c>
      <c r="W413" s="426">
        <f t="shared" si="1878"/>
        <v>0.48800788522615268</v>
      </c>
      <c r="X413" s="426">
        <f t="shared" si="1878"/>
        <v>0.50541590026568572</v>
      </c>
      <c r="Y413" s="426">
        <f t="shared" si="1878"/>
        <v>0.51845477146681962</v>
      </c>
      <c r="Z413" s="426">
        <f t="shared" si="1878"/>
        <v>0.56422676713311803</v>
      </c>
      <c r="AA413" s="426">
        <f t="shared" si="1878"/>
        <v>0.5488336810164991</v>
      </c>
      <c r="AB413" s="426">
        <f t="shared" si="1878"/>
        <v>0.53521865611140251</v>
      </c>
      <c r="AC413" s="426">
        <f t="shared" si="1878"/>
        <v>0.52031955540118091</v>
      </c>
      <c r="AD413" s="426">
        <f t="shared" si="1878"/>
        <v>0.51692815854665564</v>
      </c>
      <c r="AE413" s="426">
        <f t="shared" si="1878"/>
        <v>0.51095804633688169</v>
      </c>
      <c r="AF413" s="426">
        <f t="shared" si="1878"/>
        <v>0.50383832053893152</v>
      </c>
      <c r="AG413" s="426">
        <f t="shared" si="1878"/>
        <v>0.59277720304711745</v>
      </c>
      <c r="AH413" s="426">
        <f t="shared" si="1878"/>
        <v>0.60159796622480477</v>
      </c>
      <c r="AI413" s="426">
        <f t="shared" si="1878"/>
        <v>0.65734149975169676</v>
      </c>
      <c r="AJ413" s="426">
        <f t="shared" si="1878"/>
        <v>0.65501165501165504</v>
      </c>
      <c r="AK413" s="426">
        <f t="shared" si="1878"/>
        <v>0.61259735861835418</v>
      </c>
      <c r="AL413" s="426">
        <f t="shared" si="1878"/>
        <v>0.63239556692242116</v>
      </c>
      <c r="AM413" s="426">
        <f t="shared" si="1878"/>
        <v>0.65736179529282979</v>
      </c>
      <c r="AN413" s="426">
        <f t="shared" si="1878"/>
        <v>0.64373551951523789</v>
      </c>
      <c r="AO413" s="426">
        <f t="shared" si="1878"/>
        <v>0.62349914236706694</v>
      </c>
      <c r="AP413" s="426">
        <f t="shared" si="1878"/>
        <v>0.60823706680060274</v>
      </c>
      <c r="AQ413" s="426">
        <f t="shared" si="1878"/>
        <v>0.63258353352260321</v>
      </c>
      <c r="AR413" s="426">
        <f t="shared" si="1878"/>
        <v>0.6096866096866097</v>
      </c>
      <c r="AS413" s="426">
        <f t="shared" si="1878"/>
        <v>0.60576555937380683</v>
      </c>
      <c r="AT413" s="426">
        <f t="shared" si="1878"/>
        <v>0.62141491395793502</v>
      </c>
      <c r="AU413" s="426">
        <f t="shared" si="1878"/>
        <v>0.65379494007989347</v>
      </c>
      <c r="AV413" s="426">
        <f t="shared" si="1878"/>
        <v>0.62246380207113072</v>
      </c>
      <c r="AW413" s="426">
        <f t="shared" si="1878"/>
        <v>0.6490695024686669</v>
      </c>
      <c r="AX413" s="426">
        <f t="shared" si="1878"/>
        <v>0.63419798835362629</v>
      </c>
      <c r="AY413" s="426">
        <f t="shared" si="1878"/>
        <v>0.61809045226130654</v>
      </c>
      <c r="AZ413" s="426">
        <f t="shared" si="1878"/>
        <v>0.64221407135711905</v>
      </c>
      <c r="BA413" s="426">
        <f t="shared" si="1878"/>
        <v>0.63551809964630368</v>
      </c>
      <c r="BB413" s="426">
        <f t="shared" si="1878"/>
        <v>0.63911411077069058</v>
      </c>
      <c r="BC413" s="426">
        <f t="shared" si="1878"/>
        <v>0.63917158745225378</v>
      </c>
      <c r="BD413" s="426">
        <f t="shared" si="1878"/>
        <v>0.62776142329080409</v>
      </c>
      <c r="BE413" s="426">
        <f t="shared" si="1878"/>
        <v>0.61108722257136239</v>
      </c>
      <c r="BF413" s="426">
        <f t="shared" si="1878"/>
        <v>0.62884686443221216</v>
      </c>
      <c r="BG413" s="426">
        <f t="shared" si="1878"/>
        <v>0.61821041073705296</v>
      </c>
      <c r="BH413" s="426">
        <f t="shared" si="1878"/>
        <v>0.60703335106099676</v>
      </c>
      <c r="BI413" s="426">
        <f t="shared" si="1878"/>
        <v>0.59640827619752346</v>
      </c>
      <c r="BJ413" s="426">
        <f t="shared" si="1878"/>
        <v>0.59323210127987802</v>
      </c>
      <c r="BK413" s="426">
        <f t="shared" si="1878"/>
        <v>0.60343330713123999</v>
      </c>
      <c r="BL413" s="426">
        <f t="shared" si="1878"/>
        <v>0.50994258868233178</v>
      </c>
      <c r="BM413" s="426">
        <f t="shared" si="1878"/>
        <v>0.49795026855696023</v>
      </c>
      <c r="BN413" s="426">
        <f t="shared" si="1878"/>
        <v>0.482066221264982</v>
      </c>
      <c r="BO413" s="426">
        <f t="shared" si="1878"/>
        <v>0.50178137883790563</v>
      </c>
      <c r="BP413" s="426">
        <f t="shared" si="1878"/>
        <v>0.49786695769306855</v>
      </c>
      <c r="BQ413" s="426">
        <f t="shared" si="1878"/>
        <v>0.50078313041838607</v>
      </c>
      <c r="BR413" s="426">
        <f t="shared" si="1878"/>
        <v>0.49919798847481928</v>
      </c>
      <c r="BS413" s="426">
        <f t="shared" si="1878"/>
        <v>0.49927673537363204</v>
      </c>
      <c r="BT413" s="426">
        <f t="shared" si="1878"/>
        <v>0.51375919867204634</v>
      </c>
      <c r="BU413" s="426">
        <f t="shared" si="1878"/>
        <v>0.50337294727340343</v>
      </c>
      <c r="BV413" s="426">
        <f t="shared" si="1878"/>
        <v>0.52923817486616476</v>
      </c>
      <c r="BW413" s="426">
        <f t="shared" si="1878"/>
        <v>0.51444582591966648</v>
      </c>
      <c r="BX413" s="426">
        <f t="shared" si="1878"/>
        <v>0.51563080073398371</v>
      </c>
      <c r="BY413" s="426">
        <f t="shared" si="1878"/>
        <v>0.48874273612705299</v>
      </c>
      <c r="BZ413" s="426">
        <f t="shared" ref="BZ413:CL413" si="1879">BZ411/BZ$5</f>
        <v>0.51151781171871757</v>
      </c>
      <c r="CA413" s="426">
        <f t="shared" si="1879"/>
        <v>0.52524285428848694</v>
      </c>
      <c r="CB413" s="426">
        <f t="shared" si="1879"/>
        <v>0.50484331468992538</v>
      </c>
      <c r="CC413" s="426">
        <f t="shared" si="1879"/>
        <v>0.49369261349451582</v>
      </c>
      <c r="CD413" s="426">
        <f t="shared" si="1879"/>
        <v>0.51151925043705693</v>
      </c>
      <c r="CE413" s="426">
        <f t="shared" si="1879"/>
        <v>0.5085573890582179</v>
      </c>
      <c r="CF413" s="426">
        <f t="shared" si="1879"/>
        <v>0.47212567482610501</v>
      </c>
      <c r="CG413" s="426">
        <f t="shared" si="1879"/>
        <v>0.47715385208384409</v>
      </c>
      <c r="CH413" s="426">
        <f t="shared" si="1879"/>
        <v>0.47787182721538668</v>
      </c>
      <c r="CI413" s="426">
        <f t="shared" si="1879"/>
        <v>0.49245131827849381</v>
      </c>
      <c r="CJ413" s="426">
        <f t="shared" si="1879"/>
        <v>0.48011027228540742</v>
      </c>
      <c r="CK413" s="426">
        <f t="shared" si="1879"/>
        <v>0.4976177097622802</v>
      </c>
      <c r="CL413" s="426">
        <f t="shared" si="1879"/>
        <v>0.5724418716456714</v>
      </c>
      <c r="CM413" s="426">
        <f t="shared" ref="CM413" si="1880">CM411/CM$5</f>
        <v>0.57586773762288623</v>
      </c>
      <c r="CN413" s="426"/>
      <c r="CO413" s="426">
        <f>CO411/CO$5</f>
        <v>0.52800000000000002</v>
      </c>
      <c r="CP413" s="426">
        <f t="shared" ref="CP413:CT413" si="1881">CP411/CP$5</f>
        <v>0.51300000000000001</v>
      </c>
      <c r="CQ413" s="426">
        <f t="shared" si="1881"/>
        <v>0.49299999999999999</v>
      </c>
      <c r="CR413" s="426">
        <f t="shared" si="1881"/>
        <v>0.48299999999999998</v>
      </c>
      <c r="CS413" s="426">
        <f t="shared" si="1881"/>
        <v>0.48000000000000004</v>
      </c>
      <c r="CT413" s="426">
        <f t="shared" si="1881"/>
        <v>0.47700000000000004</v>
      </c>
      <c r="CU413" s="347"/>
      <c r="CV413" s="1363"/>
      <c r="CW413" s="347"/>
      <c r="CX413" s="347"/>
      <c r="CY413" s="347"/>
      <c r="CZ413" s="347"/>
      <c r="DA413" s="347"/>
      <c r="EA413" s="399"/>
      <c r="EB413" s="399"/>
      <c r="EC413" s="399"/>
      <c r="EH413" s="399"/>
      <c r="EI413" s="399"/>
      <c r="EJ413" s="399"/>
      <c r="EK413" s="399"/>
      <c r="EL413" s="399"/>
      <c r="EN413" s="399"/>
      <c r="EO413" s="399"/>
      <c r="EP413" s="399"/>
    </row>
    <row r="414" spans="1:146">
      <c r="B414" s="407"/>
      <c r="C414" s="501"/>
      <c r="D414" s="501"/>
      <c r="E414" s="501"/>
      <c r="F414" s="501"/>
      <c r="G414" s="501"/>
      <c r="H414" s="501"/>
      <c r="I414" s="501"/>
      <c r="J414" s="501"/>
      <c r="K414" s="501"/>
      <c r="L414" s="501"/>
      <c r="AG414" s="347"/>
      <c r="AH414" s="347"/>
      <c r="AI414" s="347"/>
      <c r="AJ414" s="347"/>
      <c r="AK414" s="347"/>
      <c r="AL414" s="347"/>
      <c r="AM414" s="347"/>
      <c r="AN414" s="347"/>
      <c r="AO414" s="347"/>
      <c r="AP414" s="347"/>
      <c r="AQ414" s="347"/>
      <c r="AR414" s="347"/>
      <c r="AS414" s="347"/>
      <c r="AT414" s="347"/>
      <c r="AU414" s="347"/>
      <c r="AV414" s="347"/>
      <c r="AW414" s="426"/>
      <c r="AX414" s="426"/>
      <c r="AY414" s="347"/>
      <c r="AZ414" s="347"/>
      <c r="BA414" s="347"/>
      <c r="BB414" s="426"/>
      <c r="BC414" s="426"/>
      <c r="BD414" s="426"/>
      <c r="BE414" s="347"/>
      <c r="BF414" s="347"/>
      <c r="BG414" s="347"/>
      <c r="BH414" s="347"/>
      <c r="BI414" s="347"/>
      <c r="BJ414" s="347"/>
      <c r="BK414" s="347"/>
      <c r="BL414" s="347"/>
      <c r="BM414" s="347"/>
      <c r="BN414" s="347"/>
      <c r="BO414" s="347"/>
      <c r="BP414" s="347"/>
      <c r="BQ414" s="347"/>
      <c r="BR414" s="347"/>
      <c r="BS414" s="347"/>
      <c r="BT414" s="347"/>
      <c r="BU414" s="347"/>
      <c r="BV414" s="347"/>
      <c r="BW414" s="347"/>
      <c r="BX414" s="347"/>
      <c r="BY414" s="347"/>
      <c r="BZ414" s="347"/>
      <c r="CA414" s="347"/>
      <c r="CB414" s="347"/>
      <c r="CC414" s="347"/>
      <c r="CD414" s="347"/>
      <c r="CE414" s="347"/>
      <c r="CF414" s="347"/>
      <c r="CG414" s="347"/>
      <c r="CH414" s="347"/>
      <c r="CI414" s="347"/>
      <c r="CJ414" s="347"/>
      <c r="CK414" s="347"/>
      <c r="CL414" s="347"/>
      <c r="CM414" s="347"/>
      <c r="CN414" s="347"/>
      <c r="CO414" s="347"/>
      <c r="CP414" s="347"/>
      <c r="CQ414" s="347"/>
      <c r="CR414" s="347"/>
      <c r="CS414" s="347"/>
      <c r="CT414" s="347"/>
      <c r="CU414" s="347"/>
      <c r="CV414" s="1363"/>
      <c r="CW414" s="347"/>
      <c r="CX414" s="347"/>
      <c r="CY414" s="347"/>
      <c r="CZ414" s="347"/>
      <c r="DA414" s="347"/>
      <c r="EA414" s="399"/>
      <c r="EB414" s="399"/>
      <c r="EC414" s="399"/>
      <c r="EH414" s="399"/>
      <c r="EI414" s="399"/>
      <c r="EJ414" s="399"/>
      <c r="EK414" s="399"/>
      <c r="EL414" s="399"/>
      <c r="EN414" s="399"/>
      <c r="EO414" s="399"/>
      <c r="EP414" s="399"/>
    </row>
    <row r="415" spans="1:146" s="575" customFormat="1">
      <c r="A415" s="759" t="s">
        <v>615</v>
      </c>
      <c r="B415" s="587" t="s">
        <v>812</v>
      </c>
      <c r="C415" s="583"/>
      <c r="D415" s="583"/>
      <c r="E415" s="583"/>
      <c r="F415" s="583"/>
      <c r="G415" s="583"/>
      <c r="H415" s="583"/>
      <c r="I415" s="583"/>
      <c r="J415" s="583"/>
      <c r="K415" s="583"/>
      <c r="L415" s="583"/>
      <c r="R415" s="584"/>
      <c r="S415" s="584"/>
      <c r="T415" s="584"/>
      <c r="U415" s="584"/>
      <c r="V415" s="584"/>
      <c r="W415" s="584"/>
      <c r="X415" s="584"/>
      <c r="Y415" s="584"/>
      <c r="Z415" s="584"/>
      <c r="AA415" s="584"/>
      <c r="AB415" s="584"/>
      <c r="AC415" s="584"/>
      <c r="AD415" s="584"/>
      <c r="AE415" s="584"/>
      <c r="AF415" s="584"/>
      <c r="AG415" s="584"/>
      <c r="AH415" s="584"/>
      <c r="AI415" s="584"/>
      <c r="AJ415" s="584"/>
      <c r="AK415" s="584"/>
      <c r="AL415" s="584"/>
      <c r="AM415" s="584"/>
      <c r="AN415" s="584"/>
      <c r="AO415" s="584"/>
      <c r="AP415" s="584"/>
      <c r="AQ415" s="584"/>
      <c r="AR415" s="584"/>
      <c r="AS415" s="584"/>
      <c r="AT415" s="584"/>
      <c r="AU415" s="584"/>
      <c r="AV415" s="584"/>
      <c r="AW415" s="584"/>
      <c r="AX415" s="584"/>
      <c r="AY415" s="584"/>
      <c r="AZ415" s="584"/>
      <c r="BA415" s="584"/>
      <c r="BB415" s="584"/>
      <c r="BC415" s="584"/>
      <c r="BD415" s="584"/>
      <c r="BE415" s="584"/>
      <c r="BF415" s="584"/>
      <c r="BG415" s="584"/>
      <c r="BH415" s="584"/>
      <c r="BI415" s="584"/>
      <c r="BJ415" s="584"/>
      <c r="BK415" s="584"/>
      <c r="BL415" s="584"/>
      <c r="BM415" s="584"/>
      <c r="BN415" s="584"/>
      <c r="BO415" s="584"/>
      <c r="BP415" s="584"/>
      <c r="BQ415" s="584"/>
      <c r="BR415" s="584"/>
      <c r="BS415" s="584"/>
      <c r="BT415" s="584"/>
      <c r="BU415" s="584"/>
      <c r="BV415" s="584"/>
      <c r="BW415" s="584"/>
      <c r="BX415" s="584"/>
      <c r="BY415" s="584"/>
      <c r="BZ415" s="584"/>
      <c r="CA415" s="584"/>
      <c r="CB415" s="584"/>
      <c r="CC415" s="584"/>
      <c r="CD415" s="584"/>
      <c r="CE415" s="584"/>
      <c r="CF415" s="584"/>
      <c r="CG415" s="584"/>
      <c r="CH415" s="584"/>
      <c r="CI415" s="584"/>
      <c r="CJ415" s="584"/>
      <c r="CK415" s="584"/>
      <c r="CL415" s="584"/>
      <c r="CM415" s="584"/>
      <c r="CN415" s="584"/>
      <c r="CO415" s="584"/>
      <c r="CP415" s="584"/>
      <c r="CQ415" s="584"/>
      <c r="CR415" s="584"/>
      <c r="CS415" s="584"/>
      <c r="CT415" s="584"/>
      <c r="CU415" s="585"/>
      <c r="CV415" s="1379"/>
      <c r="CW415" s="585"/>
      <c r="CX415" s="585"/>
      <c r="CY415" s="585"/>
      <c r="CZ415" s="585"/>
      <c r="DA415" s="585"/>
      <c r="EA415" s="586"/>
      <c r="EB415" s="586"/>
      <c r="EC415" s="586"/>
      <c r="EH415" s="586"/>
      <c r="EI415" s="586"/>
      <c r="EJ415" s="586"/>
      <c r="EK415" s="586"/>
      <c r="EL415" s="586"/>
      <c r="EN415" s="586"/>
      <c r="EO415" s="586"/>
      <c r="EP415" s="586"/>
    </row>
    <row r="416" spans="1:146">
      <c r="B416" s="407"/>
      <c r="C416" s="501"/>
      <c r="D416" s="501"/>
      <c r="E416" s="501"/>
      <c r="F416" s="501"/>
      <c r="G416" s="501"/>
      <c r="H416" s="501"/>
      <c r="I416" s="501"/>
      <c r="J416" s="501"/>
      <c r="K416" s="501"/>
      <c r="L416" s="501"/>
      <c r="AG416" s="347"/>
      <c r="AH416" s="347"/>
      <c r="AI416" s="347"/>
      <c r="AJ416" s="347"/>
      <c r="AK416" s="347"/>
      <c r="AL416" s="347"/>
      <c r="AM416" s="347"/>
      <c r="AN416" s="347"/>
      <c r="AO416" s="347"/>
      <c r="AP416" s="347"/>
      <c r="AQ416" s="347"/>
      <c r="AR416" s="347"/>
      <c r="AS416" s="347"/>
      <c r="AT416" s="347"/>
      <c r="AU416" s="347"/>
      <c r="AV416" s="347"/>
      <c r="AW416" s="426"/>
      <c r="AX416" s="426"/>
      <c r="AY416" s="347"/>
      <c r="AZ416" s="347"/>
      <c r="BA416" s="347"/>
      <c r="BB416" s="426"/>
      <c r="BC416" s="426"/>
      <c r="BD416" s="426"/>
      <c r="BE416" s="347"/>
      <c r="BF416" s="347"/>
      <c r="BG416" s="347"/>
      <c r="BH416" s="347"/>
      <c r="BI416" s="347"/>
      <c r="BJ416" s="347"/>
      <c r="BK416" s="347"/>
      <c r="BL416" s="347"/>
      <c r="BM416" s="347"/>
      <c r="BN416" s="347"/>
      <c r="BO416" s="347"/>
      <c r="BP416" s="347"/>
      <c r="BQ416" s="347"/>
      <c r="BR416" s="347"/>
      <c r="BS416" s="347"/>
      <c r="BT416" s="347"/>
      <c r="BU416" s="347"/>
      <c r="BV416" s="347"/>
      <c r="BW416" s="347"/>
      <c r="BX416" s="347"/>
      <c r="BY416" s="347"/>
      <c r="BZ416" s="347"/>
      <c r="CA416" s="347"/>
      <c r="CB416" s="347"/>
      <c r="CC416" s="347"/>
      <c r="CD416" s="347"/>
      <c r="CE416" s="347"/>
      <c r="CF416" s="347"/>
      <c r="CG416" s="347"/>
      <c r="CH416" s="347"/>
      <c r="CI416" s="347"/>
      <c r="CJ416" s="347"/>
      <c r="CK416" s="347"/>
      <c r="CL416" s="347"/>
      <c r="CM416" s="347"/>
      <c r="CN416" s="347"/>
      <c r="CO416" s="347"/>
      <c r="CP416" s="347"/>
      <c r="CQ416" s="347"/>
      <c r="CR416" s="347"/>
      <c r="CS416" s="347"/>
      <c r="CT416" s="347"/>
      <c r="CU416" s="347"/>
      <c r="CV416" s="1363"/>
      <c r="CW416" s="347"/>
      <c r="CX416" s="347"/>
      <c r="CY416" s="347"/>
      <c r="CZ416" s="347"/>
      <c r="DA416" s="347"/>
      <c r="EA416" s="399"/>
      <c r="EB416" s="399"/>
      <c r="EC416" s="399"/>
      <c r="EH416" s="399"/>
      <c r="EI416" s="399"/>
      <c r="EJ416" s="399"/>
      <c r="EK416" s="399"/>
      <c r="EL416" s="399"/>
      <c r="EN416" s="399"/>
      <c r="EO416" s="399"/>
      <c r="EP416" s="399"/>
    </row>
    <row r="417" spans="2:145" hidden="1" outlineLevel="1">
      <c r="B417" s="582" t="s">
        <v>2</v>
      </c>
      <c r="C417" s="502">
        <f>C$4</f>
        <v>2007</v>
      </c>
      <c r="D417" s="502" t="str">
        <f t="shared" ref="D417:CM417" si="1882">D$4</f>
        <v>Q1</v>
      </c>
      <c r="E417" s="502" t="str">
        <f t="shared" si="1882"/>
        <v>Q2</v>
      </c>
      <c r="F417" s="502" t="str">
        <f t="shared" si="1882"/>
        <v>Q3</v>
      </c>
      <c r="G417" s="502" t="str">
        <f t="shared" si="1882"/>
        <v>Q4</v>
      </c>
      <c r="H417" s="502">
        <f t="shared" si="1882"/>
        <v>2008</v>
      </c>
      <c r="I417" s="502" t="str">
        <f t="shared" si="1882"/>
        <v>Q1</v>
      </c>
      <c r="J417" s="502" t="str">
        <f t="shared" si="1882"/>
        <v>Q2</v>
      </c>
      <c r="K417" s="502" t="str">
        <f t="shared" si="1882"/>
        <v>Q3</v>
      </c>
      <c r="L417" s="502" t="str">
        <f t="shared" si="1882"/>
        <v>Q4</v>
      </c>
      <c r="M417" s="502">
        <f t="shared" si="1882"/>
        <v>2009</v>
      </c>
      <c r="N417" s="502" t="str">
        <f t="shared" si="1882"/>
        <v>Q1</v>
      </c>
      <c r="O417" s="502" t="str">
        <f t="shared" si="1882"/>
        <v>Q2</v>
      </c>
      <c r="P417" s="502" t="str">
        <f t="shared" si="1882"/>
        <v>Q3</v>
      </c>
      <c r="Q417" s="502" t="str">
        <f t="shared" si="1882"/>
        <v>Q4</v>
      </c>
      <c r="R417" s="502">
        <f t="shared" si="1882"/>
        <v>2010</v>
      </c>
      <c r="S417" s="502" t="str">
        <f t="shared" si="1882"/>
        <v>Q1</v>
      </c>
      <c r="T417" s="502" t="str">
        <f t="shared" si="1882"/>
        <v>Q2</v>
      </c>
      <c r="U417" s="502" t="str">
        <f t="shared" si="1882"/>
        <v>Q3</v>
      </c>
      <c r="V417" s="502" t="str">
        <f t="shared" si="1882"/>
        <v>Q4</v>
      </c>
      <c r="W417" s="502">
        <f t="shared" si="1882"/>
        <v>2011</v>
      </c>
      <c r="X417" s="502" t="str">
        <f t="shared" si="1882"/>
        <v>Q1</v>
      </c>
      <c r="Y417" s="502" t="str">
        <f t="shared" si="1882"/>
        <v>Q2</v>
      </c>
      <c r="Z417" s="502" t="str">
        <f t="shared" si="1882"/>
        <v>Q3</v>
      </c>
      <c r="AA417" s="502" t="str">
        <f t="shared" si="1882"/>
        <v>Q4</v>
      </c>
      <c r="AB417" s="502">
        <f t="shared" si="1882"/>
        <v>2012</v>
      </c>
      <c r="AC417" s="502" t="str">
        <f t="shared" si="1882"/>
        <v>Q1</v>
      </c>
      <c r="AD417" s="502" t="str">
        <f t="shared" si="1882"/>
        <v>Q2</v>
      </c>
      <c r="AE417" s="502" t="str">
        <f t="shared" si="1882"/>
        <v>Q3</v>
      </c>
      <c r="AF417" s="502" t="str">
        <f t="shared" si="1882"/>
        <v>Q4</v>
      </c>
      <c r="AG417" s="502">
        <f t="shared" si="1882"/>
        <v>2013</v>
      </c>
      <c r="AH417" s="502" t="str">
        <f t="shared" si="1882"/>
        <v>Q1</v>
      </c>
      <c r="AI417" s="502" t="str">
        <f t="shared" si="1882"/>
        <v>Q2</v>
      </c>
      <c r="AJ417" s="502" t="str">
        <f t="shared" si="1882"/>
        <v>Q3</v>
      </c>
      <c r="AK417" s="502" t="str">
        <f t="shared" si="1882"/>
        <v>Q4</v>
      </c>
      <c r="AL417" s="502">
        <f t="shared" si="1882"/>
        <v>2014</v>
      </c>
      <c r="AM417" s="502" t="str">
        <f t="shared" si="1882"/>
        <v>Q1</v>
      </c>
      <c r="AN417" s="502" t="str">
        <f t="shared" si="1882"/>
        <v>Q2</v>
      </c>
      <c r="AO417" s="502" t="str">
        <f t="shared" si="1882"/>
        <v>Q3</v>
      </c>
      <c r="AP417" s="502" t="str">
        <f t="shared" si="1882"/>
        <v>Q4</v>
      </c>
      <c r="AQ417" s="502">
        <f t="shared" si="1882"/>
        <v>2015</v>
      </c>
      <c r="AR417" s="502" t="str">
        <f t="shared" si="1882"/>
        <v>Q1</v>
      </c>
      <c r="AS417" s="502" t="str">
        <f t="shared" si="1882"/>
        <v>Q2</v>
      </c>
      <c r="AT417" s="502" t="str">
        <f t="shared" si="1882"/>
        <v>Q3</v>
      </c>
      <c r="AU417" s="502" t="str">
        <f t="shared" si="1882"/>
        <v>Q4</v>
      </c>
      <c r="AV417" s="502">
        <f t="shared" si="1882"/>
        <v>2016</v>
      </c>
      <c r="AW417" s="502" t="str">
        <f t="shared" si="1882"/>
        <v>Q1</v>
      </c>
      <c r="AX417" s="502" t="str">
        <f t="shared" si="1882"/>
        <v>Q2</v>
      </c>
      <c r="AY417" s="502" t="str">
        <f t="shared" si="1882"/>
        <v>Q3</v>
      </c>
      <c r="AZ417" s="502" t="str">
        <f t="shared" si="1882"/>
        <v>Q4</v>
      </c>
      <c r="BA417" s="502">
        <f t="shared" si="1882"/>
        <v>2017</v>
      </c>
      <c r="BB417" s="502" t="str">
        <f t="shared" si="1882"/>
        <v>Q1</v>
      </c>
      <c r="BC417" s="502" t="str">
        <f t="shared" si="1882"/>
        <v>Q2</v>
      </c>
      <c r="BD417" s="502" t="str">
        <f t="shared" si="1882"/>
        <v>Q3</v>
      </c>
      <c r="BE417" s="502" t="str">
        <f t="shared" si="1882"/>
        <v>Q4</v>
      </c>
      <c r="BF417" s="502">
        <f t="shared" si="1882"/>
        <v>2018</v>
      </c>
      <c r="BG417" s="502" t="str">
        <f t="shared" si="1882"/>
        <v>Q1</v>
      </c>
      <c r="BH417" s="502" t="str">
        <f t="shared" si="1882"/>
        <v>Q2</v>
      </c>
      <c r="BI417" s="502" t="str">
        <f t="shared" si="1882"/>
        <v>Q3</v>
      </c>
      <c r="BJ417" s="502" t="str">
        <f t="shared" si="1882"/>
        <v>Q4</v>
      </c>
      <c r="BK417" s="502">
        <f t="shared" si="1882"/>
        <v>2019</v>
      </c>
      <c r="BL417" s="502" t="str">
        <f t="shared" si="1882"/>
        <v>Q1</v>
      </c>
      <c r="BM417" s="502" t="str">
        <f t="shared" si="1882"/>
        <v>Q2</v>
      </c>
      <c r="BN417" s="502" t="str">
        <f t="shared" si="1882"/>
        <v>Q3</v>
      </c>
      <c r="BO417" s="502" t="str">
        <f t="shared" si="1882"/>
        <v>Q4</v>
      </c>
      <c r="BP417" s="502">
        <f t="shared" si="1882"/>
        <v>2020</v>
      </c>
      <c r="BQ417" s="502" t="str">
        <f t="shared" si="1882"/>
        <v>Q1</v>
      </c>
      <c r="BR417" s="502" t="str">
        <f t="shared" si="1882"/>
        <v>Q2</v>
      </c>
      <c r="BS417" s="502" t="str">
        <f t="shared" si="1882"/>
        <v>Q3</v>
      </c>
      <c r="BT417" s="502" t="str">
        <f t="shared" si="1882"/>
        <v>Q4</v>
      </c>
      <c r="BU417" s="502">
        <f t="shared" si="1882"/>
        <v>2021</v>
      </c>
      <c r="BV417" s="502" t="str">
        <f t="shared" si="1882"/>
        <v>Q1</v>
      </c>
      <c r="BW417" s="502" t="str">
        <f t="shared" si="1882"/>
        <v>Q2</v>
      </c>
      <c r="BX417" s="502" t="str">
        <f t="shared" si="1882"/>
        <v>Q3</v>
      </c>
      <c r="BY417" s="502" t="str">
        <f t="shared" si="1882"/>
        <v>Q4</v>
      </c>
      <c r="BZ417" s="502">
        <f t="shared" si="1882"/>
        <v>2022</v>
      </c>
      <c r="CA417" s="502" t="str">
        <f t="shared" si="1882"/>
        <v>Q1</v>
      </c>
      <c r="CB417" s="502" t="str">
        <f t="shared" si="1882"/>
        <v>Q2</v>
      </c>
      <c r="CC417" s="502" t="str">
        <f t="shared" si="1882"/>
        <v>Q3</v>
      </c>
      <c r="CD417" s="502" t="str">
        <f t="shared" si="1882"/>
        <v>Q4</v>
      </c>
      <c r="CE417" s="502">
        <f t="shared" si="1882"/>
        <v>2023</v>
      </c>
      <c r="CF417" s="502" t="str">
        <f t="shared" si="1882"/>
        <v>Q1</v>
      </c>
      <c r="CG417" s="502" t="str">
        <f t="shared" si="1882"/>
        <v>Q2</v>
      </c>
      <c r="CH417" s="502" t="str">
        <f t="shared" si="1882"/>
        <v>Q3</v>
      </c>
      <c r="CI417" s="502" t="str">
        <f t="shared" si="1882"/>
        <v>Q4</v>
      </c>
      <c r="CJ417" s="502">
        <f t="shared" ref="CJ417:CT417" si="1883">CJ$4</f>
        <v>2024</v>
      </c>
      <c r="CK417" s="502" t="str">
        <f t="shared" si="1882"/>
        <v>Q1</v>
      </c>
      <c r="CL417" s="502" t="str">
        <f t="shared" si="1882"/>
        <v>Q2</v>
      </c>
      <c r="CM417" s="502" t="str">
        <f t="shared" si="1882"/>
        <v>Q3</v>
      </c>
      <c r="CN417" s="502"/>
      <c r="CO417" s="502">
        <f t="shared" si="1883"/>
        <v>2025</v>
      </c>
      <c r="CP417" s="502">
        <f t="shared" si="1883"/>
        <v>2026</v>
      </c>
      <c r="CQ417" s="502">
        <f t="shared" si="1883"/>
        <v>2027</v>
      </c>
      <c r="CR417" s="502">
        <f t="shared" si="1883"/>
        <v>2028</v>
      </c>
      <c r="CS417" s="502">
        <f t="shared" si="1883"/>
        <v>2029</v>
      </c>
      <c r="CT417" s="502">
        <f t="shared" si="1883"/>
        <v>2030</v>
      </c>
      <c r="CU417" s="364"/>
      <c r="CV417" s="1362"/>
      <c r="CW417" s="364"/>
      <c r="CX417" s="364"/>
      <c r="CY417" s="399"/>
    </row>
    <row r="418" spans="2:145" hidden="1" outlineLevel="1">
      <c r="B418" s="559"/>
      <c r="C418" s="503"/>
      <c r="D418" s="503"/>
      <c r="E418" s="503"/>
      <c r="F418" s="503"/>
      <c r="G418" s="503"/>
      <c r="H418" s="503"/>
      <c r="I418" s="503"/>
      <c r="J418" s="503"/>
      <c r="K418" s="503"/>
      <c r="L418" s="503"/>
      <c r="M418" s="503"/>
      <c r="N418" s="503"/>
      <c r="O418" s="503"/>
      <c r="P418" s="503"/>
      <c r="Q418" s="503"/>
      <c r="R418" s="503"/>
      <c r="S418" s="503"/>
      <c r="T418" s="503"/>
      <c r="U418" s="503"/>
      <c r="V418" s="503"/>
      <c r="W418" s="503"/>
      <c r="X418" s="503"/>
      <c r="Y418" s="503"/>
      <c r="Z418" s="503"/>
      <c r="AA418" s="503"/>
      <c r="AB418" s="503"/>
      <c r="AC418" s="503"/>
      <c r="AD418" s="503"/>
      <c r="AE418" s="503"/>
      <c r="AF418" s="503"/>
      <c r="AG418" s="503"/>
      <c r="AH418" s="503"/>
      <c r="AI418" s="503"/>
      <c r="AJ418" s="503"/>
      <c r="AK418" s="503"/>
      <c r="AL418" s="503"/>
      <c r="AM418" s="503"/>
      <c r="AN418" s="503"/>
      <c r="AO418" s="503"/>
      <c r="AP418" s="503"/>
      <c r="AQ418" s="503"/>
      <c r="AR418" s="503"/>
      <c r="AS418" s="503"/>
      <c r="AT418" s="503"/>
      <c r="AU418" s="503"/>
      <c r="AV418" s="503"/>
      <c r="AW418" s="503"/>
      <c r="AX418" s="503"/>
      <c r="AY418" s="503"/>
      <c r="AZ418" s="503"/>
      <c r="BA418" s="503"/>
      <c r="BB418" s="503"/>
      <c r="BC418" s="503"/>
      <c r="BD418" s="503"/>
      <c r="BE418" s="503"/>
      <c r="BF418" s="503"/>
      <c r="BG418" s="503"/>
      <c r="BH418" s="503"/>
      <c r="BI418" s="503"/>
      <c r="BJ418" s="503"/>
      <c r="BK418" s="503"/>
      <c r="BL418" s="503"/>
      <c r="BM418" s="503"/>
      <c r="BN418" s="503"/>
      <c r="BO418" s="503"/>
      <c r="BP418" s="503"/>
      <c r="BQ418" s="503"/>
      <c r="BR418" s="503"/>
      <c r="BS418" s="503"/>
      <c r="BT418" s="503"/>
      <c r="BU418" s="503"/>
      <c r="BV418" s="503"/>
      <c r="BW418" s="503"/>
      <c r="BX418" s="503"/>
      <c r="BY418" s="503"/>
      <c r="BZ418" s="503"/>
      <c r="CA418" s="503"/>
      <c r="CB418" s="503"/>
      <c r="CC418" s="503"/>
      <c r="CD418" s="503"/>
      <c r="CE418" s="503"/>
      <c r="CF418" s="503"/>
      <c r="CG418" s="503"/>
      <c r="CH418" s="503"/>
      <c r="CI418" s="503"/>
      <c r="CJ418" s="503"/>
      <c r="CK418" s="503"/>
      <c r="CL418" s="503"/>
      <c r="CM418" s="503"/>
      <c r="CN418" s="503"/>
      <c r="CO418" s="503"/>
      <c r="CP418" s="503"/>
      <c r="CQ418" s="503"/>
      <c r="CR418" s="503"/>
      <c r="CS418" s="503"/>
      <c r="CT418" s="503"/>
      <c r="CU418" s="364"/>
      <c r="CV418" s="1362"/>
      <c r="CW418" s="364"/>
      <c r="CX418" s="364"/>
      <c r="CY418" s="399"/>
      <c r="EN418" s="486"/>
      <c r="EO418" s="487"/>
    </row>
    <row r="419" spans="2:145" hidden="1" outlineLevel="1">
      <c r="B419" s="559" t="s">
        <v>2</v>
      </c>
      <c r="C419" s="499">
        <f>C225-C411</f>
        <v>3510</v>
      </c>
      <c r="D419" s="499">
        <f>D225-D411+D437+D438</f>
        <v>-3199.3353801500161</v>
      </c>
      <c r="E419" s="499">
        <f>E225-E411+E437+E438</f>
        <v>-3543.5224755666186</v>
      </c>
      <c r="F419" s="499">
        <f>F225-F411+F437+F438</f>
        <v>-3907.4199282496902</v>
      </c>
      <c r="G419" s="499">
        <f>G225-G411+G437+G438</f>
        <v>-2090.2173669236472</v>
      </c>
      <c r="H419" s="499">
        <f>H225-H411</f>
        <v>5131.33</v>
      </c>
      <c r="I419" s="499">
        <f t="shared" ref="I419:AN419" si="1884">I225-I411+I437+I438</f>
        <v>2391</v>
      </c>
      <c r="J419" s="499">
        <f t="shared" si="1884"/>
        <v>2636</v>
      </c>
      <c r="K419" s="499">
        <f t="shared" si="1884"/>
        <v>2745</v>
      </c>
      <c r="L419" s="499">
        <f t="shared" si="1884"/>
        <v>3033</v>
      </c>
      <c r="M419" s="499">
        <f t="shared" si="1884"/>
        <v>9947</v>
      </c>
      <c r="N419" s="499">
        <f t="shared" si="1884"/>
        <v>5079</v>
      </c>
      <c r="O419" s="499">
        <f t="shared" si="1884"/>
        <v>5238</v>
      </c>
      <c r="P419" s="499">
        <f t="shared" si="1884"/>
        <v>5445</v>
      </c>
      <c r="Q419" s="499">
        <f t="shared" si="1884"/>
        <v>5820</v>
      </c>
      <c r="R419" s="499">
        <f t="shared" si="1884"/>
        <v>13411</v>
      </c>
      <c r="S419" s="499">
        <f t="shared" si="1884"/>
        <v>3549</v>
      </c>
      <c r="T419" s="499">
        <f t="shared" si="1884"/>
        <v>3558</v>
      </c>
      <c r="U419" s="499">
        <f t="shared" si="1884"/>
        <v>3445</v>
      </c>
      <c r="V419" s="499">
        <f t="shared" si="1884"/>
        <v>3995</v>
      </c>
      <c r="W419" s="499">
        <f t="shared" si="1884"/>
        <v>14033</v>
      </c>
      <c r="X419" s="499">
        <f t="shared" si="1884"/>
        <v>3633</v>
      </c>
      <c r="Y419" s="499">
        <f t="shared" si="1884"/>
        <v>3775</v>
      </c>
      <c r="Z419" s="499">
        <f t="shared" si="1884"/>
        <v>3717</v>
      </c>
      <c r="AA419" s="499">
        <f t="shared" si="1884"/>
        <v>3687</v>
      </c>
      <c r="AB419" s="499">
        <f t="shared" si="1884"/>
        <v>14812</v>
      </c>
      <c r="AC419" s="499">
        <f t="shared" si="1884"/>
        <v>4088</v>
      </c>
      <c r="AD419" s="499">
        <f t="shared" si="1884"/>
        <v>4311</v>
      </c>
      <c r="AE419" s="499">
        <f t="shared" si="1884"/>
        <v>4697</v>
      </c>
      <c r="AF419" s="499">
        <f t="shared" si="1884"/>
        <v>4641</v>
      </c>
      <c r="AG419" s="499">
        <f t="shared" si="1884"/>
        <v>14419</v>
      </c>
      <c r="AH419" s="499">
        <f t="shared" si="1884"/>
        <v>3751</v>
      </c>
      <c r="AI419" s="499">
        <f t="shared" si="1884"/>
        <v>3780</v>
      </c>
      <c r="AJ419" s="499">
        <f t="shared" si="1884"/>
        <v>3979</v>
      </c>
      <c r="AK419" s="499">
        <f t="shared" si="1884"/>
        <v>4072</v>
      </c>
      <c r="AL419" s="499">
        <f t="shared" si="1884"/>
        <v>15582</v>
      </c>
      <c r="AM419" s="499">
        <f t="shared" si="1884"/>
        <v>3669</v>
      </c>
      <c r="AN419" s="499">
        <f t="shared" si="1884"/>
        <v>3781</v>
      </c>
      <c r="AO419" s="499">
        <f t="shared" ref="AO419:BT419" si="1885">AO225-AO411+AO437+AO438</f>
        <v>3876</v>
      </c>
      <c r="AP419" s="499">
        <f t="shared" si="1885"/>
        <v>4221</v>
      </c>
      <c r="AQ419" s="499">
        <f t="shared" si="1885"/>
        <v>15527</v>
      </c>
      <c r="AR419" s="499">
        <f t="shared" si="1885"/>
        <v>4063</v>
      </c>
      <c r="AS419" s="499">
        <f t="shared" si="1885"/>
        <v>4155</v>
      </c>
      <c r="AT419" s="499">
        <f t="shared" si="1885"/>
        <v>3780</v>
      </c>
      <c r="AU419" s="499">
        <f t="shared" si="1885"/>
        <v>4106</v>
      </c>
      <c r="AV419" s="499">
        <f t="shared" si="1885"/>
        <v>16104</v>
      </c>
      <c r="AW419" s="499">
        <f t="shared" si="1885"/>
        <v>3527</v>
      </c>
      <c r="AX419" s="499">
        <f t="shared" si="1885"/>
        <v>3775</v>
      </c>
      <c r="AY419" s="499">
        <f t="shared" si="1885"/>
        <v>3985</v>
      </c>
      <c r="AZ419" s="499">
        <f t="shared" si="1885"/>
        <v>3985</v>
      </c>
      <c r="BA419" s="499">
        <f t="shared" si="1885"/>
        <v>15272</v>
      </c>
      <c r="BB419" s="499">
        <f t="shared" si="1885"/>
        <v>3833.3649999999998</v>
      </c>
      <c r="BC419" s="499">
        <f t="shared" si="1885"/>
        <v>3854.6769999999997</v>
      </c>
      <c r="BD419" s="499">
        <f t="shared" si="1885"/>
        <v>4100.17</v>
      </c>
      <c r="BE419" s="499">
        <f t="shared" si="1885"/>
        <v>8346.6</v>
      </c>
      <c r="BF419" s="499">
        <f t="shared" si="1885"/>
        <v>20134.812000000002</v>
      </c>
      <c r="BG419" s="499">
        <f t="shared" si="1885"/>
        <v>4049.2240000000002</v>
      </c>
      <c r="BH419" s="499">
        <f t="shared" si="1885"/>
        <v>4232.6049999999996</v>
      </c>
      <c r="BI419" s="499">
        <f t="shared" si="1885"/>
        <v>4485.6930000000002</v>
      </c>
      <c r="BJ419" s="499">
        <f t="shared" si="1885"/>
        <v>4562.33</v>
      </c>
      <c r="BK419" s="499">
        <f t="shared" si="1885"/>
        <v>17329.851999999999</v>
      </c>
      <c r="BL419" s="499">
        <f t="shared" si="1885"/>
        <v>5787.0179999999982</v>
      </c>
      <c r="BM419" s="499">
        <f t="shared" si="1885"/>
        <v>5802.6549999999997</v>
      </c>
      <c r="BN419" s="499">
        <f t="shared" si="1885"/>
        <v>5746.4969999999994</v>
      </c>
      <c r="BO419" s="499">
        <f t="shared" si="1885"/>
        <v>8178.5440000000017</v>
      </c>
      <c r="BP419" s="499">
        <f t="shared" si="1885"/>
        <v>25514.713999999996</v>
      </c>
      <c r="BQ419" s="499">
        <f t="shared" si="1885"/>
        <v>5538.7260000000006</v>
      </c>
      <c r="BR419" s="499">
        <f t="shared" si="1885"/>
        <v>5868.4000000000015</v>
      </c>
      <c r="BS419" s="499">
        <f t="shared" si="1885"/>
        <v>5918.0109999999986</v>
      </c>
      <c r="BT419" s="499">
        <f t="shared" si="1885"/>
        <v>5917.8750000000009</v>
      </c>
      <c r="BU419" s="499">
        <f t="shared" ref="BU419:CT419" si="1886">BU225-BU411+BU437+BU438</f>
        <v>23243.012000000002</v>
      </c>
      <c r="BV419" s="499">
        <f t="shared" si="1886"/>
        <v>5734.7710000000006</v>
      </c>
      <c r="BW419" s="499">
        <f t="shared" si="1886"/>
        <v>6096.1549999999988</v>
      </c>
      <c r="BX419" s="499">
        <f t="shared" si="1886"/>
        <v>6223.2090000000044</v>
      </c>
      <c r="BY419" s="499">
        <f t="shared" si="1886"/>
        <v>6745.5059999999976</v>
      </c>
      <c r="BZ419" s="499">
        <f t="shared" si="1886"/>
        <v>27423.645000000004</v>
      </c>
      <c r="CA419" s="499">
        <f t="shared" si="1886"/>
        <v>6321.1409999999996</v>
      </c>
      <c r="CB419" s="499">
        <f t="shared" si="1886"/>
        <v>6898.9420000000018</v>
      </c>
      <c r="CC419" s="499">
        <f t="shared" ref="CC419:CE419" si="1887">CC225-CC411+CC437+CC438</f>
        <v>7059.496000000001</v>
      </c>
      <c r="CD419" s="499">
        <f t="shared" si="1887"/>
        <v>6952.9070000000002</v>
      </c>
      <c r="CE419" s="499">
        <f t="shared" si="1887"/>
        <v>30167.647999999994</v>
      </c>
      <c r="CF419" s="499">
        <f t="shared" ref="CF419:CG419" si="1888">CF225-CF411+CF437+CF438</f>
        <v>7461.5730000000003</v>
      </c>
      <c r="CG419" s="499">
        <f t="shared" si="1888"/>
        <v>7670.0560000000014</v>
      </c>
      <c r="CH419" s="499">
        <f t="shared" ref="CH419:CI419" si="1889">CH225-CH411+CH437+CH438</f>
        <v>7238.8159999999989</v>
      </c>
      <c r="CI419" s="499">
        <f t="shared" si="1889"/>
        <v>7583.728000000001</v>
      </c>
      <c r="CJ419" s="499">
        <f t="shared" si="1886"/>
        <v>-1487.3830000000016</v>
      </c>
      <c r="CK419" s="499">
        <f t="shared" si="1886"/>
        <v>7192.4030000000002</v>
      </c>
      <c r="CL419" s="499">
        <f t="shared" ref="CL419" si="1890">CL225-CL411+CL437+CL438</f>
        <v>9128.010000000002</v>
      </c>
      <c r="CM419" s="499">
        <f t="shared" ref="CM419" si="1891">CM225-CM411+CM437+CM438</f>
        <v>10029.020999999997</v>
      </c>
      <c r="CN419" s="499"/>
      <c r="CO419" s="499">
        <f t="shared" si="1886"/>
        <v>-7808.9562586782404</v>
      </c>
      <c r="CP419" s="499">
        <f t="shared" si="1886"/>
        <v>-7869.1426994154872</v>
      </c>
      <c r="CQ419" s="499">
        <f t="shared" si="1886"/>
        <v>-8361.0769305775993</v>
      </c>
      <c r="CR419" s="499">
        <f t="shared" si="1886"/>
        <v>-9241.003308024483</v>
      </c>
      <c r="CS419" s="499">
        <f t="shared" si="1886"/>
        <v>-10334.233831840298</v>
      </c>
      <c r="CT419" s="499">
        <f t="shared" si="1886"/>
        <v>-11323.606456158794</v>
      </c>
      <c r="CU419" s="416"/>
      <c r="CV419" s="1363"/>
      <c r="CW419" s="347"/>
      <c r="CX419" s="347"/>
      <c r="CY419" s="347"/>
      <c r="CZ419" s="347"/>
      <c r="DA419" s="347"/>
    </row>
    <row r="420" spans="2:145" hidden="1" outlineLevel="1">
      <c r="B420" s="562" t="s">
        <v>561</v>
      </c>
      <c r="C420" s="426"/>
      <c r="D420" s="426"/>
      <c r="E420" s="426"/>
      <c r="F420" s="426"/>
      <c r="G420" s="426"/>
      <c r="H420" s="426">
        <f>H419/C419-1</f>
        <v>0.46191737891737894</v>
      </c>
      <c r="I420" s="372"/>
      <c r="J420" s="372"/>
      <c r="K420" s="372"/>
      <c r="L420" s="372"/>
      <c r="M420" s="426">
        <f>M419/H419-1</f>
        <v>0.93848378490566775</v>
      </c>
      <c r="N420" s="372"/>
      <c r="O420" s="372"/>
      <c r="P420" s="372"/>
      <c r="Q420" s="372"/>
      <c r="R420" s="426">
        <f>R419/M419-1</f>
        <v>0.34824570222177531</v>
      </c>
      <c r="S420" s="426">
        <f t="shared" ref="S420" si="1892">S419/N419-1</f>
        <v>-0.30124040165386889</v>
      </c>
      <c r="T420" s="426">
        <f t="shared" ref="T420" si="1893">T419/O419-1</f>
        <v>-0.32073310423825885</v>
      </c>
      <c r="U420" s="426">
        <f t="shared" ref="U420" si="1894">U419/P419-1</f>
        <v>-0.3673094582185491</v>
      </c>
      <c r="V420" s="426">
        <f t="shared" ref="V420" si="1895">V419/Q419-1</f>
        <v>-0.31357388316151202</v>
      </c>
      <c r="W420" s="426">
        <f t="shared" ref="W420" si="1896">W419/R419-1</f>
        <v>4.6379837446872019E-2</v>
      </c>
      <c r="X420" s="426">
        <f t="shared" ref="X420" si="1897">X419/S419-1</f>
        <v>2.3668639053254337E-2</v>
      </c>
      <c r="Y420" s="426">
        <f t="shared" ref="Y420" si="1898">Y419/T419-1</f>
        <v>6.0989319842608136E-2</v>
      </c>
      <c r="Z420" s="426">
        <f t="shared" ref="Z420" si="1899">Z419/U419-1</f>
        <v>7.8955007256894083E-2</v>
      </c>
      <c r="AA420" s="426">
        <f t="shared" ref="AA420" si="1900">AA419/V419-1</f>
        <v>-7.7096370463078823E-2</v>
      </c>
      <c r="AB420" s="426">
        <f t="shared" ref="AB420" si="1901">AB419/W419-1</f>
        <v>5.5512007411102404E-2</v>
      </c>
      <c r="AC420" s="426">
        <f t="shared" ref="AC420" si="1902">AC419/X419-1</f>
        <v>0.12524084778420042</v>
      </c>
      <c r="AD420" s="426">
        <f t="shared" ref="AD420" si="1903">AD419/Y419-1</f>
        <v>0.1419867549668874</v>
      </c>
      <c r="AE420" s="426">
        <f t="shared" ref="AE420" si="1904">AE419/Z419-1</f>
        <v>0.26365348399246713</v>
      </c>
      <c r="AF420" s="426">
        <f t="shared" ref="AF420" si="1905">AF419/AA419-1</f>
        <v>0.2587469487388121</v>
      </c>
      <c r="AG420" s="426">
        <f t="shared" ref="AG420" si="1906">AG419/AB419-1</f>
        <v>-2.6532541182824776E-2</v>
      </c>
      <c r="AH420" s="426">
        <f t="shared" ref="AH420" si="1907">AH419/AC419-1</f>
        <v>-8.2436399217221124E-2</v>
      </c>
      <c r="AI420" s="426">
        <f t="shared" ref="AI420" si="1908">AI419/AD419-1</f>
        <v>-0.12317327766179542</v>
      </c>
      <c r="AJ420" s="426">
        <f t="shared" ref="AJ420" si="1909">AJ419/AE419-1</f>
        <v>-0.15286352991271024</v>
      </c>
      <c r="AK420" s="426">
        <f t="shared" ref="AK420" si="1910">AK419/AF419-1</f>
        <v>-0.12260288730876967</v>
      </c>
      <c r="AL420" s="426">
        <f t="shared" ref="AL420" si="1911">AL419/AG419-1</f>
        <v>8.06574658436785E-2</v>
      </c>
      <c r="AM420" s="426">
        <f t="shared" ref="AM420" si="1912">AM419/AH419-1</f>
        <v>-2.1860837110104003E-2</v>
      </c>
      <c r="AN420" s="426">
        <f t="shared" ref="AN420" si="1913">AN419/AI419-1</f>
        <v>2.645502645501896E-4</v>
      </c>
      <c r="AO420" s="426">
        <f t="shared" ref="AO420" si="1914">AO419/AJ419-1</f>
        <v>-2.588590098014576E-2</v>
      </c>
      <c r="AP420" s="426">
        <f t="shared" ref="AP420" si="1915">AP419/AK419-1</f>
        <v>3.6591355599214115E-2</v>
      </c>
      <c r="AQ420" s="426">
        <f t="shared" ref="AQ420" si="1916">AQ419/AL419-1</f>
        <v>-3.5297137723013794E-3</v>
      </c>
      <c r="AR420" s="426">
        <f t="shared" ref="AR420" si="1917">AR419/AM419-1</f>
        <v>0.10738620877623339</v>
      </c>
      <c r="AS420" s="426">
        <f t="shared" ref="AS420" si="1918">AS419/AN419-1</f>
        <v>9.8915630785506581E-2</v>
      </c>
      <c r="AT420" s="426">
        <f t="shared" ref="AT420" si="1919">AT419/AO419-1</f>
        <v>-2.4767801857585092E-2</v>
      </c>
      <c r="AU420" s="426">
        <f t="shared" ref="AU420" si="1920">AU419/AP419-1</f>
        <v>-2.7244728737266022E-2</v>
      </c>
      <c r="AV420" s="426">
        <f t="shared" ref="AV420" si="1921">AV419/AQ419-1</f>
        <v>3.716107425774462E-2</v>
      </c>
      <c r="AW420" s="426">
        <f t="shared" ref="AW420" si="1922">AW419/AR419-1</f>
        <v>-0.1319222249569284</v>
      </c>
      <c r="AX420" s="426">
        <f t="shared" ref="AX420" si="1923">AX419/AS419-1</f>
        <v>-9.1456077015643844E-2</v>
      </c>
      <c r="AY420" s="426">
        <f t="shared" ref="AY420" si="1924">AY419/AT419-1</f>
        <v>5.4232804232804188E-2</v>
      </c>
      <c r="AZ420" s="426">
        <f t="shared" ref="AZ420" si="1925">AZ419/AU419-1</f>
        <v>-2.9469069654164626E-2</v>
      </c>
      <c r="BA420" s="426">
        <f t="shared" ref="BA420" si="1926">BA419/AV419-1</f>
        <v>-5.1664182811723802E-2</v>
      </c>
      <c r="BB420" s="426">
        <f t="shared" ref="BB420" si="1927">BB419/AW419-1</f>
        <v>8.686277289481148E-2</v>
      </c>
      <c r="BC420" s="426">
        <f t="shared" ref="BC420" si="1928">BC419/AX419-1</f>
        <v>2.1106490066225003E-2</v>
      </c>
      <c r="BD420" s="426">
        <f t="shared" ref="BD420" si="1929">BD419/AY419-1</f>
        <v>2.8900878293601107E-2</v>
      </c>
      <c r="BE420" s="426">
        <f t="shared" ref="BE420" si="1930">BE419/AZ419-1</f>
        <v>1.0945043914680053</v>
      </c>
      <c r="BF420" s="426">
        <f t="shared" ref="BF420" si="1931">BF419/BA419-1</f>
        <v>0.3184135673127293</v>
      </c>
      <c r="BG420" s="426">
        <f t="shared" ref="BG420" si="1932">BG419/BB419-1</f>
        <v>5.631057830391839E-2</v>
      </c>
      <c r="BH420" s="426">
        <f t="shared" ref="BH420" si="1933">BH419/BC419-1</f>
        <v>9.8044012507403355E-2</v>
      </c>
      <c r="BI420" s="426">
        <f t="shared" ref="BI420" si="1934">BI419/BD419-1</f>
        <v>9.402610135677314E-2</v>
      </c>
      <c r="BJ420" s="426">
        <f t="shared" ref="BJ420" si="1935">BJ419/BE419-1</f>
        <v>-0.45339060216135918</v>
      </c>
      <c r="BK420" s="426">
        <f t="shared" ref="BK420" si="1936">BK419/BF419-1</f>
        <v>-0.13930897393032537</v>
      </c>
      <c r="BL420" s="426">
        <f t="shared" ref="BL420" si="1937">BL419/BG419-1</f>
        <v>0.42916716882049455</v>
      </c>
      <c r="BM420" s="426">
        <f t="shared" ref="BM420:BV420" si="1938">BM419/BH419-1</f>
        <v>0.37094177226554348</v>
      </c>
      <c r="BN420" s="426">
        <f t="shared" si="1938"/>
        <v>0.28107228916468396</v>
      </c>
      <c r="BO420" s="426">
        <f t="shared" si="1938"/>
        <v>0.79262438271672631</v>
      </c>
      <c r="BP420" s="426">
        <f t="shared" si="1938"/>
        <v>0.4722984362474647</v>
      </c>
      <c r="BQ420" s="426">
        <f t="shared" si="1938"/>
        <v>-4.2904998740283418E-2</v>
      </c>
      <c r="BR420" s="426">
        <f t="shared" si="1938"/>
        <v>1.1330158349928121E-2</v>
      </c>
      <c r="BS420" s="426">
        <f t="shared" si="1938"/>
        <v>2.9846704870810647E-2</v>
      </c>
      <c r="BT420" s="426">
        <f t="shared" si="1938"/>
        <v>-0.27641460387081129</v>
      </c>
      <c r="BU420" s="426">
        <f t="shared" si="1938"/>
        <v>-8.9034978013078803E-2</v>
      </c>
      <c r="BV420" s="426">
        <f t="shared" si="1938"/>
        <v>3.5395323762179354E-2</v>
      </c>
      <c r="BW420" s="426">
        <f t="shared" ref="BW420:CM420" si="1939">BW419/BR419-1</f>
        <v>3.8810408288459719E-2</v>
      </c>
      <c r="BX420" s="426">
        <f t="shared" si="1939"/>
        <v>5.1571043041320097E-2</v>
      </c>
      <c r="BY420" s="426">
        <f t="shared" si="1939"/>
        <v>0.13985273430074074</v>
      </c>
      <c r="BZ420" s="426">
        <f t="shared" si="1939"/>
        <v>0.17986623248312239</v>
      </c>
      <c r="CA420" s="426">
        <f t="shared" si="1939"/>
        <v>0.10224819787921757</v>
      </c>
      <c r="CB420" s="426">
        <f t="shared" si="1939"/>
        <v>0.1316874324881836</v>
      </c>
      <c r="CC420" s="426">
        <f t="shared" si="1939"/>
        <v>0.13438195631867678</v>
      </c>
      <c r="CD420" s="426">
        <f t="shared" si="1939"/>
        <v>3.0746544440106049E-2</v>
      </c>
      <c r="CE420" s="426">
        <f t="shared" si="1939"/>
        <v>0.10005974771041526</v>
      </c>
      <c r="CF420" s="426">
        <f t="shared" si="1939"/>
        <v>0.18041552941154149</v>
      </c>
      <c r="CG420" s="426">
        <f t="shared" si="1939"/>
        <v>0.11177279066848222</v>
      </c>
      <c r="CH420" s="426">
        <f t="shared" si="1939"/>
        <v>2.5401246774557018E-2</v>
      </c>
      <c r="CI420" s="426">
        <f t="shared" si="1939"/>
        <v>9.0727662544602072E-2</v>
      </c>
      <c r="CJ420" s="426">
        <f t="shared" ref="CJ420" si="1940">CJ419/CE419-1</f>
        <v>-1.0493039099368966</v>
      </c>
      <c r="CK420" s="426">
        <f t="shared" si="1939"/>
        <v>-3.6074162914441765E-2</v>
      </c>
      <c r="CL420" s="426">
        <f t="shared" si="1939"/>
        <v>0.19008387943973304</v>
      </c>
      <c r="CM420" s="426">
        <f t="shared" si="1939"/>
        <v>0.38545046593255017</v>
      </c>
      <c r="CN420" s="426"/>
      <c r="CO420" s="426">
        <f t="shared" ref="CO420" si="1941">CO419/CJ419-1</f>
        <v>4.2501314447443814</v>
      </c>
      <c r="CP420" s="426">
        <f t="shared" ref="CP420" si="1942">CP419/CO419-1</f>
        <v>7.7073604645128135E-3</v>
      </c>
      <c r="CQ420" s="426">
        <f t="shared" ref="CQ420" si="1943">CQ419/CP419-1</f>
        <v>6.2514336053233865E-2</v>
      </c>
      <c r="CR420" s="426">
        <f t="shared" ref="CR420" si="1944">CR419/CQ419-1</f>
        <v>0.10524079430831135</v>
      </c>
      <c r="CS420" s="426">
        <f t="shared" ref="CS420" si="1945">CS419/CR419-1</f>
        <v>0.11830214613888312</v>
      </c>
      <c r="CT420" s="426">
        <f t="shared" ref="CT420" si="1946">CT419/CS419-1</f>
        <v>9.5737394800395226E-2</v>
      </c>
      <c r="CU420" s="347"/>
      <c r="CV420" s="1363"/>
      <c r="CW420" s="347"/>
      <c r="CX420" s="347"/>
      <c r="CY420" s="347"/>
      <c r="CZ420" s="347"/>
      <c r="DA420" s="347"/>
    </row>
    <row r="421" spans="2:145" hidden="1" outlineLevel="1">
      <c r="B421" s="562" t="s">
        <v>4</v>
      </c>
      <c r="C421" s="426">
        <f t="shared" ref="C421:AH421" si="1947">C419/C225</f>
        <v>0.43929912390488113</v>
      </c>
      <c r="D421" s="426">
        <f t="shared" si="1947"/>
        <v>0.83395612299801314</v>
      </c>
      <c r="E421" s="426">
        <f t="shared" si="1947"/>
        <v>0.83760871051559982</v>
      </c>
      <c r="F421" s="426">
        <f t="shared" si="1947"/>
        <v>0.84167739856374568</v>
      </c>
      <c r="G421" s="426">
        <f t="shared" si="1947"/>
        <v>0.61292789931723024</v>
      </c>
      <c r="H421" s="426">
        <f t="shared" si="1947"/>
        <v>0.42543649829662233</v>
      </c>
      <c r="I421" s="426">
        <f t="shared" si="1947"/>
        <v>1.5908183632734532</v>
      </c>
      <c r="J421" s="426">
        <f t="shared" si="1947"/>
        <v>1.5460410557184752</v>
      </c>
      <c r="K421" s="426">
        <f t="shared" si="1947"/>
        <v>1.5099009900990099</v>
      </c>
      <c r="L421" s="426">
        <f t="shared" si="1947"/>
        <v>1.4882237487733072</v>
      </c>
      <c r="M421" s="426">
        <f t="shared" si="1947"/>
        <v>0.72568760487342232</v>
      </c>
      <c r="N421" s="426">
        <f t="shared" si="1947"/>
        <v>1.2369702873843156</v>
      </c>
      <c r="O421" s="426">
        <f t="shared" si="1947"/>
        <v>1.2292888993194087</v>
      </c>
      <c r="P421" s="426">
        <f t="shared" si="1947"/>
        <v>1.2257991895542548</v>
      </c>
      <c r="Q421" s="426">
        <f t="shared" si="1947"/>
        <v>1.2513437970328962</v>
      </c>
      <c r="R421" s="426">
        <f t="shared" si="1947"/>
        <v>0.76809851088201608</v>
      </c>
      <c r="S421" s="426">
        <f t="shared" si="1947"/>
        <v>0.79183400267737614</v>
      </c>
      <c r="T421" s="426">
        <f t="shared" si="1947"/>
        <v>0.78146277179881396</v>
      </c>
      <c r="U421" s="426">
        <f t="shared" si="1947"/>
        <v>0.72071129707112969</v>
      </c>
      <c r="V421" s="426">
        <f t="shared" si="1947"/>
        <v>0.80528119330780079</v>
      </c>
      <c r="W421" s="426">
        <f t="shared" si="1947"/>
        <v>0.76842624028036355</v>
      </c>
      <c r="X421" s="426">
        <f t="shared" si="1947"/>
        <v>0.74248927038626611</v>
      </c>
      <c r="Y421" s="426">
        <f t="shared" si="1947"/>
        <v>0.7219353604895774</v>
      </c>
      <c r="Z421" s="426">
        <f t="shared" si="1947"/>
        <v>0.66684607104413351</v>
      </c>
      <c r="AA421" s="426">
        <f t="shared" si="1947"/>
        <v>0.69922245401099947</v>
      </c>
      <c r="AB421" s="426">
        <f t="shared" si="1947"/>
        <v>0.70637607897372312</v>
      </c>
      <c r="AC421" s="426">
        <f t="shared" si="1947"/>
        <v>0.7099687391455366</v>
      </c>
      <c r="AD421" s="426">
        <f t="shared" si="1947"/>
        <v>0.7119735755573906</v>
      </c>
      <c r="AE421" s="426">
        <f t="shared" si="1947"/>
        <v>0.73528490920475897</v>
      </c>
      <c r="AF421" s="426">
        <f t="shared" si="1947"/>
        <v>0.72708757637474541</v>
      </c>
      <c r="AG421" s="426">
        <f t="shared" si="1947"/>
        <v>0.67803065926831563</v>
      </c>
      <c r="AH421" s="426">
        <f t="shared" si="1947"/>
        <v>0.68113310332304344</v>
      </c>
      <c r="AI421" s="426">
        <f t="shared" ref="AI421:BN421" si="1948">AI419/AI225</f>
        <v>0.62572421784472765</v>
      </c>
      <c r="AJ421" s="426">
        <f t="shared" si="1948"/>
        <v>0.66250416250416255</v>
      </c>
      <c r="AK421" s="426">
        <f t="shared" si="1948"/>
        <v>0.68946833728411783</v>
      </c>
      <c r="AL421" s="426">
        <f t="shared" si="1948"/>
        <v>0.66419437340153453</v>
      </c>
      <c r="AM421" s="426">
        <f t="shared" si="1948"/>
        <v>0.66940339354132461</v>
      </c>
      <c r="AN421" s="426">
        <f t="shared" si="1948"/>
        <v>0.67385492782035283</v>
      </c>
      <c r="AO421" s="426">
        <f t="shared" si="1948"/>
        <v>0.66483704974271007</v>
      </c>
      <c r="AP421" s="426">
        <f t="shared" si="1948"/>
        <v>0.70668006027122054</v>
      </c>
      <c r="AQ421" s="426">
        <f t="shared" si="1948"/>
        <v>0.67877595628415299</v>
      </c>
      <c r="AR421" s="426">
        <f t="shared" si="1948"/>
        <v>0.72346866096866091</v>
      </c>
      <c r="AS421" s="426">
        <f t="shared" si="1948"/>
        <v>0.79324169530355093</v>
      </c>
      <c r="AT421" s="426">
        <f t="shared" si="1948"/>
        <v>0.72275334608030595</v>
      </c>
      <c r="AU421" s="426">
        <f t="shared" si="1948"/>
        <v>0.78090528718143781</v>
      </c>
      <c r="AV421" s="426">
        <f t="shared" si="1948"/>
        <v>0.75456845656452065</v>
      </c>
      <c r="AW421" s="426">
        <f t="shared" si="1948"/>
        <v>0.66976832510444362</v>
      </c>
      <c r="AX421" s="426">
        <f t="shared" si="1948"/>
        <v>0.66613728604199751</v>
      </c>
      <c r="AY421" s="426">
        <f t="shared" si="1948"/>
        <v>0.6675041876046901</v>
      </c>
      <c r="AZ421" s="426">
        <f t="shared" si="1948"/>
        <v>0.6672806430006698</v>
      </c>
      <c r="BA421" s="426">
        <f t="shared" si="1948"/>
        <v>0.6676284153005464</v>
      </c>
      <c r="BB421" s="426">
        <f t="shared" si="1948"/>
        <v>0.69680252082892158</v>
      </c>
      <c r="BC421" s="426">
        <f t="shared" si="1948"/>
        <v>0.6952031651257593</v>
      </c>
      <c r="BD421" s="426">
        <f t="shared" si="1948"/>
        <v>0.70134293049979735</v>
      </c>
      <c r="BE421" s="426">
        <f t="shared" si="1948"/>
        <v>1.3803790559984124</v>
      </c>
      <c r="BF421" s="426">
        <f t="shared" si="1948"/>
        <v>0.87776176028645247</v>
      </c>
      <c r="BG421" s="426">
        <f t="shared" si="1948"/>
        <v>0.67857750940805972</v>
      </c>
      <c r="BH421" s="426">
        <f t="shared" si="1948"/>
        <v>0.67295243500982971</v>
      </c>
      <c r="BI421" s="426">
        <f t="shared" si="1948"/>
        <v>0.69398299083820969</v>
      </c>
      <c r="BJ421" s="426">
        <f t="shared" si="1948"/>
        <v>0.71149332613886063</v>
      </c>
      <c r="BK421" s="426">
        <f t="shared" si="1948"/>
        <v>0.6895298631448592</v>
      </c>
      <c r="BL421" s="426">
        <f t="shared" si="1948"/>
        <v>0.89070086257807446</v>
      </c>
      <c r="BM421" s="426">
        <f t="shared" si="1948"/>
        <v>0.88119165820426359</v>
      </c>
      <c r="BN421" s="426">
        <f t="shared" si="1948"/>
        <v>0.87412608261861013</v>
      </c>
      <c r="BO421" s="426">
        <f t="shared" ref="BO421:CT421" si="1949">BO419/BO225</f>
        <v>1.2873628352461473</v>
      </c>
      <c r="BP421" s="426">
        <f t="shared" si="1949"/>
        <v>0.9809919953001055</v>
      </c>
      <c r="BQ421" s="426">
        <f t="shared" si="1949"/>
        <v>0.88657022170794308</v>
      </c>
      <c r="BR421" s="426">
        <f t="shared" si="1949"/>
        <v>0.87238636410936754</v>
      </c>
      <c r="BS421" s="426">
        <f t="shared" si="1949"/>
        <v>0.8669815707426638</v>
      </c>
      <c r="BT421" s="426">
        <f t="shared" si="1949"/>
        <v>0.85102051997905637</v>
      </c>
      <c r="BU421" s="426">
        <f t="shared" si="1949"/>
        <v>0.86876611204658749</v>
      </c>
      <c r="BV421" s="426">
        <f t="shared" si="1949"/>
        <v>0.85059638309305818</v>
      </c>
      <c r="BW421" s="426">
        <f t="shared" si="1949"/>
        <v>0.83136101493288794</v>
      </c>
      <c r="BX421" s="426">
        <f t="shared" si="1949"/>
        <v>0.82748836529000369</v>
      </c>
      <c r="BY421" s="426">
        <f t="shared" si="1949"/>
        <v>0.89384774111340815</v>
      </c>
      <c r="BZ421" s="426">
        <f t="shared" si="1949"/>
        <v>0.86330185502120871</v>
      </c>
      <c r="CA421" s="426">
        <f t="shared" si="1949"/>
        <v>0.83753407167891558</v>
      </c>
      <c r="CB421" s="426">
        <f t="shared" si="1949"/>
        <v>0.83957302746445484</v>
      </c>
      <c r="CC421" s="426">
        <f t="shared" ref="CC421:CE421" si="1950">CC419/CC225</f>
        <v>0.87119026043414305</v>
      </c>
      <c r="CD421" s="426">
        <f t="shared" si="1950"/>
        <v>0.82235751871086482</v>
      </c>
      <c r="CE421" s="426">
        <f t="shared" si="1950"/>
        <v>0.85563015493899175</v>
      </c>
      <c r="CF421" s="426">
        <f t="shared" ref="CF421:CG421" si="1951">CF419/CF225</f>
        <v>0.88425230956290291</v>
      </c>
      <c r="CG421" s="426">
        <f t="shared" si="1951"/>
        <v>0.89048858325345692</v>
      </c>
      <c r="CH421" s="426">
        <f t="shared" ref="CH421:CI421" si="1952">CH419/CH225</f>
        <v>0.87111648949061915</v>
      </c>
      <c r="CI421" s="426">
        <f t="shared" si="1952"/>
        <v>0.83981968920684469</v>
      </c>
      <c r="CJ421" s="426">
        <f t="shared" si="1949"/>
        <v>-0.50419061972359058</v>
      </c>
      <c r="CK421" s="426">
        <f t="shared" si="1949"/>
        <v>0.83621148593965688</v>
      </c>
      <c r="CL421" s="426">
        <f t="shared" ref="CL421" si="1953">CL419/CL225</f>
        <v>0.8698547902521101</v>
      </c>
      <c r="CM421" s="426">
        <f t="shared" ref="CM421" si="1954">CM419/CM225</f>
        <v>0.87570055242627198</v>
      </c>
      <c r="CN421" s="426"/>
      <c r="CO421" s="426">
        <f t="shared" si="1949"/>
        <v>-2.6206970511533587</v>
      </c>
      <c r="CP421" s="426">
        <f t="shared" si="1949"/>
        <v>-2.6145888147486982</v>
      </c>
      <c r="CQ421" s="426">
        <f t="shared" si="1949"/>
        <v>-2.7503667519150099</v>
      </c>
      <c r="CR421" s="426">
        <f t="shared" si="1949"/>
        <v>-3.0095404764287057</v>
      </c>
      <c r="CS421" s="426">
        <f t="shared" si="1949"/>
        <v>-3.332055898884414</v>
      </c>
      <c r="CT421" s="426">
        <f t="shared" si="1949"/>
        <v>-3.6146974212840974</v>
      </c>
      <c r="CU421" s="347"/>
      <c r="CV421" s="1363"/>
      <c r="CW421" s="347"/>
      <c r="CX421" s="347"/>
      <c r="CY421" s="347"/>
      <c r="CZ421" s="347"/>
      <c r="DA421" s="347"/>
      <c r="EC421" s="399"/>
      <c r="EH421" s="399"/>
      <c r="EI421" s="399"/>
      <c r="EJ421" s="399"/>
      <c r="EK421" s="399"/>
      <c r="EL421" s="399"/>
    </row>
    <row r="422" spans="2:145" hidden="1" outlineLevel="1">
      <c r="B422" s="562"/>
      <c r="C422" s="426"/>
      <c r="D422" s="427">
        <f>D428-D419</f>
        <v>4333.3353801500161</v>
      </c>
      <c r="E422" s="427">
        <f>E428-E419</f>
        <v>5033.5224755666186</v>
      </c>
      <c r="F422" s="427">
        <f>F428-F419</f>
        <v>5393.4199282496902</v>
      </c>
      <c r="G422" s="427">
        <f>G428-G419</f>
        <v>3112.2173669236472</v>
      </c>
      <c r="H422" s="427"/>
      <c r="I422" s="427"/>
      <c r="J422" s="427"/>
      <c r="K422" s="427"/>
      <c r="L422" s="427"/>
      <c r="M422" s="427"/>
      <c r="N422" s="427">
        <f t="shared" ref="N422:AK422" si="1955">N428-N419</f>
        <v>-2937</v>
      </c>
      <c r="O422" s="427">
        <f t="shared" si="1955"/>
        <v>-2950</v>
      </c>
      <c r="P422" s="427">
        <f t="shared" si="1955"/>
        <v>-3083</v>
      </c>
      <c r="Q422" s="427">
        <f t="shared" si="1955"/>
        <v>-3325</v>
      </c>
      <c r="R422" s="427">
        <f t="shared" si="1955"/>
        <v>-4124</v>
      </c>
      <c r="S422" s="427">
        <f t="shared" si="1955"/>
        <v>-1186</v>
      </c>
      <c r="T422" s="427">
        <f t="shared" si="1955"/>
        <v>-1163</v>
      </c>
      <c r="U422" s="427">
        <f t="shared" si="1955"/>
        <v>-1175</v>
      </c>
      <c r="V422" s="427">
        <f t="shared" si="1955"/>
        <v>-1675</v>
      </c>
      <c r="W422" s="427">
        <f t="shared" si="1955"/>
        <v>-4685</v>
      </c>
      <c r="X422" s="427">
        <f t="shared" si="1955"/>
        <v>-1242</v>
      </c>
      <c r="Y422" s="427">
        <f t="shared" si="1955"/>
        <v>-1229</v>
      </c>
      <c r="Z422" s="427">
        <f t="shared" si="1955"/>
        <v>-1212</v>
      </c>
      <c r="AA422" s="427">
        <f t="shared" si="1955"/>
        <v>-1384</v>
      </c>
      <c r="AB422" s="427">
        <f t="shared" si="1955"/>
        <v>-5067</v>
      </c>
      <c r="AC422" s="427">
        <f t="shared" si="1955"/>
        <v>-2063</v>
      </c>
      <c r="AD422" s="427">
        <f t="shared" si="1955"/>
        <v>-2172</v>
      </c>
      <c r="AE422" s="427">
        <f t="shared" si="1955"/>
        <v>-2442</v>
      </c>
      <c r="AF422" s="427">
        <f t="shared" si="1955"/>
        <v>-2401</v>
      </c>
      <c r="AG422" s="427">
        <f t="shared" si="1955"/>
        <v>-5760</v>
      </c>
      <c r="AH422" s="427">
        <f t="shared" si="1955"/>
        <v>-1550</v>
      </c>
      <c r="AI422" s="427">
        <f t="shared" si="1955"/>
        <v>-1719</v>
      </c>
      <c r="AJ422" s="427">
        <f t="shared" si="1955"/>
        <v>-1918</v>
      </c>
      <c r="AK422" s="427">
        <f t="shared" si="1955"/>
        <v>-1772</v>
      </c>
      <c r="AL422" s="347"/>
      <c r="AM422" s="347"/>
      <c r="AN422" s="347"/>
      <c r="AO422" s="347"/>
      <c r="AP422" s="347"/>
      <c r="AQ422" s="347"/>
      <c r="AR422" s="347"/>
      <c r="AS422" s="347"/>
      <c r="AT422" s="347"/>
      <c r="AU422" s="347"/>
      <c r="AV422" s="347"/>
      <c r="AW422" s="347"/>
      <c r="AX422" s="347"/>
      <c r="AY422" s="347"/>
      <c r="AZ422" s="347"/>
      <c r="BA422" s="347"/>
      <c r="BB422" s="347"/>
      <c r="BC422" s="347"/>
      <c r="BD422" s="347"/>
      <c r="BE422" s="347"/>
      <c r="BF422" s="347"/>
      <c r="BG422" s="347"/>
      <c r="BH422" s="347"/>
      <c r="BI422" s="347"/>
      <c r="BJ422" s="347"/>
      <c r="BK422" s="347"/>
      <c r="BL422" s="347"/>
      <c r="BM422" s="347"/>
      <c r="BN422" s="347"/>
      <c r="BO422" s="347"/>
      <c r="BP422" s="347"/>
      <c r="BQ422" s="347"/>
      <c r="BR422" s="347"/>
      <c r="BS422" s="347"/>
      <c r="BT422" s="347"/>
      <c r="BU422" s="347"/>
      <c r="BV422" s="347"/>
      <c r="BW422" s="347"/>
      <c r="BX422" s="347"/>
      <c r="BY422" s="347"/>
      <c r="BZ422" s="347"/>
      <c r="CA422" s="347"/>
      <c r="CB422" s="347"/>
      <c r="CC422" s="347"/>
      <c r="CD422" s="347"/>
      <c r="CE422" s="347"/>
      <c r="CF422" s="347"/>
      <c r="CG422" s="347"/>
      <c r="CH422" s="347"/>
      <c r="CI422" s="347"/>
      <c r="CJ422" s="347"/>
      <c r="CK422" s="347"/>
      <c r="CL422" s="347"/>
      <c r="CM422" s="347"/>
      <c r="CN422" s="347"/>
      <c r="CO422" s="347"/>
      <c r="CP422" s="347"/>
      <c r="CQ422" s="347"/>
      <c r="CR422" s="347"/>
      <c r="CS422" s="347"/>
      <c r="CT422" s="347"/>
      <c r="CU422" s="347"/>
      <c r="CV422" s="1363"/>
      <c r="CW422" s="347"/>
      <c r="CX422" s="347"/>
      <c r="CY422" s="347"/>
      <c r="CZ422" s="347"/>
      <c r="DA422" s="347"/>
      <c r="EM422" s="399"/>
    </row>
    <row r="423" spans="2:145" hidden="1" outlineLevel="1">
      <c r="B423" s="562" t="s">
        <v>580</v>
      </c>
      <c r="C423" s="426"/>
      <c r="D423" s="427"/>
      <c r="E423" s="427"/>
      <c r="F423" s="427"/>
      <c r="G423" s="427"/>
      <c r="H423" s="427"/>
      <c r="I423" s="427"/>
      <c r="J423" s="427"/>
      <c r="K423" s="427"/>
      <c r="L423" s="427"/>
      <c r="M423" s="427"/>
      <c r="N423" s="427"/>
      <c r="O423" s="427"/>
      <c r="P423" s="427"/>
      <c r="Q423" s="427"/>
      <c r="R423" s="427"/>
      <c r="S423" s="427"/>
      <c r="T423" s="427"/>
      <c r="U423" s="427"/>
      <c r="V423" s="427"/>
      <c r="W423" s="427"/>
      <c r="X423" s="427"/>
      <c r="Y423" s="427"/>
      <c r="Z423" s="427"/>
      <c r="AA423" s="427"/>
      <c r="AB423" s="427"/>
      <c r="AC423" s="427"/>
      <c r="AD423" s="427"/>
      <c r="AE423" s="427"/>
      <c r="AF423" s="427"/>
      <c r="AG423" s="427"/>
      <c r="AH423" s="427"/>
      <c r="AI423" s="427"/>
      <c r="AJ423" s="427"/>
      <c r="AK423" s="427"/>
      <c r="AL423" s="347"/>
      <c r="AM423" s="347"/>
      <c r="AN423" s="347"/>
      <c r="AO423" s="347"/>
      <c r="AP423" s="347"/>
      <c r="AQ423" s="347"/>
      <c r="AR423" s="347"/>
      <c r="AS423" s="347"/>
      <c r="AT423" s="347"/>
      <c r="AU423" s="347"/>
      <c r="AV423" s="347"/>
      <c r="AW423" s="347"/>
      <c r="AX423" s="347"/>
      <c r="AY423" s="347"/>
      <c r="AZ423" s="347"/>
      <c r="BA423" s="347"/>
      <c r="BB423" s="347"/>
      <c r="BC423" s="347"/>
      <c r="BD423" s="347"/>
      <c r="BE423" s="347"/>
      <c r="BF423" s="347"/>
      <c r="BG423" s="347"/>
      <c r="BH423" s="347"/>
      <c r="BI423" s="347"/>
      <c r="BJ423" s="347"/>
      <c r="BK423" s="347"/>
      <c r="BL423" s="434">
        <f>BL419-BL428</f>
        <v>2603.0179999999982</v>
      </c>
      <c r="BM423" s="434">
        <f>BM419-BM428</f>
        <v>2496.6549999999997</v>
      </c>
      <c r="BN423" s="434">
        <f>BN419-BN428</f>
        <v>2341.4969999999994</v>
      </c>
      <c r="BO423" s="434">
        <f>BO419-BO428</f>
        <v>5013.5440000000017</v>
      </c>
      <c r="BP423" s="347"/>
      <c r="BQ423" s="434">
        <f>BQ419-BQ428</f>
        <v>2419.7260000000006</v>
      </c>
      <c r="BR423" s="434">
        <f>BR419-BR428</f>
        <v>2499.4000000000015</v>
      </c>
      <c r="BS423" s="434">
        <f>BS419-BS428</f>
        <v>2500.0109999999986</v>
      </c>
      <c r="BT423" s="434">
        <f>BT419-BT428</f>
        <v>2536.8750000000009</v>
      </c>
      <c r="BU423" s="347"/>
      <c r="BV423" s="434">
        <f>BV419-BV428</f>
        <v>2560.7710000000006</v>
      </c>
      <c r="BW423" s="434">
        <f t="shared" ref="BW423:BX423" si="1956">BW419-BW428</f>
        <v>2536.1549999999988</v>
      </c>
      <c r="BX423" s="434">
        <f t="shared" si="1956"/>
        <v>2580.2090000000044</v>
      </c>
      <c r="BY423" s="434">
        <f t="shared" ref="BY423" si="1957">BY419-BY428</f>
        <v>2887.5059999999976</v>
      </c>
      <c r="BZ423" s="504"/>
      <c r="CA423" s="434">
        <f>CA419-CA428</f>
        <v>2738.1409999999996</v>
      </c>
      <c r="CB423" s="434">
        <f>CB419-CB428</f>
        <v>2829.9420000000018</v>
      </c>
      <c r="CC423" s="434">
        <f>CC419-CC428</f>
        <v>2956.496000000001</v>
      </c>
      <c r="CD423" s="434">
        <f>CD419-CD428</f>
        <v>2822.9070000000002</v>
      </c>
      <c r="CE423" s="504"/>
      <c r="CF423" s="434">
        <f>CF419-CF428</f>
        <v>3007.5730000000003</v>
      </c>
      <c r="CG423" s="434">
        <f>CG419-CG428</f>
        <v>3167.0560000000014</v>
      </c>
      <c r="CH423" s="434">
        <f>CH419-CH428</f>
        <v>2899.8159999999989</v>
      </c>
      <c r="CI423" s="434">
        <f>CI419-CI428</f>
        <v>3000.728000000001</v>
      </c>
      <c r="CJ423" s="504">
        <f>CE423</f>
        <v>0</v>
      </c>
      <c r="CK423" s="434">
        <f>CK419-CK428</f>
        <v>2871.4030000000002</v>
      </c>
      <c r="CL423" s="434">
        <f>CL419-CL428</f>
        <v>4641.010000000002</v>
      </c>
      <c r="CM423" s="434">
        <f>CM419-CM428</f>
        <v>5171.020999999997</v>
      </c>
      <c r="CN423" s="434"/>
      <c r="CO423" s="504">
        <f>CJ423</f>
        <v>0</v>
      </c>
      <c r="CP423" s="504">
        <f t="shared" ref="CP423:CR423" si="1958">CO423</f>
        <v>0</v>
      </c>
      <c r="CQ423" s="504">
        <f t="shared" si="1958"/>
        <v>0</v>
      </c>
      <c r="CR423" s="504">
        <f t="shared" si="1958"/>
        <v>0</v>
      </c>
      <c r="CS423" s="504">
        <f t="shared" ref="CS423" si="1959">CR423</f>
        <v>0</v>
      </c>
      <c r="CT423" s="504">
        <f t="shared" ref="CT423" si="1960">CS423</f>
        <v>0</v>
      </c>
      <c r="CU423" s="505"/>
      <c r="CV423" s="1363"/>
      <c r="CW423" s="347"/>
      <c r="CX423" s="347"/>
      <c r="CY423" s="347"/>
      <c r="CZ423" s="347"/>
      <c r="DA423" s="347"/>
      <c r="EM423" s="399"/>
    </row>
    <row r="424" spans="2:145" hidden="1" outlineLevel="1">
      <c r="B424" s="562"/>
      <c r="C424" s="426"/>
      <c r="D424" s="427"/>
      <c r="E424" s="427"/>
      <c r="F424" s="427"/>
      <c r="G424" s="427"/>
      <c r="H424" s="427"/>
      <c r="I424" s="427"/>
      <c r="J424" s="427"/>
      <c r="K424" s="427"/>
      <c r="L424" s="427"/>
      <c r="M424" s="427"/>
      <c r="N424" s="427"/>
      <c r="O424" s="427"/>
      <c r="P424" s="427"/>
      <c r="Q424" s="427"/>
      <c r="R424" s="427"/>
      <c r="S424" s="427"/>
      <c r="T424" s="427"/>
      <c r="U424" s="427"/>
      <c r="V424" s="427"/>
      <c r="W424" s="427"/>
      <c r="X424" s="427"/>
      <c r="Y424" s="427"/>
      <c r="Z424" s="427"/>
      <c r="AA424" s="427"/>
      <c r="AB424" s="427"/>
      <c r="AC424" s="427"/>
      <c r="AD424" s="427"/>
      <c r="AE424" s="427"/>
      <c r="AF424" s="427"/>
      <c r="AG424" s="427"/>
      <c r="AH424" s="427"/>
      <c r="AI424" s="427"/>
      <c r="AJ424" s="427"/>
      <c r="AK424" s="427"/>
      <c r="AL424" s="347"/>
      <c r="AM424" s="347"/>
      <c r="AN424" s="347"/>
      <c r="AO424" s="347"/>
      <c r="AP424" s="347"/>
      <c r="AQ424" s="347"/>
      <c r="AR424" s="347"/>
      <c r="AS424" s="347"/>
      <c r="AT424" s="347"/>
      <c r="AU424" s="347"/>
      <c r="AV424" s="347"/>
      <c r="AW424" s="347"/>
      <c r="AX424" s="347"/>
      <c r="AY424" s="347"/>
      <c r="AZ424" s="347"/>
      <c r="BA424" s="347"/>
      <c r="BB424" s="347"/>
      <c r="BC424" s="347"/>
      <c r="BD424" s="347"/>
      <c r="BE424" s="347"/>
      <c r="BF424" s="347"/>
      <c r="BG424" s="347"/>
      <c r="BH424" s="347"/>
      <c r="BI424" s="347"/>
      <c r="BJ424" s="347"/>
      <c r="BK424" s="347"/>
      <c r="BL424" s="347"/>
      <c r="BM424" s="347"/>
      <c r="BN424" s="347"/>
      <c r="BO424" s="347"/>
      <c r="BP424" s="347"/>
      <c r="BQ424" s="347"/>
      <c r="BR424" s="347"/>
      <c r="BS424" s="347"/>
      <c r="BT424" s="347"/>
      <c r="BU424" s="347"/>
      <c r="BV424" s="347"/>
      <c r="BW424" s="347"/>
      <c r="BX424" s="347"/>
      <c r="BY424" s="347"/>
      <c r="BZ424" s="347"/>
      <c r="CA424" s="347"/>
      <c r="CB424" s="347"/>
      <c r="CC424" s="347"/>
      <c r="CD424" s="347"/>
      <c r="CE424" s="347"/>
      <c r="CF424" s="347"/>
      <c r="CG424" s="347"/>
      <c r="CH424" s="347"/>
      <c r="CI424" s="347"/>
      <c r="CJ424" s="347"/>
      <c r="CK424" s="347"/>
      <c r="CL424" s="347"/>
      <c r="CM424" s="347"/>
      <c r="CN424" s="347"/>
      <c r="CO424" s="347"/>
      <c r="CP424" s="347"/>
      <c r="CQ424" s="347"/>
      <c r="CR424" s="347"/>
      <c r="CS424" s="347"/>
      <c r="CT424" s="347"/>
      <c r="CU424" s="347"/>
      <c r="CV424" s="1363"/>
      <c r="CW424" s="347"/>
      <c r="CX424" s="347"/>
      <c r="CY424" s="347"/>
      <c r="CZ424" s="347"/>
      <c r="DA424" s="347"/>
      <c r="EM424" s="399"/>
    </row>
    <row r="425" spans="2:145" hidden="1" outlineLevel="1">
      <c r="B425" s="562" t="s">
        <v>276</v>
      </c>
      <c r="C425" s="434">
        <f t="shared" ref="C425:AT425" si="1961">C419</f>
        <v>3510</v>
      </c>
      <c r="D425" s="434">
        <f t="shared" si="1961"/>
        <v>-3199.3353801500161</v>
      </c>
      <c r="E425" s="434">
        <f t="shared" si="1961"/>
        <v>-3543.5224755666186</v>
      </c>
      <c r="F425" s="434">
        <f t="shared" si="1961"/>
        <v>-3907.4199282496902</v>
      </c>
      <c r="G425" s="434">
        <f t="shared" si="1961"/>
        <v>-2090.2173669236472</v>
      </c>
      <c r="H425" s="434">
        <f t="shared" si="1961"/>
        <v>5131.33</v>
      </c>
      <c r="I425" s="434">
        <f t="shared" si="1961"/>
        <v>2391</v>
      </c>
      <c r="J425" s="434">
        <f t="shared" si="1961"/>
        <v>2636</v>
      </c>
      <c r="K425" s="434">
        <f t="shared" si="1961"/>
        <v>2745</v>
      </c>
      <c r="L425" s="434">
        <f t="shared" si="1961"/>
        <v>3033</v>
      </c>
      <c r="M425" s="434">
        <f t="shared" si="1961"/>
        <v>9947</v>
      </c>
      <c r="N425" s="434">
        <f t="shared" si="1961"/>
        <v>5079</v>
      </c>
      <c r="O425" s="434">
        <f t="shared" si="1961"/>
        <v>5238</v>
      </c>
      <c r="P425" s="434">
        <f t="shared" si="1961"/>
        <v>5445</v>
      </c>
      <c r="Q425" s="434">
        <f t="shared" si="1961"/>
        <v>5820</v>
      </c>
      <c r="R425" s="434">
        <f t="shared" si="1961"/>
        <v>13411</v>
      </c>
      <c r="S425" s="434">
        <f t="shared" si="1961"/>
        <v>3549</v>
      </c>
      <c r="T425" s="434">
        <f t="shared" si="1961"/>
        <v>3558</v>
      </c>
      <c r="U425" s="434">
        <f t="shared" si="1961"/>
        <v>3445</v>
      </c>
      <c r="V425" s="434">
        <f t="shared" si="1961"/>
        <v>3995</v>
      </c>
      <c r="W425" s="434">
        <f t="shared" si="1961"/>
        <v>14033</v>
      </c>
      <c r="X425" s="434">
        <f t="shared" si="1961"/>
        <v>3633</v>
      </c>
      <c r="Y425" s="434">
        <f t="shared" si="1961"/>
        <v>3775</v>
      </c>
      <c r="Z425" s="434">
        <f t="shared" si="1961"/>
        <v>3717</v>
      </c>
      <c r="AA425" s="434">
        <f t="shared" si="1961"/>
        <v>3687</v>
      </c>
      <c r="AB425" s="434">
        <f t="shared" si="1961"/>
        <v>14812</v>
      </c>
      <c r="AC425" s="434">
        <f t="shared" si="1961"/>
        <v>4088</v>
      </c>
      <c r="AD425" s="434">
        <f t="shared" si="1961"/>
        <v>4311</v>
      </c>
      <c r="AE425" s="434">
        <f t="shared" si="1961"/>
        <v>4697</v>
      </c>
      <c r="AF425" s="434">
        <f t="shared" si="1961"/>
        <v>4641</v>
      </c>
      <c r="AG425" s="434">
        <f t="shared" si="1961"/>
        <v>14419</v>
      </c>
      <c r="AH425" s="434">
        <f t="shared" si="1961"/>
        <v>3751</v>
      </c>
      <c r="AI425" s="434">
        <f t="shared" si="1961"/>
        <v>3780</v>
      </c>
      <c r="AJ425" s="434">
        <f t="shared" si="1961"/>
        <v>3979</v>
      </c>
      <c r="AK425" s="434">
        <f t="shared" si="1961"/>
        <v>4072</v>
      </c>
      <c r="AL425" s="434">
        <f t="shared" si="1961"/>
        <v>15582</v>
      </c>
      <c r="AM425" s="434">
        <f t="shared" si="1961"/>
        <v>3669</v>
      </c>
      <c r="AN425" s="434">
        <f t="shared" si="1961"/>
        <v>3781</v>
      </c>
      <c r="AO425" s="434">
        <f t="shared" si="1961"/>
        <v>3876</v>
      </c>
      <c r="AP425" s="434">
        <f t="shared" si="1961"/>
        <v>4221</v>
      </c>
      <c r="AQ425" s="434">
        <f t="shared" si="1961"/>
        <v>15527</v>
      </c>
      <c r="AR425" s="434">
        <f t="shared" si="1961"/>
        <v>4063</v>
      </c>
      <c r="AS425" s="434">
        <f t="shared" si="1961"/>
        <v>4155</v>
      </c>
      <c r="AT425" s="434">
        <f t="shared" si="1961"/>
        <v>3780</v>
      </c>
      <c r="AU425" s="434">
        <f>AV425-AT425-AS425-AR425</f>
        <v>4106</v>
      </c>
      <c r="AV425" s="434">
        <f t="shared" ref="AV425:CR425" si="1962">AV419</f>
        <v>16104</v>
      </c>
      <c r="AW425" s="434">
        <f t="shared" si="1962"/>
        <v>3527</v>
      </c>
      <c r="AX425" s="434">
        <f t="shared" si="1962"/>
        <v>3775</v>
      </c>
      <c r="AY425" s="434">
        <f t="shared" si="1962"/>
        <v>3985</v>
      </c>
      <c r="AZ425" s="434">
        <f t="shared" si="1962"/>
        <v>3985</v>
      </c>
      <c r="BA425" s="478">
        <f t="shared" si="1962"/>
        <v>15272</v>
      </c>
      <c r="BB425" s="434">
        <f t="shared" si="1962"/>
        <v>3833.3649999999998</v>
      </c>
      <c r="BC425" s="434">
        <f t="shared" si="1962"/>
        <v>3854.6769999999997</v>
      </c>
      <c r="BD425" s="434">
        <f t="shared" si="1962"/>
        <v>4100.17</v>
      </c>
      <c r="BE425" s="434">
        <f t="shared" si="1962"/>
        <v>8346.6</v>
      </c>
      <c r="BF425" s="478">
        <f t="shared" si="1962"/>
        <v>20134.812000000002</v>
      </c>
      <c r="BG425" s="434">
        <f t="shared" si="1962"/>
        <v>4049.2240000000002</v>
      </c>
      <c r="BH425" s="434">
        <f t="shared" si="1962"/>
        <v>4232.6049999999996</v>
      </c>
      <c r="BI425" s="434">
        <f t="shared" si="1962"/>
        <v>4485.6930000000002</v>
      </c>
      <c r="BJ425" s="434">
        <f t="shared" si="1962"/>
        <v>4562.33</v>
      </c>
      <c r="BK425" s="478">
        <f t="shared" si="1962"/>
        <v>17329.851999999999</v>
      </c>
      <c r="BL425" s="434">
        <f t="shared" si="1962"/>
        <v>5787.0179999999982</v>
      </c>
      <c r="BM425" s="434">
        <f t="shared" si="1962"/>
        <v>5802.6549999999997</v>
      </c>
      <c r="BN425" s="434">
        <f t="shared" ref="BN425:BP425" si="1963">BN419</f>
        <v>5746.4969999999994</v>
      </c>
      <c r="BO425" s="434">
        <f t="shared" si="1963"/>
        <v>8178.5440000000017</v>
      </c>
      <c r="BP425" s="478">
        <f t="shared" si="1963"/>
        <v>25514.713999999996</v>
      </c>
      <c r="BQ425" s="434">
        <f t="shared" si="1962"/>
        <v>5538.7260000000006</v>
      </c>
      <c r="BR425" s="434">
        <f t="shared" ref="BR425:BS425" si="1964">BR419</f>
        <v>5868.4000000000015</v>
      </c>
      <c r="BS425" s="434">
        <f t="shared" si="1964"/>
        <v>5918.0109999999986</v>
      </c>
      <c r="BT425" s="434">
        <f t="shared" ref="BT425:BU425" si="1965">BT419</f>
        <v>5917.8750000000009</v>
      </c>
      <c r="BU425" s="478">
        <f t="shared" si="1965"/>
        <v>23243.012000000002</v>
      </c>
      <c r="BV425" s="434">
        <f t="shared" ref="BV425:BW425" si="1966">BV419</f>
        <v>5734.7710000000006</v>
      </c>
      <c r="BW425" s="434">
        <f t="shared" si="1966"/>
        <v>6096.1549999999988</v>
      </c>
      <c r="BX425" s="434">
        <f t="shared" ref="BX425" si="1967">BX419</f>
        <v>6223.2090000000044</v>
      </c>
      <c r="BY425" s="434">
        <f t="shared" ref="BY425:CA425" si="1968">BY419</f>
        <v>6745.5059999999976</v>
      </c>
      <c r="BZ425" s="478">
        <f t="shared" si="1968"/>
        <v>27423.645000000004</v>
      </c>
      <c r="CA425" s="434">
        <f t="shared" si="1968"/>
        <v>6321.1409999999996</v>
      </c>
      <c r="CB425" s="434">
        <f t="shared" ref="CB425:CC425" si="1969">CB419</f>
        <v>6898.9420000000018</v>
      </c>
      <c r="CC425" s="434">
        <f t="shared" si="1969"/>
        <v>7059.496000000001</v>
      </c>
      <c r="CD425" s="434">
        <f t="shared" ref="CD425:CE425" si="1970">CD419</f>
        <v>6952.9070000000002</v>
      </c>
      <c r="CE425" s="478">
        <f t="shared" si="1970"/>
        <v>30167.647999999994</v>
      </c>
      <c r="CF425" s="434">
        <f t="shared" ref="CF425:CG425" si="1971">CF419</f>
        <v>7461.5730000000003</v>
      </c>
      <c r="CG425" s="434">
        <f t="shared" si="1971"/>
        <v>7670.0560000000014</v>
      </c>
      <c r="CH425" s="434">
        <f t="shared" ref="CH425:CI425" si="1972">CH419</f>
        <v>7238.8159999999989</v>
      </c>
      <c r="CI425" s="434">
        <f t="shared" si="1972"/>
        <v>7583.728000000001</v>
      </c>
      <c r="CJ425" s="478">
        <f t="shared" si="1962"/>
        <v>-1487.3830000000016</v>
      </c>
      <c r="CK425" s="434">
        <f t="shared" si="1962"/>
        <v>7192.4030000000002</v>
      </c>
      <c r="CL425" s="434">
        <f t="shared" ref="CL425" si="1973">CL419</f>
        <v>9128.010000000002</v>
      </c>
      <c r="CM425" s="434">
        <f t="shared" ref="CM425" si="1974">CM419</f>
        <v>10029.020999999997</v>
      </c>
      <c r="CN425" s="434"/>
      <c r="CO425" s="478">
        <f t="shared" si="1962"/>
        <v>-7808.9562586782404</v>
      </c>
      <c r="CP425" s="478">
        <f t="shared" si="1962"/>
        <v>-7869.1426994154872</v>
      </c>
      <c r="CQ425" s="478">
        <f t="shared" si="1962"/>
        <v>-8361.0769305775993</v>
      </c>
      <c r="CR425" s="478">
        <f t="shared" si="1962"/>
        <v>-9241.003308024483</v>
      </c>
      <c r="CS425" s="478">
        <f t="shared" ref="CS425:CT425" si="1975">CS419</f>
        <v>-10334.233831840298</v>
      </c>
      <c r="CT425" s="478">
        <f t="shared" si="1975"/>
        <v>-11323.606456158794</v>
      </c>
      <c r="CU425" s="347"/>
      <c r="CV425" s="1363"/>
      <c r="CW425" s="347"/>
      <c r="CX425" s="347"/>
      <c r="CY425" s="347"/>
      <c r="CZ425" s="347"/>
      <c r="DA425" s="347"/>
      <c r="DC425" s="407"/>
      <c r="DD425" s="417"/>
      <c r="DE425" s="417"/>
      <c r="DF425" s="417"/>
      <c r="DG425" s="417"/>
      <c r="DH425" s="417"/>
      <c r="DI425" s="417"/>
      <c r="DJ425" s="417"/>
      <c r="DK425" s="417"/>
      <c r="DL425" s="417"/>
    </row>
    <row r="426" spans="2:145" hidden="1" outlineLevel="1">
      <c r="B426" s="562" t="s">
        <v>275</v>
      </c>
      <c r="C426" s="434">
        <f t="shared" ref="C426:AT426" si="1976">C428-C425</f>
        <v>-1</v>
      </c>
      <c r="D426" s="434">
        <f t="shared" si="1976"/>
        <v>4333.3353801500161</v>
      </c>
      <c r="E426" s="434">
        <f t="shared" si="1976"/>
        <v>5033.5224755666186</v>
      </c>
      <c r="F426" s="434">
        <f t="shared" si="1976"/>
        <v>5393.4199282496902</v>
      </c>
      <c r="G426" s="434">
        <f t="shared" si="1976"/>
        <v>3112.2173669236472</v>
      </c>
      <c r="H426" s="434">
        <f t="shared" si="1976"/>
        <v>0.67000000000007276</v>
      </c>
      <c r="I426" s="434">
        <f t="shared" si="1976"/>
        <v>-1278</v>
      </c>
      <c r="J426" s="434">
        <f t="shared" si="1976"/>
        <v>-1181</v>
      </c>
      <c r="K426" s="434">
        <f t="shared" si="1976"/>
        <v>-1073</v>
      </c>
      <c r="L426" s="434">
        <f t="shared" si="1976"/>
        <v>-1068</v>
      </c>
      <c r="M426" s="434">
        <f t="shared" si="1976"/>
        <v>-3742</v>
      </c>
      <c r="N426" s="434">
        <f t="shared" si="1976"/>
        <v>-2937</v>
      </c>
      <c r="O426" s="434">
        <f t="shared" si="1976"/>
        <v>-2950</v>
      </c>
      <c r="P426" s="434">
        <f t="shared" si="1976"/>
        <v>-3083</v>
      </c>
      <c r="Q426" s="434">
        <f t="shared" si="1976"/>
        <v>-3325</v>
      </c>
      <c r="R426" s="434">
        <f t="shared" si="1976"/>
        <v>-4124</v>
      </c>
      <c r="S426" s="434">
        <f t="shared" si="1976"/>
        <v>-1186</v>
      </c>
      <c r="T426" s="434">
        <f t="shared" si="1976"/>
        <v>-1163</v>
      </c>
      <c r="U426" s="434">
        <f t="shared" si="1976"/>
        <v>-1175</v>
      </c>
      <c r="V426" s="434">
        <f t="shared" si="1976"/>
        <v>-1675</v>
      </c>
      <c r="W426" s="434">
        <f t="shared" si="1976"/>
        <v>-4685</v>
      </c>
      <c r="X426" s="434">
        <f t="shared" si="1976"/>
        <v>-1242</v>
      </c>
      <c r="Y426" s="434">
        <f t="shared" si="1976"/>
        <v>-1229</v>
      </c>
      <c r="Z426" s="434">
        <f t="shared" si="1976"/>
        <v>-1212</v>
      </c>
      <c r="AA426" s="434">
        <f t="shared" si="1976"/>
        <v>-1384</v>
      </c>
      <c r="AB426" s="434">
        <f t="shared" si="1976"/>
        <v>-5067</v>
      </c>
      <c r="AC426" s="434">
        <f t="shared" si="1976"/>
        <v>-2063</v>
      </c>
      <c r="AD426" s="434">
        <f t="shared" si="1976"/>
        <v>-2172</v>
      </c>
      <c r="AE426" s="434">
        <f t="shared" si="1976"/>
        <v>-2442</v>
      </c>
      <c r="AF426" s="434">
        <f t="shared" si="1976"/>
        <v>-2401</v>
      </c>
      <c r="AG426" s="434">
        <f t="shared" si="1976"/>
        <v>-5760</v>
      </c>
      <c r="AH426" s="434">
        <f t="shared" si="1976"/>
        <v>-1550</v>
      </c>
      <c r="AI426" s="434">
        <f t="shared" si="1976"/>
        <v>-1719</v>
      </c>
      <c r="AJ426" s="434">
        <f t="shared" si="1976"/>
        <v>-1918</v>
      </c>
      <c r="AK426" s="434">
        <f t="shared" si="1976"/>
        <v>-1772</v>
      </c>
      <c r="AL426" s="434">
        <f t="shared" si="1976"/>
        <v>-6959</v>
      </c>
      <c r="AM426" s="434">
        <f t="shared" si="1976"/>
        <v>-1792</v>
      </c>
      <c r="AN426" s="434">
        <f t="shared" si="1976"/>
        <v>-1781</v>
      </c>
      <c r="AO426" s="434">
        <f t="shared" si="1976"/>
        <v>-1680</v>
      </c>
      <c r="AP426" s="434">
        <f t="shared" si="1976"/>
        <v>-1901</v>
      </c>
      <c r="AQ426" s="434">
        <f t="shared" si="1976"/>
        <v>-7134</v>
      </c>
      <c r="AR426" s="434">
        <f t="shared" si="1976"/>
        <v>-1871</v>
      </c>
      <c r="AS426" s="434">
        <f t="shared" si="1976"/>
        <v>-2091</v>
      </c>
      <c r="AT426" s="434">
        <f t="shared" si="1976"/>
        <v>-1800</v>
      </c>
      <c r="AU426" s="417"/>
      <c r="AV426" s="434">
        <f>AV428-AV425</f>
        <v>-8047</v>
      </c>
      <c r="AW426" s="434">
        <f>AW428-AW425</f>
        <v>-1679</v>
      </c>
      <c r="AX426" s="434">
        <f>AX428-AX425</f>
        <v>-1702</v>
      </c>
      <c r="AY426" s="417"/>
      <c r="AZ426" s="417"/>
      <c r="BA426" s="434">
        <f>BA428-BA425</f>
        <v>-6951</v>
      </c>
      <c r="BB426" s="434">
        <f>BB428-BB425</f>
        <v>-1847.3649999999998</v>
      </c>
      <c r="BC426" s="434">
        <f>BC428-BC425</f>
        <v>-1854.6769999999997</v>
      </c>
      <c r="BD426" s="434">
        <f>BD428-BD425</f>
        <v>-1924.17</v>
      </c>
      <c r="BE426" s="434">
        <f>BE428-BE425</f>
        <v>-5995.6</v>
      </c>
      <c r="BF426" s="506">
        <f>SUM(BB426:BE426)</f>
        <v>-11621.812</v>
      </c>
      <c r="BG426" s="434">
        <f>BG428-BG425</f>
        <v>-1770.2240000000002</v>
      </c>
      <c r="BH426" s="434">
        <f>BH428-BH425</f>
        <v>-1761.6049999999996</v>
      </c>
      <c r="BI426" s="434">
        <f>BI428-BI425</f>
        <v>-1877.6930000000002</v>
      </c>
      <c r="BJ426" s="434">
        <f>BJ428-BJ425</f>
        <v>-1954.33</v>
      </c>
      <c r="BK426" s="506">
        <f>SUM(BG426:BJ426)</f>
        <v>-7363.8519999999999</v>
      </c>
      <c r="BL426" s="434">
        <f>BL428-BL425</f>
        <v>-2603.0179999999982</v>
      </c>
      <c r="BM426" s="434">
        <f>BM428-BM425</f>
        <v>-2496.6549999999997</v>
      </c>
      <c r="BN426" s="434">
        <f>BN428-BN425</f>
        <v>-2341.4969999999994</v>
      </c>
      <c r="BO426" s="434">
        <f>BO428-BO425</f>
        <v>-5013.5440000000017</v>
      </c>
      <c r="BP426" s="506">
        <f>SUM(BL426:BO426)</f>
        <v>-12454.714</v>
      </c>
      <c r="BQ426" s="434">
        <f>BQ428-BQ425</f>
        <v>-2419.7260000000006</v>
      </c>
      <c r="BR426" s="434">
        <f>BR428-BR425</f>
        <v>-2499.4000000000015</v>
      </c>
      <c r="BS426" s="434">
        <f>BS428-BS425</f>
        <v>-2500.0109999999986</v>
      </c>
      <c r="BT426" s="434">
        <f>BT428-BT425</f>
        <v>-2536.8750000000009</v>
      </c>
      <c r="BU426" s="506">
        <f>SUM(BQ426:BT426)</f>
        <v>-9956.0120000000024</v>
      </c>
      <c r="BV426" s="434">
        <f>BV428-BV425</f>
        <v>-2560.7710000000006</v>
      </c>
      <c r="BW426" s="434">
        <f t="shared" ref="BW426:BX426" si="1977">BW428-BW425</f>
        <v>-2536.1549999999988</v>
      </c>
      <c r="BX426" s="434">
        <f t="shared" si="1977"/>
        <v>-2580.2090000000044</v>
      </c>
      <c r="BY426" s="434">
        <f t="shared" ref="BY426" si="1978">BY428-BY425</f>
        <v>-2887.5059999999976</v>
      </c>
      <c r="BZ426" s="507">
        <f>SUM(BV426:BY426)</f>
        <v>-10564.641000000001</v>
      </c>
      <c r="CA426" s="434">
        <f>CA428-CA425</f>
        <v>-2738.1409999999996</v>
      </c>
      <c r="CB426" s="434">
        <f>CB428-CB425</f>
        <v>-2829.9420000000018</v>
      </c>
      <c r="CC426" s="434">
        <f>CC428-CC425</f>
        <v>-2956.496000000001</v>
      </c>
      <c r="CD426" s="434">
        <f>CD428-CD425</f>
        <v>-2822.9070000000002</v>
      </c>
      <c r="CE426" s="507">
        <f>SUM(CA426:CD426)</f>
        <v>-11347.486000000001</v>
      </c>
      <c r="CF426" s="434">
        <f>CF428-CF425</f>
        <v>-3007.5730000000003</v>
      </c>
      <c r="CG426" s="434">
        <f>CG428-CG425</f>
        <v>-3167.0560000000014</v>
      </c>
      <c r="CH426" s="434">
        <f>CH428-CH425</f>
        <v>-2899.8159999999989</v>
      </c>
      <c r="CI426" s="434">
        <f>CI428-CI425</f>
        <v>-3000.728000000001</v>
      </c>
      <c r="CJ426" s="507"/>
      <c r="CK426" s="434">
        <f>CK428-CK425</f>
        <v>-2871.4030000000002</v>
      </c>
      <c r="CL426" s="434">
        <f>CL428-CL425</f>
        <v>-4641.010000000002</v>
      </c>
      <c r="CM426" s="434">
        <f>CM428-CM425</f>
        <v>-5171.020999999997</v>
      </c>
      <c r="CN426" s="434"/>
      <c r="CO426" s="507"/>
      <c r="CP426" s="507"/>
      <c r="CQ426" s="507"/>
      <c r="CR426" s="507"/>
      <c r="CS426" s="507"/>
      <c r="CT426" s="507"/>
      <c r="CU426" s="347"/>
      <c r="CV426" s="1363"/>
      <c r="CW426" s="347"/>
      <c r="CX426" s="347"/>
      <c r="CY426" s="347"/>
      <c r="CZ426" s="347"/>
      <c r="DA426" s="347"/>
      <c r="DC426" s="407"/>
      <c r="DD426" s="417"/>
      <c r="DE426" s="417"/>
      <c r="DF426" s="417"/>
      <c r="DG426" s="417"/>
      <c r="DH426" s="417"/>
      <c r="DI426" s="417"/>
      <c r="DJ426" s="417"/>
      <c r="DK426" s="417"/>
      <c r="DL426" s="417"/>
    </row>
    <row r="427" spans="2:145" hidden="1" outlineLevel="1">
      <c r="B427" s="562"/>
      <c r="C427" s="434"/>
      <c r="D427" s="434"/>
      <c r="E427" s="434"/>
      <c r="F427" s="434"/>
      <c r="G427" s="434"/>
      <c r="H427" s="434"/>
      <c r="I427" s="434"/>
      <c r="J427" s="434"/>
      <c r="K427" s="434"/>
      <c r="L427" s="434"/>
      <c r="M427" s="434"/>
      <c r="N427" s="434"/>
      <c r="O427" s="434"/>
      <c r="P427" s="434"/>
      <c r="Q427" s="434"/>
      <c r="R427" s="434"/>
      <c r="S427" s="434"/>
      <c r="T427" s="434"/>
      <c r="U427" s="434"/>
      <c r="V427" s="434"/>
      <c r="W427" s="434"/>
      <c r="X427" s="434"/>
      <c r="Y427" s="434"/>
      <c r="Z427" s="434"/>
      <c r="AA427" s="434"/>
      <c r="AB427" s="434"/>
      <c r="AC427" s="434"/>
      <c r="AD427" s="434"/>
      <c r="AE427" s="434"/>
      <c r="AF427" s="434"/>
      <c r="AG427" s="434"/>
      <c r="AH427" s="434"/>
      <c r="AI427" s="434"/>
      <c r="AJ427" s="434"/>
      <c r="AK427" s="434"/>
      <c r="AL427" s="434"/>
      <c r="AM427" s="434"/>
      <c r="AN427" s="434"/>
      <c r="AO427" s="434"/>
      <c r="AP427" s="434"/>
      <c r="AQ427" s="434"/>
      <c r="AR427" s="434"/>
      <c r="AS427" s="434"/>
      <c r="AT427" s="434"/>
      <c r="AU427" s="417"/>
      <c r="AV427" s="417"/>
      <c r="AW427" s="434"/>
      <c r="AX427" s="434"/>
      <c r="AY427" s="417"/>
      <c r="AZ427" s="417"/>
      <c r="BA427" s="417"/>
      <c r="BB427" s="434"/>
      <c r="BC427" s="434"/>
      <c r="BD427" s="434"/>
      <c r="BE427" s="434"/>
      <c r="BF427" s="506"/>
      <c r="BG427" s="434"/>
      <c r="BH427" s="434"/>
      <c r="BI427" s="434"/>
      <c r="BJ427" s="434"/>
      <c r="BK427" s="506"/>
      <c r="BL427" s="434"/>
      <c r="BM427" s="434"/>
      <c r="BN427" s="434"/>
      <c r="BO427" s="434"/>
      <c r="BP427" s="506"/>
      <c r="BQ427" s="434"/>
      <c r="BR427" s="434"/>
      <c r="BS427" s="434"/>
      <c r="BT427" s="434"/>
      <c r="BU427" s="506"/>
      <c r="BV427" s="434"/>
      <c r="BW427" s="434"/>
      <c r="BX427" s="434"/>
      <c r="BY427" s="434"/>
      <c r="BZ427" s="506"/>
      <c r="CA427" s="434"/>
      <c r="CB427" s="434"/>
      <c r="CC427" s="434"/>
      <c r="CD427" s="434"/>
      <c r="CE427" s="506"/>
      <c r="CF427" s="434"/>
      <c r="CG427" s="434"/>
      <c r="CH427" s="434"/>
      <c r="CI427" s="434"/>
      <c r="CJ427" s="506"/>
      <c r="CK427" s="434"/>
      <c r="CL427" s="434"/>
      <c r="CM427" s="434"/>
      <c r="CN427" s="434"/>
      <c r="CO427" s="506"/>
      <c r="CP427" s="506"/>
      <c r="CQ427" s="506"/>
      <c r="CR427" s="506"/>
      <c r="CS427" s="506"/>
      <c r="CT427" s="506"/>
      <c r="CU427" s="347"/>
      <c r="CV427" s="1363"/>
      <c r="CW427" s="347"/>
      <c r="CX427" s="347"/>
      <c r="CY427" s="347"/>
      <c r="CZ427" s="347"/>
      <c r="DA427" s="347"/>
      <c r="DC427" s="407"/>
      <c r="DD427" s="417"/>
      <c r="DE427" s="417"/>
      <c r="DF427" s="417"/>
      <c r="DG427" s="417"/>
      <c r="DH427" s="417"/>
      <c r="DI427" s="417"/>
      <c r="DJ427" s="417"/>
      <c r="DK427" s="417"/>
      <c r="DL427" s="417"/>
    </row>
    <row r="428" spans="2:145" hidden="1" outlineLevel="1">
      <c r="B428" s="559" t="s">
        <v>574</v>
      </c>
      <c r="C428" s="508">
        <v>3509</v>
      </c>
      <c r="D428" s="509">
        <v>1134</v>
      </c>
      <c r="E428" s="509">
        <v>1490</v>
      </c>
      <c r="F428" s="509">
        <v>1486</v>
      </c>
      <c r="G428" s="509">
        <v>1022</v>
      </c>
      <c r="H428" s="508">
        <v>5132</v>
      </c>
      <c r="I428" s="509">
        <v>1113</v>
      </c>
      <c r="J428" s="509">
        <v>1455</v>
      </c>
      <c r="K428" s="509">
        <v>1672</v>
      </c>
      <c r="L428" s="509">
        <v>1965</v>
      </c>
      <c r="M428" s="508">
        <v>6205</v>
      </c>
      <c r="N428" s="509">
        <v>2142</v>
      </c>
      <c r="O428" s="509">
        <v>2288</v>
      </c>
      <c r="P428" s="509">
        <v>2362</v>
      </c>
      <c r="Q428" s="509">
        <v>2495</v>
      </c>
      <c r="R428" s="508">
        <v>9287</v>
      </c>
      <c r="S428" s="509">
        <v>2363</v>
      </c>
      <c r="T428" s="509">
        <v>2395</v>
      </c>
      <c r="U428" s="509">
        <v>2270</v>
      </c>
      <c r="V428" s="509">
        <v>2320</v>
      </c>
      <c r="W428" s="508">
        <v>9348</v>
      </c>
      <c r="X428" s="509">
        <v>2391</v>
      </c>
      <c r="Y428" s="509">
        <v>2546</v>
      </c>
      <c r="Z428" s="509">
        <v>2505</v>
      </c>
      <c r="AA428" s="509">
        <v>2303</v>
      </c>
      <c r="AB428" s="508">
        <v>9745</v>
      </c>
      <c r="AC428" s="509">
        <v>2025</v>
      </c>
      <c r="AD428" s="509">
        <v>2139</v>
      </c>
      <c r="AE428" s="509">
        <v>2255</v>
      </c>
      <c r="AF428" s="509">
        <v>2240</v>
      </c>
      <c r="AG428" s="508">
        <v>8659</v>
      </c>
      <c r="AH428" s="509">
        <v>2201</v>
      </c>
      <c r="AI428" s="509">
        <v>2061</v>
      </c>
      <c r="AJ428" s="509">
        <v>2061</v>
      </c>
      <c r="AK428" s="509">
        <v>2300</v>
      </c>
      <c r="AL428" s="508">
        <v>8623</v>
      </c>
      <c r="AM428" s="509">
        <v>1877</v>
      </c>
      <c r="AN428" s="509">
        <v>2000</v>
      </c>
      <c r="AO428" s="509">
        <v>2196</v>
      </c>
      <c r="AP428" s="509">
        <v>2320</v>
      </c>
      <c r="AQ428" s="508">
        <v>8393</v>
      </c>
      <c r="AR428" s="509">
        <v>2192</v>
      </c>
      <c r="AS428" s="509">
        <v>2064</v>
      </c>
      <c r="AT428" s="509">
        <v>1980</v>
      </c>
      <c r="AU428" s="509">
        <f>AV428-AT428-AS428-AR428</f>
        <v>1821</v>
      </c>
      <c r="AV428" s="508">
        <v>8057</v>
      </c>
      <c r="AW428" s="508">
        <f>'[16]Reported Group Highlights'!T$42</f>
        <v>1848</v>
      </c>
      <c r="AX428" s="508">
        <f>'[16]Reported Group Highlights'!U$42</f>
        <v>2073</v>
      </c>
      <c r="AY428" s="508">
        <f>'[16]Reported Group Highlights'!V$42</f>
        <v>2281</v>
      </c>
      <c r="AZ428" s="508">
        <f>'[16]Reported Group Highlights'!W$42</f>
        <v>2119</v>
      </c>
      <c r="BA428" s="508">
        <v>8321</v>
      </c>
      <c r="BB428" s="508">
        <f>'[16]Reported Group Highlights'!X$42</f>
        <v>1986</v>
      </c>
      <c r="BC428" s="508">
        <f>'[16]Reported Group Highlights'!Y$42</f>
        <v>2000</v>
      </c>
      <c r="BD428" s="508">
        <f>'[16]Reported Group Highlights'!Z$42</f>
        <v>2176</v>
      </c>
      <c r="BE428" s="508">
        <f>'[16]Reported Group Highlights'!AA$42</f>
        <v>2351</v>
      </c>
      <c r="BF428" s="510">
        <f>SUM(BB428:BE428)</f>
        <v>8513</v>
      </c>
      <c r="BG428" s="508">
        <f>'[16]Reported Group Highlights'!AB$42</f>
        <v>2279</v>
      </c>
      <c r="BH428" s="508">
        <f>'[16]Reported Group Highlights'!AC$42</f>
        <v>2471</v>
      </c>
      <c r="BI428" s="508">
        <f>'[16]Reported Group Highlights'!AD$42</f>
        <v>2608</v>
      </c>
      <c r="BJ428" s="508">
        <f>'[16]Reported Group Highlights'!AE$42</f>
        <v>2608</v>
      </c>
      <c r="BK428" s="510">
        <f>SUM(BG428:BJ428)</f>
        <v>9966</v>
      </c>
      <c r="BL428" s="508">
        <f>'[16]Reported Group Highlights'!AF$42</f>
        <v>3184</v>
      </c>
      <c r="BM428" s="508">
        <f>'[16]Reported Group Highlights'!AG$42</f>
        <v>3306</v>
      </c>
      <c r="BN428" s="508">
        <f>'[16]Reported Group Highlights'!AH$42</f>
        <v>3405</v>
      </c>
      <c r="BO428" s="508">
        <f>'[16]Reported Group Highlights'!AI$42</f>
        <v>3165</v>
      </c>
      <c r="BP428" s="510">
        <f>SUM(BL428:BO428)</f>
        <v>13060</v>
      </c>
      <c r="BQ428" s="508">
        <f>'[16]Reported Group Highlights'!AJ$42</f>
        <v>3119</v>
      </c>
      <c r="BR428" s="508">
        <f>'[16]Reported Group Highlights'!AK$42</f>
        <v>3369</v>
      </c>
      <c r="BS428" s="508">
        <f>'[16]Reported Group Highlights'!AL$42</f>
        <v>3418</v>
      </c>
      <c r="BT428" s="508">
        <f>'[16]Reported Group Highlights'!AM$42</f>
        <v>3381</v>
      </c>
      <c r="BU428" s="510">
        <f>SUM(BQ428:BT428)</f>
        <v>13287</v>
      </c>
      <c r="BV428" s="508">
        <f>'[16]Reported Group Highlights'!AN$42</f>
        <v>3174</v>
      </c>
      <c r="BW428" s="508">
        <f>'[16]Reported Group Highlights'!AO$42</f>
        <v>3560</v>
      </c>
      <c r="BX428" s="508">
        <f>'[16]Reported Group Highlights'!AP$42</f>
        <v>3643</v>
      </c>
      <c r="BY428" s="508">
        <f>'[16]Reported Group Highlights'!AQ$42</f>
        <v>3858</v>
      </c>
      <c r="BZ428" s="510">
        <f>SUM(BV428:BY428)</f>
        <v>14235</v>
      </c>
      <c r="CA428" s="508">
        <f>'[16]Reported Group Highlights'!AR$42</f>
        <v>3583</v>
      </c>
      <c r="CB428" s="508">
        <f>'[16]Reported Group Highlights'!AS$42</f>
        <v>4069</v>
      </c>
      <c r="CC428" s="508">
        <f>'[16]Reported Group Highlights'!AT$42</f>
        <v>4103</v>
      </c>
      <c r="CD428" s="508">
        <f>'[16]Reported Group Highlights'!AU$42</f>
        <v>4130</v>
      </c>
      <c r="CE428" s="510">
        <f>SUM(CA428:CD428)</f>
        <v>15885</v>
      </c>
      <c r="CF428" s="508">
        <f>'[16]Reported Group Highlights'!AV$42</f>
        <v>4454</v>
      </c>
      <c r="CG428" s="508">
        <f>'[16]Reported Group Highlights'!AW$42</f>
        <v>4503</v>
      </c>
      <c r="CH428" s="508">
        <f>'[16]Reported Group Highlights'!AX$42</f>
        <v>4339</v>
      </c>
      <c r="CI428" s="508">
        <f>'[16]Reported Group Highlights'!AY$42</f>
        <v>4583</v>
      </c>
      <c r="CJ428" s="510">
        <f t="shared" ref="CJ428:CT428" si="1979">CJ236-CJ246</f>
        <v>17879</v>
      </c>
      <c r="CK428" s="508">
        <f>'[16]Reported Group Highlights'!AZ$42</f>
        <v>4321</v>
      </c>
      <c r="CL428" s="508">
        <f>'[16]Reported Group Highlights'!BA$42</f>
        <v>4487</v>
      </c>
      <c r="CM428" s="508">
        <f>'[16]Reported Group Highlights'!BB$42</f>
        <v>4858</v>
      </c>
      <c r="CN428" s="508"/>
      <c r="CO428" s="510">
        <f t="shared" si="1979"/>
        <v>18547.777952688124</v>
      </c>
      <c r="CP428" s="510">
        <f t="shared" si="1979"/>
        <v>22026.102884302556</v>
      </c>
      <c r="CQ428" s="510">
        <f t="shared" si="1979"/>
        <v>24266.810115801967</v>
      </c>
      <c r="CR428" s="510">
        <f t="shared" si="1979"/>
        <v>26620.859772424206</v>
      </c>
      <c r="CS428" s="510">
        <f t="shared" si="1979"/>
        <v>27939.493298103363</v>
      </c>
      <c r="CT428" s="510">
        <f t="shared" si="1979"/>
        <v>29320.919629442382</v>
      </c>
      <c r="CU428" s="347"/>
      <c r="CV428" s="1363"/>
      <c r="CW428" s="347"/>
      <c r="CX428" s="347"/>
      <c r="CY428" s="347"/>
      <c r="CZ428" s="347"/>
      <c r="DA428" s="347"/>
      <c r="DC428" s="407" t="s">
        <v>68</v>
      </c>
      <c r="DD428" s="417"/>
      <c r="DE428" s="417"/>
      <c r="DF428" s="417"/>
      <c r="DG428" s="417"/>
      <c r="DH428" s="417">
        <v>5.1930164441750755</v>
      </c>
      <c r="DI428" s="417">
        <v>1.8384130777932057</v>
      </c>
      <c r="DJ428" s="417" t="e">
        <f>#REF!/#REF!-1</f>
        <v>#REF!</v>
      </c>
      <c r="DK428" s="417" t="e">
        <f>#REF!/#REF!-1</f>
        <v>#REF!</v>
      </c>
      <c r="DL428" s="417" t="e">
        <f>#REF!/#REF!-1</f>
        <v>#REF!</v>
      </c>
    </row>
    <row r="429" spans="2:145" hidden="1" outlineLevel="1">
      <c r="B429" s="562" t="s">
        <v>561</v>
      </c>
      <c r="C429" s="417"/>
      <c r="D429" s="417"/>
      <c r="E429" s="417"/>
      <c r="F429" s="417"/>
      <c r="G429" s="417"/>
      <c r="H429" s="417">
        <f>H428/C428-1</f>
        <v>0.46252493587916788</v>
      </c>
      <c r="I429" s="417"/>
      <c r="J429" s="417"/>
      <c r="K429" s="417"/>
      <c r="L429" s="417"/>
      <c r="M429" s="417">
        <f>M428/H428-1</f>
        <v>0.20908028059236172</v>
      </c>
      <c r="N429" s="417"/>
      <c r="O429" s="417"/>
      <c r="P429" s="417"/>
      <c r="Q429" s="417"/>
      <c r="R429" s="417">
        <f>R428/M428-1</f>
        <v>0.49669621273166809</v>
      </c>
      <c r="S429" s="417"/>
      <c r="T429" s="417"/>
      <c r="U429" s="417"/>
      <c r="V429" s="417"/>
      <c r="W429" s="417">
        <f>W428/R428-1</f>
        <v>6.5683213093572501E-3</v>
      </c>
      <c r="X429" s="417"/>
      <c r="Y429" s="417"/>
      <c r="Z429" s="417"/>
      <c r="AA429" s="417"/>
      <c r="AB429" s="417">
        <f>AB428/W428-1</f>
        <v>4.2468977321352241E-2</v>
      </c>
      <c r="AC429" s="417"/>
      <c r="AD429" s="417"/>
      <c r="AE429" s="417"/>
      <c r="AF429" s="417"/>
      <c r="AG429" s="417">
        <f>AG428/AB428-1</f>
        <v>-0.1114417650076962</v>
      </c>
      <c r="AH429" s="417"/>
      <c r="AI429" s="417"/>
      <c r="AJ429" s="417"/>
      <c r="AK429" s="417"/>
      <c r="AL429" s="417">
        <f>AL428/AG428-1</f>
        <v>-4.1575239635062156E-3</v>
      </c>
      <c r="AM429" s="417"/>
      <c r="AN429" s="417"/>
      <c r="AO429" s="417"/>
      <c r="AP429" s="417"/>
      <c r="AQ429" s="417">
        <f t="shared" ref="AQ429:BV429" si="1980">AQ428/AL428-1</f>
        <v>-2.6672851675750953E-2</v>
      </c>
      <c r="AR429" s="417">
        <f t="shared" si="1980"/>
        <v>0.16782099094299419</v>
      </c>
      <c r="AS429" s="417">
        <f t="shared" si="1980"/>
        <v>3.2000000000000028E-2</v>
      </c>
      <c r="AT429" s="417">
        <f t="shared" si="1980"/>
        <v>-9.8360655737704916E-2</v>
      </c>
      <c r="AU429" s="417">
        <f t="shared" si="1980"/>
        <v>-0.21508620689655178</v>
      </c>
      <c r="AV429" s="417">
        <f t="shared" si="1980"/>
        <v>-4.0033361134278578E-2</v>
      </c>
      <c r="AW429" s="417">
        <f t="shared" si="1980"/>
        <v>-0.15693430656934304</v>
      </c>
      <c r="AX429" s="417">
        <f t="shared" si="1980"/>
        <v>4.3604651162789665E-3</v>
      </c>
      <c r="AY429" s="417">
        <f t="shared" si="1980"/>
        <v>0.15202020202020194</v>
      </c>
      <c r="AZ429" s="417">
        <f t="shared" si="1980"/>
        <v>0.1636463481603514</v>
      </c>
      <c r="BA429" s="417">
        <f t="shared" si="1980"/>
        <v>3.2766538413801616E-2</v>
      </c>
      <c r="BB429" s="417">
        <f t="shared" si="1980"/>
        <v>7.4675324675324672E-2</v>
      </c>
      <c r="BC429" s="417">
        <f t="shared" si="1980"/>
        <v>-3.5214664737096002E-2</v>
      </c>
      <c r="BD429" s="417">
        <f t="shared" si="1980"/>
        <v>-4.6032441911442401E-2</v>
      </c>
      <c r="BE429" s="417">
        <f t="shared" si="1980"/>
        <v>0.10948560641812177</v>
      </c>
      <c r="BF429" s="417">
        <f t="shared" si="1980"/>
        <v>2.3074149741617589E-2</v>
      </c>
      <c r="BG429" s="417">
        <f t="shared" si="1980"/>
        <v>0.14753272910372606</v>
      </c>
      <c r="BH429" s="417">
        <f t="shared" si="1980"/>
        <v>0.23550000000000004</v>
      </c>
      <c r="BI429" s="417">
        <f t="shared" si="1980"/>
        <v>0.19852941176470584</v>
      </c>
      <c r="BJ429" s="417">
        <f t="shared" si="1980"/>
        <v>0.1093151850276477</v>
      </c>
      <c r="BK429" s="417">
        <f t="shared" si="1980"/>
        <v>0.17068013626218725</v>
      </c>
      <c r="BL429" s="417">
        <f t="shared" si="1980"/>
        <v>0.39710399297937693</v>
      </c>
      <c r="BM429" s="417">
        <f t="shared" si="1980"/>
        <v>0.33791987049777417</v>
      </c>
      <c r="BN429" s="417">
        <f t="shared" si="1980"/>
        <v>0.30559815950920255</v>
      </c>
      <c r="BO429" s="417">
        <f t="shared" si="1980"/>
        <v>0.2135736196319018</v>
      </c>
      <c r="BP429" s="417">
        <f t="shared" si="1980"/>
        <v>0.3104555488661449</v>
      </c>
      <c r="BQ429" s="417">
        <f t="shared" si="1980"/>
        <v>-2.0414572864321578E-2</v>
      </c>
      <c r="BR429" s="417">
        <f t="shared" si="1980"/>
        <v>1.9056261343012748E-2</v>
      </c>
      <c r="BS429" s="417">
        <f t="shared" si="1980"/>
        <v>3.8179148311305866E-3</v>
      </c>
      <c r="BT429" s="417">
        <f t="shared" si="1980"/>
        <v>6.824644549763037E-2</v>
      </c>
      <c r="BU429" s="417">
        <f t="shared" si="1980"/>
        <v>1.7381316998468677E-2</v>
      </c>
      <c r="BV429" s="417">
        <f t="shared" si="1980"/>
        <v>1.7633857005450393E-2</v>
      </c>
      <c r="BW429" s="417">
        <f t="shared" ref="BW429:CM429" si="1981">BW428/BR428-1</f>
        <v>5.6693380825170614E-2</v>
      </c>
      <c r="BX429" s="417">
        <f t="shared" si="1981"/>
        <v>6.5827969572849643E-2</v>
      </c>
      <c r="BY429" s="417">
        <f t="shared" si="1981"/>
        <v>0.1410825199645076</v>
      </c>
      <c r="BZ429" s="417">
        <f t="shared" si="1981"/>
        <v>7.1347934070896457E-2</v>
      </c>
      <c r="CA429" s="417">
        <f t="shared" si="1981"/>
        <v>0.12885948330182728</v>
      </c>
      <c r="CB429" s="417">
        <f t="shared" si="1981"/>
        <v>0.14297752808988773</v>
      </c>
      <c r="CC429" s="417">
        <f t="shared" si="1981"/>
        <v>0.12626955805654672</v>
      </c>
      <c r="CD429" s="417">
        <f t="shared" si="1981"/>
        <v>7.0502851218247731E-2</v>
      </c>
      <c r="CE429" s="417">
        <f t="shared" si="1981"/>
        <v>0.11591148577449939</v>
      </c>
      <c r="CF429" s="417">
        <f t="shared" si="1981"/>
        <v>0.24309238068657546</v>
      </c>
      <c r="CG429" s="417">
        <f t="shared" si="1981"/>
        <v>0.10666011304988943</v>
      </c>
      <c r="CH429" s="417">
        <f t="shared" si="1981"/>
        <v>5.7518888618084407E-2</v>
      </c>
      <c r="CI429" s="417">
        <f t="shared" si="1981"/>
        <v>0.10968523002421304</v>
      </c>
      <c r="CJ429" s="417">
        <f>CJ428/CE428-1</f>
        <v>0.12552722694365759</v>
      </c>
      <c r="CK429" s="417">
        <f t="shared" si="1981"/>
        <v>-2.9860799281544725E-2</v>
      </c>
      <c r="CL429" s="417">
        <f t="shared" si="1981"/>
        <v>-3.5531867643793236E-3</v>
      </c>
      <c r="CM429" s="417">
        <f t="shared" si="1981"/>
        <v>0.11961281401244528</v>
      </c>
      <c r="CN429" s="417"/>
      <c r="CO429" s="417">
        <f>CO428/CJ428-1</f>
        <v>3.7405780674988787E-2</v>
      </c>
      <c r="CP429" s="417">
        <f t="shared" ref="CP429:CR429" si="1982">CP428/CO428-1</f>
        <v>0.18753324201351673</v>
      </c>
      <c r="CQ429" s="417">
        <f t="shared" si="1982"/>
        <v>0.1017296270370327</v>
      </c>
      <c r="CR429" s="417">
        <f t="shared" si="1982"/>
        <v>9.7006967351235707E-2</v>
      </c>
      <c r="CS429" s="417">
        <f t="shared" ref="CS429" si="1983">CS428/CR428-1</f>
        <v>4.9533844396907556E-2</v>
      </c>
      <c r="CT429" s="417">
        <f t="shared" ref="CT429" si="1984">CT428/CS428-1</f>
        <v>4.9443499801508306E-2</v>
      </c>
      <c r="CU429" s="347"/>
      <c r="CV429" s="1363"/>
      <c r="CW429" s="347"/>
      <c r="CX429" s="347"/>
      <c r="CY429" s="347"/>
      <c r="CZ429" s="347"/>
      <c r="DA429" s="347"/>
      <c r="DC429" s="414" t="s">
        <v>86</v>
      </c>
      <c r="DD429" s="511">
        <v>280</v>
      </c>
      <c r="DE429" s="511">
        <v>299.89999999999998</v>
      </c>
      <c r="DF429" s="511">
        <v>313.02643648481643</v>
      </c>
      <c r="DG429" s="511">
        <v>335.86795473263163</v>
      </c>
      <c r="DH429" s="511">
        <v>347.58602270691694</v>
      </c>
      <c r="DI429" s="511">
        <v>350.83530812125002</v>
      </c>
      <c r="DJ429" s="511">
        <f>DN369</f>
        <v>0</v>
      </c>
      <c r="DK429" s="511">
        <f>DO369</f>
        <v>0</v>
      </c>
      <c r="DL429" s="511">
        <f>DP369</f>
        <v>0</v>
      </c>
    </row>
    <row r="430" spans="2:145" hidden="1" outlineLevel="1">
      <c r="B430" s="562" t="s">
        <v>4</v>
      </c>
      <c r="C430" s="417">
        <f t="shared" ref="C430:AH430" si="1985">C428/C455</f>
        <v>0.43917396745932413</v>
      </c>
      <c r="D430" s="417">
        <f t="shared" si="1985"/>
        <v>-0.29559459422331735</v>
      </c>
      <c r="E430" s="417">
        <f t="shared" si="1985"/>
        <v>-0.35220236001711247</v>
      </c>
      <c r="F430" s="417">
        <f t="shared" si="1985"/>
        <v>-0.32009168127112092</v>
      </c>
      <c r="G430" s="417">
        <f t="shared" si="1985"/>
        <v>-0.29968764158923539</v>
      </c>
      <c r="H430" s="417">
        <f t="shared" si="1985"/>
        <v>0.42549204772607996</v>
      </c>
      <c r="I430" s="417">
        <f t="shared" si="1985"/>
        <v>0.74051896207584833</v>
      </c>
      <c r="J430" s="417">
        <f t="shared" si="1985"/>
        <v>0.85337243401759533</v>
      </c>
      <c r="K430" s="417">
        <f t="shared" si="1985"/>
        <v>0.91969196919691965</v>
      </c>
      <c r="L430" s="417">
        <f t="shared" si="1985"/>
        <v>0.96418056918547601</v>
      </c>
      <c r="M430" s="417">
        <f t="shared" si="1985"/>
        <v>0.45268840738308891</v>
      </c>
      <c r="N430" s="417">
        <f t="shared" si="1985"/>
        <v>0.52167559668777397</v>
      </c>
      <c r="O430" s="417">
        <f t="shared" si="1985"/>
        <v>0.53696315418915752</v>
      </c>
      <c r="P430" s="417">
        <f t="shared" si="1985"/>
        <v>0.53174245835209366</v>
      </c>
      <c r="Q430" s="417">
        <f t="shared" si="1985"/>
        <v>0.53644377553214362</v>
      </c>
      <c r="R430" s="417">
        <f t="shared" si="1985"/>
        <v>0.53190148911798396</v>
      </c>
      <c r="S430" s="417">
        <f t="shared" si="1985"/>
        <v>0.52721999107541273</v>
      </c>
      <c r="T430" s="417">
        <f t="shared" si="1985"/>
        <v>0.52602679551943776</v>
      </c>
      <c r="U430" s="417">
        <f t="shared" si="1985"/>
        <v>0.47489539748953974</v>
      </c>
      <c r="V430" s="417">
        <f t="shared" si="1985"/>
        <v>0.46764765168312838</v>
      </c>
      <c r="W430" s="417">
        <f t="shared" si="1985"/>
        <v>0.51188259774394917</v>
      </c>
      <c r="X430" s="417">
        <f t="shared" si="1985"/>
        <v>0.48865726548129984</v>
      </c>
      <c r="Y430" s="417">
        <f t="shared" si="1985"/>
        <v>0.48689998087588449</v>
      </c>
      <c r="Z430" s="417">
        <f t="shared" si="1985"/>
        <v>0.44940796555435952</v>
      </c>
      <c r="AA430" s="417">
        <f t="shared" si="1985"/>
        <v>0.43675327138251469</v>
      </c>
      <c r="AB430" s="417">
        <f t="shared" si="1985"/>
        <v>0.46473365444227194</v>
      </c>
      <c r="AC430" s="417">
        <f t="shared" si="1985"/>
        <v>0.35168461271274748</v>
      </c>
      <c r="AD430" s="417">
        <f t="shared" si="1985"/>
        <v>0.3532617671345995</v>
      </c>
      <c r="AE430" s="417">
        <f t="shared" si="1985"/>
        <v>0.35300563556668751</v>
      </c>
      <c r="AF430" s="417">
        <f t="shared" si="1985"/>
        <v>0.35093216355945478</v>
      </c>
      <c r="AG430" s="417">
        <f t="shared" si="1985"/>
        <v>0.40717577353522055</v>
      </c>
      <c r="AH430" s="417">
        <f t="shared" si="1985"/>
        <v>0.39967314327219899</v>
      </c>
      <c r="AI430" s="417">
        <f t="shared" ref="AI430:BM430" si="1986">AI428/AI455</f>
        <v>0.34116868068200629</v>
      </c>
      <c r="AJ430" s="417">
        <f t="shared" si="1986"/>
        <v>0.34315684315684314</v>
      </c>
      <c r="AK430" s="417">
        <f t="shared" si="1986"/>
        <v>0.38943447341686421</v>
      </c>
      <c r="AL430" s="417">
        <f t="shared" si="1986"/>
        <v>0.3675618073316283</v>
      </c>
      <c r="AM430" s="417">
        <f t="shared" si="1986"/>
        <v>0.34245575624885971</v>
      </c>
      <c r="AN430" s="417">
        <f t="shared" si="1986"/>
        <v>0.35644270183567989</v>
      </c>
      <c r="AO430" s="417">
        <f t="shared" si="1986"/>
        <v>0.37667238421955401</v>
      </c>
      <c r="AP430" s="417">
        <f t="shared" si="1986"/>
        <v>0.3884145320609409</v>
      </c>
      <c r="AQ430" s="417">
        <f t="shared" si="1986"/>
        <v>0.36690710382513664</v>
      </c>
      <c r="AR430" s="417">
        <f t="shared" si="1986"/>
        <v>0.3903133903133903</v>
      </c>
      <c r="AS430" s="417">
        <f t="shared" si="1986"/>
        <v>0.39404352806414661</v>
      </c>
      <c r="AT430" s="417">
        <f t="shared" si="1986"/>
        <v>0.37858508604206503</v>
      </c>
      <c r="AU430" s="417">
        <f t="shared" si="1986"/>
        <v>0.34632940281475844</v>
      </c>
      <c r="AV430" s="417">
        <f t="shared" si="1986"/>
        <v>0.3775185081060819</v>
      </c>
      <c r="AW430" s="417">
        <f t="shared" si="1986"/>
        <v>0.3509304975313331</v>
      </c>
      <c r="AX430" s="417">
        <f t="shared" si="1986"/>
        <v>0.36580201164637377</v>
      </c>
      <c r="AY430" s="417">
        <f t="shared" si="1986"/>
        <v>0.38207705192629815</v>
      </c>
      <c r="AZ430" s="417">
        <f t="shared" si="1986"/>
        <v>0.35482250502344276</v>
      </c>
      <c r="BA430" s="417">
        <f t="shared" si="1986"/>
        <v>0.36375956284153005</v>
      </c>
      <c r="BB430" s="417">
        <f t="shared" si="1986"/>
        <v>0.36100131512815459</v>
      </c>
      <c r="BC430" s="417">
        <f t="shared" si="1986"/>
        <v>0.36070631346063986</v>
      </c>
      <c r="BD430" s="417">
        <f t="shared" si="1986"/>
        <v>0.372209497842177</v>
      </c>
      <c r="BE430" s="417">
        <f t="shared" si="1986"/>
        <v>0.38881354810968144</v>
      </c>
      <c r="BF430" s="417">
        <f t="shared" si="1986"/>
        <v>0.37111773704758555</v>
      </c>
      <c r="BG430" s="417">
        <f t="shared" si="1986"/>
        <v>0.3819196329817684</v>
      </c>
      <c r="BH430" s="417">
        <f t="shared" si="1986"/>
        <v>0.3928704584787121</v>
      </c>
      <c r="BI430" s="417">
        <f t="shared" si="1986"/>
        <v>0.40348450955204707</v>
      </c>
      <c r="BJ430" s="417">
        <f t="shared" si="1986"/>
        <v>0.40671643536748731</v>
      </c>
      <c r="BK430" s="417">
        <f t="shared" si="1986"/>
        <v>0.39653279301529332</v>
      </c>
      <c r="BL430" s="417">
        <f t="shared" si="1986"/>
        <v>0.49006095133082184</v>
      </c>
      <c r="BM430" s="417">
        <f t="shared" si="1986"/>
        <v>0.50204942772287786</v>
      </c>
      <c r="BN430" s="417">
        <f t="shared" ref="BN430:BP430" si="1987">BN428/BN455</f>
        <v>0.51795020711163131</v>
      </c>
      <c r="BO430" s="417">
        <f t="shared" si="1987"/>
        <v>0.49819422302478966</v>
      </c>
      <c r="BP430" s="417">
        <f t="shared" si="1987"/>
        <v>0.50213204265661693</v>
      </c>
      <c r="BQ430" s="417">
        <f t="shared" ref="BQ430:CR430" si="1988">BQ428/BQ455</f>
        <v>0.49925064383164541</v>
      </c>
      <c r="BR430" s="417">
        <f t="shared" ref="BR430:BS430" si="1989">BR428/BR455</f>
        <v>0.50082981062716558</v>
      </c>
      <c r="BS430" s="417">
        <f t="shared" si="1989"/>
        <v>0.50073293354784665</v>
      </c>
      <c r="BT430" s="417">
        <f t="shared" ref="BT430:BU430" si="1990">BT428/BT455</f>
        <v>0.48620499386167992</v>
      </c>
      <c r="BU430" s="417">
        <f t="shared" si="1990"/>
        <v>0.4966350888930835</v>
      </c>
      <c r="BV430" s="417">
        <f t="shared" ref="BV430:BW430" si="1991">BV428/BV455</f>
        <v>0.47077606410741879</v>
      </c>
      <c r="BW430" s="417">
        <f t="shared" si="1991"/>
        <v>0.48549376010962347</v>
      </c>
      <c r="BX430" s="417">
        <f t="shared" ref="BX430" si="1992">BX428/BX455</f>
        <v>0.4844028401989201</v>
      </c>
      <c r="BY430" s="417">
        <f t="shared" ref="BY430:CA430" si="1993">BY428/BY455</f>
        <v>0.5112240038353727</v>
      </c>
      <c r="BZ430" s="417">
        <f t="shared" si="1993"/>
        <v>0.44812066033625009</v>
      </c>
      <c r="CA430" s="417">
        <f t="shared" si="1993"/>
        <v>0.47473780110672342</v>
      </c>
      <c r="CB430" s="417">
        <f t="shared" ref="CB430:CC430" si="1994">CB428/CB455</f>
        <v>0.49518065940442257</v>
      </c>
      <c r="CC430" s="417">
        <f t="shared" si="1994"/>
        <v>0.50633836162826473</v>
      </c>
      <c r="CD430" s="417">
        <f t="shared" ref="CD430:CE430" si="1995">CD428/CD455</f>
        <v>0.48847720130240074</v>
      </c>
      <c r="CE430" s="417">
        <f t="shared" si="1995"/>
        <v>0.45053843810448491</v>
      </c>
      <c r="CF430" s="417">
        <f t="shared" ref="CF430:CG430" si="1996">CF428/CF455</f>
        <v>0.52783237352139678</v>
      </c>
      <c r="CG430" s="417">
        <f t="shared" si="1996"/>
        <v>0.52279541249637762</v>
      </c>
      <c r="CH430" s="417">
        <f t="shared" ref="CH430:CI430" si="1997">CH428/CH455</f>
        <v>0.52215368478765001</v>
      </c>
      <c r="CI430" s="417">
        <f t="shared" si="1997"/>
        <v>0.5075200001417467</v>
      </c>
      <c r="CJ430" s="417">
        <f t="shared" si="1988"/>
        <v>6.0605937341209799</v>
      </c>
      <c r="CK430" s="417">
        <f t="shared" si="1988"/>
        <v>0.50237310544824276</v>
      </c>
      <c r="CL430" s="417">
        <f t="shared" ref="CL430" si="1998">CL428/CL455</f>
        <v>0.42758919456280359</v>
      </c>
      <c r="CM430" s="417">
        <f t="shared" ref="CM430" si="1999">CM428/CM455</f>
        <v>0.42418430310264887</v>
      </c>
      <c r="CN430" s="417"/>
      <c r="CO430" s="417">
        <f t="shared" si="1988"/>
        <v>6.2246611936182816</v>
      </c>
      <c r="CP430" s="417">
        <f t="shared" si="1988"/>
        <v>7.3183578483179845</v>
      </c>
      <c r="CQ430" s="417">
        <f t="shared" si="1988"/>
        <v>7.9825396024583464</v>
      </c>
      <c r="CR430" s="417">
        <f t="shared" si="1988"/>
        <v>8.6696814547045555</v>
      </c>
      <c r="CS430" s="417">
        <f t="shared" ref="CS430:CT430" si="2000">CS428/CS455</f>
        <v>9.0085007723507786</v>
      </c>
      <c r="CT430" s="417">
        <f t="shared" si="2000"/>
        <v>9.3597612195873179</v>
      </c>
      <c r="CU430" s="347"/>
      <c r="CV430" s="1363"/>
      <c r="CW430" s="347"/>
      <c r="CX430" s="347"/>
      <c r="CY430" s="347"/>
      <c r="CZ430" s="347"/>
      <c r="DA430" s="347"/>
      <c r="DC430" s="414"/>
      <c r="DD430" s="511"/>
      <c r="DE430" s="511"/>
      <c r="DF430" s="511"/>
      <c r="DG430" s="511"/>
      <c r="DH430" s="511"/>
      <c r="DI430" s="511"/>
      <c r="DJ430" s="511"/>
      <c r="DK430" s="511"/>
      <c r="DL430" s="511"/>
    </row>
    <row r="431" spans="2:145" hidden="1" outlineLevel="1">
      <c r="B431" s="562" t="s">
        <v>90</v>
      </c>
      <c r="C431" s="353"/>
      <c r="D431" s="353"/>
      <c r="E431" s="353"/>
      <c r="F431" s="353"/>
      <c r="G431" s="353"/>
      <c r="H431" s="353">
        <f t="shared" ref="H431:AZ431" si="2001">(H428+H334-H380)/(H455-H451)</f>
        <v>0.42549204772607996</v>
      </c>
      <c r="I431" s="353">
        <f t="shared" si="2001"/>
        <v>0.74051896207584833</v>
      </c>
      <c r="J431" s="353">
        <f t="shared" si="2001"/>
        <v>0.85337243401759533</v>
      </c>
      <c r="K431" s="353">
        <f t="shared" si="2001"/>
        <v>0.91969196919691965</v>
      </c>
      <c r="L431" s="353">
        <f t="shared" si="2001"/>
        <v>0.96418056918547601</v>
      </c>
      <c r="M431" s="353">
        <f t="shared" si="2001"/>
        <v>0.45268840738308891</v>
      </c>
      <c r="N431" s="353">
        <f t="shared" si="2001"/>
        <v>0.52167559668777397</v>
      </c>
      <c r="O431" s="353">
        <f t="shared" si="2001"/>
        <v>0.53696315418915752</v>
      </c>
      <c r="P431" s="353">
        <f t="shared" si="2001"/>
        <v>0.53174245835209366</v>
      </c>
      <c r="Q431" s="353">
        <f t="shared" si="2001"/>
        <v>0.53644377553214362</v>
      </c>
      <c r="R431" s="353">
        <f t="shared" si="2001"/>
        <v>0.53190148911798396</v>
      </c>
      <c r="S431" s="353">
        <f t="shared" si="2001"/>
        <v>0.52721999107541273</v>
      </c>
      <c r="T431" s="353">
        <f t="shared" si="2001"/>
        <v>0.52602679551943776</v>
      </c>
      <c r="U431" s="353">
        <f t="shared" si="2001"/>
        <v>0.47489539748953974</v>
      </c>
      <c r="V431" s="353">
        <f t="shared" si="2001"/>
        <v>0.46764765168312838</v>
      </c>
      <c r="W431" s="353">
        <f t="shared" si="2001"/>
        <v>0.51188259774394917</v>
      </c>
      <c r="X431" s="353">
        <f t="shared" si="2001"/>
        <v>0.48865726548129984</v>
      </c>
      <c r="Y431" s="353">
        <f t="shared" si="2001"/>
        <v>0.48689998087588449</v>
      </c>
      <c r="Z431" s="353">
        <f t="shared" si="2001"/>
        <v>0.44940796555435952</v>
      </c>
      <c r="AA431" s="353">
        <f t="shared" si="2001"/>
        <v>0.43675327138251469</v>
      </c>
      <c r="AB431" s="353">
        <f t="shared" si="2001"/>
        <v>0.46473365444227194</v>
      </c>
      <c r="AC431" s="353">
        <f t="shared" si="2001"/>
        <v>0.35168461271274748</v>
      </c>
      <c r="AD431" s="353">
        <f t="shared" si="2001"/>
        <v>0.3532617671345995</v>
      </c>
      <c r="AE431" s="353">
        <f t="shared" si="2001"/>
        <v>0.35300563556668751</v>
      </c>
      <c r="AF431" s="353">
        <f t="shared" si="2001"/>
        <v>0.35093216355945478</v>
      </c>
      <c r="AG431" s="353">
        <f t="shared" si="2001"/>
        <v>0.40717577353522055</v>
      </c>
      <c r="AH431" s="353">
        <f t="shared" si="2001"/>
        <v>0.39967314327219899</v>
      </c>
      <c r="AI431" s="353">
        <f t="shared" si="2001"/>
        <v>0.34116868068200629</v>
      </c>
      <c r="AJ431" s="353">
        <f t="shared" si="2001"/>
        <v>0.34315684315684314</v>
      </c>
      <c r="AK431" s="353">
        <f t="shared" si="2001"/>
        <v>0.38943447341686421</v>
      </c>
      <c r="AL431" s="353">
        <f t="shared" si="2001"/>
        <v>0.3675618073316283</v>
      </c>
      <c r="AM431" s="353">
        <f t="shared" si="2001"/>
        <v>0.34245575624885971</v>
      </c>
      <c r="AN431" s="353">
        <f t="shared" si="2001"/>
        <v>0.35644270183567989</v>
      </c>
      <c r="AO431" s="353">
        <f t="shared" si="2001"/>
        <v>0.37667238421955401</v>
      </c>
      <c r="AP431" s="353">
        <f t="shared" si="2001"/>
        <v>0.3884145320609409</v>
      </c>
      <c r="AQ431" s="353">
        <f t="shared" si="2001"/>
        <v>0.36690710382513664</v>
      </c>
      <c r="AR431" s="353">
        <f t="shared" si="2001"/>
        <v>0.3903133903133903</v>
      </c>
      <c r="AS431" s="353">
        <f t="shared" si="2001"/>
        <v>0.39404352806414661</v>
      </c>
      <c r="AT431" s="353">
        <f t="shared" si="2001"/>
        <v>0.37858508604206503</v>
      </c>
      <c r="AU431" s="353">
        <f t="shared" si="2001"/>
        <v>0.34632940281475844</v>
      </c>
      <c r="AV431" s="353">
        <f t="shared" si="2001"/>
        <v>0.3775185081060819</v>
      </c>
      <c r="AW431" s="353">
        <f t="shared" si="2001"/>
        <v>0.3509304975313331</v>
      </c>
      <c r="AX431" s="353">
        <f t="shared" si="2001"/>
        <v>0.36580201164637377</v>
      </c>
      <c r="AY431" s="353">
        <f t="shared" si="2001"/>
        <v>0.38207705192629815</v>
      </c>
      <c r="AZ431" s="353">
        <f t="shared" si="2001"/>
        <v>0.35482250502344276</v>
      </c>
      <c r="BA431" s="353">
        <f>BA428/(BA455-BA451)</f>
        <v>0.36375956284153005</v>
      </c>
      <c r="BB431" s="353">
        <f>(BB428+BB334-BB380)/(BB455-BB451)</f>
        <v>0.36100131512815459</v>
      </c>
      <c r="BC431" s="353">
        <f>(BC428+BC334-BC380)/(BC455-BC451)</f>
        <v>0.36070631346063986</v>
      </c>
      <c r="BD431" s="353">
        <f>(BD428+BD334-BD380)/(BD455-BD451)</f>
        <v>0.372209497842177</v>
      </c>
      <c r="BE431" s="353">
        <f>(BE428+BE334-BE380)/(BE455-BE451)</f>
        <v>0.38881354810968144</v>
      </c>
      <c r="BF431" s="353">
        <f>BF428/(BF455-BF451)</f>
        <v>0.37111773704758555</v>
      </c>
      <c r="BG431" s="353">
        <f>(BG428+BG334-BG380)/(BG455-BG451)</f>
        <v>0.3819196329817684</v>
      </c>
      <c r="BH431" s="353">
        <f>(BH428+BH334-BH380)/(BH455-BH451)</f>
        <v>0.3928704584787121</v>
      </c>
      <c r="BI431" s="353">
        <f>(BI428+BI334-BI380)/(BI455-BI451)</f>
        <v>0.40348450955204707</v>
      </c>
      <c r="BJ431" s="353">
        <f>(BJ428+BJ334-BJ380)/(BJ455-BJ451)</f>
        <v>0.40671643536748731</v>
      </c>
      <c r="BK431" s="353">
        <f>BK428/(BK455-BK451)</f>
        <v>0.39653279301529332</v>
      </c>
      <c r="BL431" s="353">
        <f>(BL428+BL334-BL380)/(BL455-BL451)</f>
        <v>0.49006095133082184</v>
      </c>
      <c r="BM431" s="353">
        <f>(BM428+BM334-BM380)/(BM455-BM451)</f>
        <v>0.50204942772287786</v>
      </c>
      <c r="BN431" s="353">
        <f>(BN428+BN334-BN380)/(BN455-BN451)</f>
        <v>0.51795020711163131</v>
      </c>
      <c r="BO431" s="353">
        <f>(BO428+BO334-BO380)/(BO455-BO451)</f>
        <v>0.49819422302478966</v>
      </c>
      <c r="BP431" s="353">
        <f>BP428/(BP455-BP451)</f>
        <v>0.50213204265661693</v>
      </c>
      <c r="BQ431" s="353">
        <f>(BQ428+BQ334-BQ380)/(BQ455-BQ451)</f>
        <v>0.49925064383164541</v>
      </c>
      <c r="BR431" s="353">
        <f>(BR428+BR334-BR380)/(BR455-BR451)</f>
        <v>0.50082981062716558</v>
      </c>
      <c r="BS431" s="353">
        <f>(BS428+BS334-BS380)/(BS455-BS451)</f>
        <v>0.50073293354784665</v>
      </c>
      <c r="BT431" s="353">
        <f>(BT428+BT334-BT380)/(BT455-BT451)</f>
        <v>0.48620499386167992</v>
      </c>
      <c r="BU431" s="353">
        <f>BU428/(BU455-BU451)</f>
        <v>0.4966350888930835</v>
      </c>
      <c r="BV431" s="353">
        <f>(BV428+BV334-BV380)/(BV455-BV451)</f>
        <v>0.47077606410741879</v>
      </c>
      <c r="BW431" s="353">
        <f>(BW428+BW334-BW380)/(BW455-BW451)</f>
        <v>0.48549376010962347</v>
      </c>
      <c r="BX431" s="353">
        <f>(BX428+BX334-BX380)/(BX455-BX451)</f>
        <v>0.4844028401989201</v>
      </c>
      <c r="BY431" s="353">
        <f>(BY428+BY334-BY380)/(BY455-BY451)</f>
        <v>0.5112240038353727</v>
      </c>
      <c r="BZ431" s="353">
        <f>BZ428/(BZ455-BZ451)</f>
        <v>0.44812066033625009</v>
      </c>
      <c r="CA431" s="353">
        <f>(CA428+CA334-CA380)/(CA455-CA451)</f>
        <v>0.47473780110672342</v>
      </c>
      <c r="CB431" s="353">
        <f>(CB428+CB334-CB380)/(CB455-CB451)</f>
        <v>0.49518065940442257</v>
      </c>
      <c r="CC431" s="353">
        <f>(CC428+CC334-CC380)/(CC455-CC451)</f>
        <v>0.50633836162826473</v>
      </c>
      <c r="CD431" s="353">
        <f>(CD428+CD334-CD380)/(CD455-CD451)</f>
        <v>0.48847720130240074</v>
      </c>
      <c r="CE431" s="353">
        <f>CE428/(CE455-CE451)</f>
        <v>0.45053843810448491</v>
      </c>
      <c r="CF431" s="353">
        <f>(CF428+CF334-CF380)/(CF455-CF451)</f>
        <v>0.52783237352139678</v>
      </c>
      <c r="CG431" s="353">
        <f>(CG428+CG334-CG380)/(CG455-CG451)</f>
        <v>0.52279541249637762</v>
      </c>
      <c r="CH431" s="353">
        <f>(CH428+CH334-CH380)/(CH455-CH451)</f>
        <v>0.52215368478765001</v>
      </c>
      <c r="CI431" s="353">
        <f>(CI428+CI334-CI380)/(CI455-CI451)</f>
        <v>0.5075200001417467</v>
      </c>
      <c r="CJ431" s="353">
        <f t="shared" ref="CJ431:CR431" si="2002">CJ428/(CJ455-CJ451)</f>
        <v>6.0605937341209799</v>
      </c>
      <c r="CK431" s="353">
        <f>(CK428+CK334-CK380)/(CK455-CK451)</f>
        <v>0.50237310544824276</v>
      </c>
      <c r="CL431" s="353">
        <f>(CL428+CL334-CL380)/(CL455-CL451)</f>
        <v>0.42758919456280359</v>
      </c>
      <c r="CM431" s="353">
        <f>(CM428+CM334-CM380)/(CM455-CM451)</f>
        <v>0.42418430310264887</v>
      </c>
      <c r="CN431" s="353"/>
      <c r="CO431" s="353">
        <f t="shared" si="2002"/>
        <v>6.2246611936182816</v>
      </c>
      <c r="CP431" s="353">
        <f t="shared" si="2002"/>
        <v>7.3183578483179845</v>
      </c>
      <c r="CQ431" s="353">
        <f t="shared" si="2002"/>
        <v>7.9825396024583464</v>
      </c>
      <c r="CR431" s="353">
        <f t="shared" si="2002"/>
        <v>8.6696814547045555</v>
      </c>
      <c r="CS431" s="353">
        <f t="shared" ref="CS431:CT431" si="2003">CS428/(CS455-CS451)</f>
        <v>9.0085007723507786</v>
      </c>
      <c r="CT431" s="353">
        <f t="shared" si="2003"/>
        <v>9.3597612195873179</v>
      </c>
      <c r="CU431" s="347"/>
      <c r="CV431" s="1363"/>
      <c r="CW431" s="347"/>
      <c r="CX431" s="347"/>
      <c r="CY431" s="347"/>
      <c r="CZ431" s="347"/>
      <c r="DA431" s="347"/>
      <c r="DC431" s="407" t="s">
        <v>68</v>
      </c>
      <c r="DD431" s="417">
        <v>7.899807321772645E-2</v>
      </c>
      <c r="DE431" s="417">
        <v>7.1071428571428452E-2</v>
      </c>
      <c r="DF431" s="417">
        <v>4.3769378075413368E-2</v>
      </c>
      <c r="DG431" s="417">
        <v>7.2969933480117266E-2</v>
      </c>
      <c r="DH431" s="417">
        <v>3.4888913363626761E-2</v>
      </c>
      <c r="DI431" s="417">
        <v>9.3481475147603188E-3</v>
      </c>
      <c r="DJ431" s="417">
        <f>DJ429/DI429-1</f>
        <v>-1</v>
      </c>
      <c r="DK431" s="417" t="e">
        <f>DK429/DJ429-1</f>
        <v>#DIV/0!</v>
      </c>
      <c r="DL431" s="417" t="e">
        <f>DL429/DK429-1</f>
        <v>#DIV/0!</v>
      </c>
      <c r="EC431" s="399"/>
      <c r="EH431" s="399"/>
      <c r="EI431" s="399"/>
      <c r="EJ431" s="399"/>
      <c r="EK431" s="399"/>
      <c r="EL431" s="399"/>
    </row>
    <row r="432" spans="2:145" hidden="1" outlineLevel="1">
      <c r="B432" s="562"/>
      <c r="C432" s="353"/>
      <c r="D432" s="353"/>
      <c r="E432" s="353"/>
      <c r="F432" s="353"/>
      <c r="G432" s="353"/>
      <c r="H432" s="353"/>
      <c r="I432" s="353"/>
      <c r="J432" s="353"/>
      <c r="K432" s="353"/>
      <c r="L432" s="353"/>
      <c r="M432" s="353"/>
      <c r="N432" s="353"/>
      <c r="O432" s="353"/>
      <c r="P432" s="353"/>
      <c r="Q432" s="353"/>
      <c r="R432" s="353"/>
      <c r="S432" s="353"/>
      <c r="T432" s="353"/>
      <c r="U432" s="353"/>
      <c r="V432" s="353"/>
      <c r="W432" s="353"/>
      <c r="X432" s="353"/>
      <c r="Y432" s="353"/>
      <c r="Z432" s="353"/>
      <c r="AA432" s="353"/>
      <c r="AB432" s="353"/>
      <c r="AC432" s="353"/>
      <c r="AD432" s="353"/>
      <c r="AE432" s="353"/>
      <c r="AF432" s="353"/>
      <c r="AG432" s="353"/>
      <c r="AH432" s="353"/>
      <c r="AI432" s="353"/>
      <c r="AJ432" s="353"/>
      <c r="AK432" s="353"/>
      <c r="AL432" s="353"/>
      <c r="AM432" s="353"/>
      <c r="AN432" s="353"/>
      <c r="AO432" s="353"/>
      <c r="AP432" s="353"/>
      <c r="AQ432" s="353"/>
      <c r="AR432" s="353"/>
      <c r="AS432" s="353"/>
      <c r="AT432" s="353"/>
      <c r="AU432" s="353"/>
      <c r="AV432" s="353"/>
      <c r="AW432" s="353"/>
      <c r="AX432" s="353"/>
      <c r="AY432" s="353"/>
      <c r="AZ432" s="353"/>
      <c r="BA432" s="353"/>
      <c r="BB432" s="353"/>
      <c r="BC432" s="353"/>
      <c r="BD432" s="353"/>
      <c r="BE432" s="353"/>
      <c r="BF432" s="353"/>
      <c r="BG432" s="353"/>
      <c r="BH432" s="353"/>
      <c r="BI432" s="353"/>
      <c r="BJ432" s="353"/>
      <c r="BK432" s="353"/>
      <c r="BL432" s="353"/>
      <c r="BM432" s="353"/>
      <c r="BN432" s="353"/>
      <c r="BO432" s="353"/>
      <c r="BP432" s="353"/>
      <c r="BQ432" s="353"/>
      <c r="BR432" s="353"/>
      <c r="BS432" s="353"/>
      <c r="BT432" s="353"/>
      <c r="BU432" s="353"/>
      <c r="BV432" s="353"/>
      <c r="BW432" s="353"/>
      <c r="BX432" s="353"/>
      <c r="BY432" s="353"/>
      <c r="BZ432" s="353"/>
      <c r="CA432" s="353"/>
      <c r="CB432" s="353"/>
      <c r="CC432" s="353"/>
      <c r="CD432" s="353"/>
      <c r="CE432" s="353"/>
      <c r="CF432" s="353"/>
      <c r="CG432" s="353"/>
      <c r="CH432" s="353"/>
      <c r="CI432" s="353"/>
      <c r="CJ432" s="353"/>
      <c r="CK432" s="353"/>
      <c r="CL432" s="353"/>
      <c r="CM432" s="353"/>
      <c r="CN432" s="353"/>
      <c r="CO432" s="353"/>
      <c r="CP432" s="353"/>
      <c r="CQ432" s="353"/>
      <c r="CR432" s="353"/>
      <c r="CS432" s="353"/>
      <c r="CT432" s="353"/>
      <c r="CU432" s="347"/>
      <c r="CV432" s="1363"/>
      <c r="CW432" s="347"/>
      <c r="CX432" s="347"/>
      <c r="CY432" s="347"/>
      <c r="CZ432" s="347"/>
      <c r="DA432" s="347"/>
      <c r="DC432" s="407"/>
      <c r="DD432" s="417"/>
      <c r="DE432" s="417"/>
      <c r="DF432" s="417"/>
      <c r="DG432" s="417"/>
      <c r="DH432" s="417"/>
      <c r="DI432" s="417"/>
      <c r="DJ432" s="417"/>
      <c r="DK432" s="417"/>
      <c r="DL432" s="417"/>
      <c r="EC432" s="399"/>
      <c r="EH432" s="399"/>
      <c r="EI432" s="399"/>
      <c r="EJ432" s="399"/>
      <c r="EK432" s="399"/>
      <c r="EL432" s="399"/>
    </row>
    <row r="433" spans="1:146" hidden="1" outlineLevel="1">
      <c r="B433" s="562"/>
      <c r="C433" s="353"/>
      <c r="D433" s="353"/>
      <c r="E433" s="353"/>
      <c r="F433" s="353"/>
      <c r="G433" s="353"/>
      <c r="H433" s="353"/>
      <c r="I433" s="353"/>
      <c r="J433" s="353"/>
      <c r="K433" s="353"/>
      <c r="L433" s="353"/>
      <c r="M433" s="353"/>
      <c r="N433" s="353"/>
      <c r="O433" s="353"/>
      <c r="P433" s="353"/>
      <c r="Q433" s="353"/>
      <c r="R433" s="353"/>
      <c r="S433" s="353"/>
      <c r="T433" s="353"/>
      <c r="U433" s="353"/>
      <c r="V433" s="353"/>
      <c r="W433" s="353"/>
      <c r="X433" s="353"/>
      <c r="Y433" s="353"/>
      <c r="Z433" s="353"/>
      <c r="AA433" s="353"/>
      <c r="AB433" s="353"/>
      <c r="AC433" s="353"/>
      <c r="AD433" s="353"/>
      <c r="AE433" s="353"/>
      <c r="AF433" s="353"/>
      <c r="AG433" s="353"/>
      <c r="AH433" s="353"/>
      <c r="AI433" s="353"/>
      <c r="AJ433" s="353"/>
      <c r="AK433" s="353"/>
      <c r="AL433" s="353"/>
      <c r="AM433" s="353"/>
      <c r="AN433" s="353"/>
      <c r="AO433" s="353"/>
      <c r="AP433" s="353"/>
      <c r="AQ433" s="353"/>
      <c r="AR433" s="353"/>
      <c r="AS433" s="353"/>
      <c r="AT433" s="353"/>
      <c r="AU433" s="353"/>
      <c r="AV433" s="353"/>
      <c r="AW433" s="353"/>
      <c r="AX433" s="353"/>
      <c r="AY433" s="353"/>
      <c r="AZ433" s="353"/>
      <c r="BA433" s="353"/>
      <c r="BB433" s="353"/>
      <c r="BC433" s="353"/>
      <c r="BD433" s="353"/>
      <c r="BE433" s="353"/>
      <c r="BF433" s="353"/>
      <c r="BG433" s="353"/>
      <c r="BH433" s="353"/>
      <c r="BI433" s="353"/>
      <c r="BJ433" s="353"/>
      <c r="BK433" s="353"/>
      <c r="BL433" s="353"/>
      <c r="BM433" s="353"/>
      <c r="BN433" s="353"/>
      <c r="BO433" s="353"/>
      <c r="BP433" s="353"/>
      <c r="BQ433" s="353"/>
      <c r="BR433" s="353"/>
      <c r="BS433" s="353"/>
      <c r="BT433" s="353"/>
      <c r="BU433" s="353"/>
      <c r="BV433" s="353"/>
      <c r="BW433" s="353"/>
      <c r="BX433" s="353"/>
      <c r="BY433" s="353"/>
      <c r="BZ433" s="353"/>
      <c r="CA433" s="353"/>
      <c r="CB433" s="353"/>
      <c r="CC433" s="353"/>
      <c r="CD433" s="353"/>
      <c r="CE433" s="353"/>
      <c r="CF433" s="353"/>
      <c r="CG433" s="353"/>
      <c r="CH433" s="353"/>
      <c r="CI433" s="353"/>
      <c r="CJ433" s="353"/>
      <c r="CK433" s="353"/>
      <c r="CL433" s="353"/>
      <c r="CM433" s="353"/>
      <c r="CN433" s="353"/>
      <c r="CO433" s="353"/>
      <c r="CP433" s="353"/>
      <c r="CQ433" s="353"/>
      <c r="CR433" s="353"/>
      <c r="CS433" s="353"/>
      <c r="CT433" s="353"/>
      <c r="CU433" s="347"/>
      <c r="CV433" s="1363"/>
      <c r="CW433" s="347"/>
      <c r="CX433" s="347"/>
      <c r="CY433" s="347"/>
      <c r="CZ433" s="347"/>
      <c r="DA433" s="347"/>
      <c r="DC433" s="407"/>
      <c r="DD433" s="417"/>
      <c r="DE433" s="417"/>
      <c r="DF433" s="417"/>
      <c r="DG433" s="417"/>
      <c r="DH433" s="417"/>
      <c r="DI433" s="417"/>
      <c r="DJ433" s="417"/>
      <c r="DK433" s="417"/>
      <c r="DL433" s="417"/>
      <c r="EC433" s="399"/>
      <c r="EH433" s="399"/>
      <c r="EI433" s="399"/>
      <c r="EJ433" s="399"/>
      <c r="EK433" s="399"/>
      <c r="EL433" s="399"/>
    </row>
    <row r="434" spans="1:146" hidden="1" outlineLevel="1">
      <c r="B434" s="562"/>
      <c r="C434" s="353"/>
      <c r="D434" s="353"/>
      <c r="E434" s="353"/>
      <c r="F434" s="353"/>
      <c r="G434" s="353"/>
      <c r="H434" s="353"/>
      <c r="I434" s="353"/>
      <c r="J434" s="353"/>
      <c r="K434" s="353"/>
      <c r="L434" s="353"/>
      <c r="M434" s="353"/>
      <c r="N434" s="353"/>
      <c r="O434" s="353"/>
      <c r="P434" s="353"/>
      <c r="Q434" s="353"/>
      <c r="R434" s="353"/>
      <c r="S434" s="353"/>
      <c r="T434" s="353"/>
      <c r="U434" s="353"/>
      <c r="V434" s="353"/>
      <c r="W434" s="353"/>
      <c r="X434" s="353"/>
      <c r="Y434" s="353"/>
      <c r="Z434" s="353"/>
      <c r="AA434" s="353"/>
      <c r="AB434" s="353"/>
      <c r="AC434" s="353"/>
      <c r="AD434" s="353"/>
      <c r="AE434" s="353"/>
      <c r="AF434" s="353"/>
      <c r="AG434" s="353"/>
      <c r="AH434" s="353"/>
      <c r="AI434" s="353"/>
      <c r="AJ434" s="353"/>
      <c r="AK434" s="353"/>
      <c r="AL434" s="353"/>
      <c r="AM434" s="353"/>
      <c r="AN434" s="353"/>
      <c r="AO434" s="353"/>
      <c r="AP434" s="353"/>
      <c r="AQ434" s="353"/>
      <c r="AR434" s="353"/>
      <c r="AS434" s="353"/>
      <c r="AT434" s="353"/>
      <c r="AU434" s="353"/>
      <c r="AV434" s="353"/>
      <c r="AW434" s="353"/>
      <c r="AX434" s="353"/>
      <c r="AY434" s="353"/>
      <c r="AZ434" s="353"/>
      <c r="BA434" s="353"/>
      <c r="BB434" s="353"/>
      <c r="BC434" s="353"/>
      <c r="BD434" s="353"/>
      <c r="BE434" s="353"/>
      <c r="BF434" s="353"/>
      <c r="BG434" s="353"/>
      <c r="BH434" s="353"/>
      <c r="BI434" s="353"/>
      <c r="BJ434" s="353"/>
      <c r="BK434" s="353"/>
      <c r="BL434" s="353"/>
      <c r="BM434" s="353"/>
      <c r="BN434" s="353"/>
      <c r="BO434" s="353"/>
      <c r="BP434" s="353"/>
      <c r="BQ434" s="353"/>
      <c r="BR434" s="353"/>
      <c r="BS434" s="353"/>
      <c r="BT434" s="353"/>
      <c r="BU434" s="353"/>
      <c r="BV434" s="353"/>
      <c r="BW434" s="353"/>
      <c r="BX434" s="353"/>
      <c r="BY434" s="353"/>
      <c r="BZ434" s="353"/>
      <c r="CA434" s="353"/>
      <c r="CB434" s="353"/>
      <c r="CC434" s="353"/>
      <c r="CD434" s="353"/>
      <c r="CE434" s="353"/>
      <c r="CF434" s="353"/>
      <c r="CG434" s="353"/>
      <c r="CH434" s="353"/>
      <c r="CI434" s="353"/>
      <c r="CJ434" s="353"/>
      <c r="CK434" s="353"/>
      <c r="CL434" s="353"/>
      <c r="CM434" s="353"/>
      <c r="CN434" s="353"/>
      <c r="CO434" s="353"/>
      <c r="CP434" s="353"/>
      <c r="CQ434" s="353"/>
      <c r="CR434" s="353"/>
      <c r="CS434" s="353"/>
      <c r="CT434" s="353"/>
      <c r="CU434" s="347"/>
      <c r="CV434" s="1363"/>
      <c r="CW434" s="347"/>
      <c r="CX434" s="347"/>
      <c r="CY434" s="347"/>
      <c r="CZ434" s="347"/>
      <c r="DA434" s="347"/>
      <c r="DC434" s="407"/>
      <c r="DD434" s="417"/>
      <c r="DE434" s="417"/>
      <c r="DF434" s="417"/>
      <c r="DG434" s="417"/>
      <c r="DH434" s="417"/>
      <c r="DI434" s="417"/>
      <c r="DJ434" s="417"/>
      <c r="DK434" s="417"/>
      <c r="DL434" s="417"/>
      <c r="EC434" s="399"/>
      <c r="EH434" s="399"/>
      <c r="EI434" s="399"/>
      <c r="EJ434" s="399"/>
      <c r="EK434" s="399"/>
      <c r="EL434" s="399"/>
    </row>
    <row r="435" spans="1:146" hidden="1" outlineLevel="1">
      <c r="B435" s="618"/>
      <c r="C435" s="353"/>
      <c r="D435" s="353"/>
      <c r="E435" s="353"/>
      <c r="F435" s="353"/>
      <c r="G435" s="353"/>
      <c r="H435" s="353"/>
      <c r="I435" s="353"/>
      <c r="J435" s="353"/>
      <c r="K435" s="353"/>
      <c r="L435" s="353"/>
      <c r="M435" s="353"/>
      <c r="N435" s="353"/>
      <c r="O435" s="353"/>
      <c r="P435" s="353"/>
      <c r="Q435" s="353"/>
      <c r="R435" s="353"/>
      <c r="S435" s="353"/>
      <c r="T435" s="353"/>
      <c r="U435" s="353"/>
      <c r="V435" s="353"/>
      <c r="W435" s="353"/>
      <c r="X435" s="353"/>
      <c r="Y435" s="353"/>
      <c r="Z435" s="353"/>
      <c r="AA435" s="353"/>
      <c r="AB435" s="353"/>
      <c r="AC435" s="353"/>
      <c r="AD435" s="353"/>
      <c r="AE435" s="353"/>
      <c r="AF435" s="353"/>
      <c r="AG435" s="353"/>
      <c r="AH435" s="353"/>
      <c r="AI435" s="353"/>
      <c r="AJ435" s="353"/>
      <c r="AK435" s="353"/>
      <c r="AL435" s="353"/>
      <c r="AM435" s="353"/>
      <c r="AN435" s="353"/>
      <c r="AO435" s="353"/>
      <c r="AP435" s="353"/>
      <c r="AQ435" s="353"/>
      <c r="AR435" s="353"/>
      <c r="AS435" s="353"/>
      <c r="AT435" s="353"/>
      <c r="AU435" s="353"/>
      <c r="AV435" s="353"/>
      <c r="AW435" s="353"/>
      <c r="AX435" s="353"/>
      <c r="AY435" s="353"/>
      <c r="AZ435" s="353"/>
      <c r="BA435" s="353"/>
      <c r="BB435" s="353"/>
      <c r="BC435" s="353"/>
      <c r="BD435" s="353"/>
      <c r="BE435" s="353"/>
      <c r="BF435" s="353"/>
      <c r="BG435" s="353"/>
      <c r="BH435" s="353"/>
      <c r="BI435" s="353"/>
      <c r="BJ435" s="353"/>
      <c r="BK435" s="353"/>
      <c r="BO435" s="353"/>
      <c r="BP435" s="353"/>
      <c r="BQ435" s="353"/>
      <c r="BR435" s="353"/>
      <c r="BS435" s="353"/>
      <c r="BT435" s="353"/>
      <c r="BU435" s="353"/>
      <c r="BV435" s="353"/>
      <c r="BW435" s="353"/>
      <c r="BX435" s="353"/>
      <c r="BY435" s="353"/>
      <c r="BZ435" s="353"/>
      <c r="CA435" s="353"/>
      <c r="CB435" s="353"/>
      <c r="CC435" s="353"/>
      <c r="CD435" s="353"/>
      <c r="CE435" s="353"/>
      <c r="CF435" s="353"/>
      <c r="CG435" s="353"/>
      <c r="CH435" s="353"/>
      <c r="CI435" s="353"/>
      <c r="CJ435" s="353"/>
      <c r="CK435" s="353"/>
      <c r="CL435" s="353"/>
      <c r="CM435" s="353"/>
      <c r="CN435" s="353"/>
      <c r="CO435" s="353"/>
      <c r="CP435" s="353"/>
      <c r="CQ435" s="353"/>
      <c r="CR435" s="353"/>
      <c r="CS435" s="353"/>
      <c r="CT435" s="353"/>
      <c r="CU435" s="347"/>
      <c r="CV435" s="1363"/>
      <c r="CW435" s="347"/>
      <c r="CX435" s="347"/>
      <c r="CY435" s="347"/>
      <c r="CZ435" s="347"/>
      <c r="DA435" s="347"/>
      <c r="DC435" s="407"/>
      <c r="DD435" s="417"/>
      <c r="DE435" s="417"/>
      <c r="DF435" s="417"/>
      <c r="DG435" s="417"/>
      <c r="DH435" s="417"/>
      <c r="DI435" s="417"/>
      <c r="DJ435" s="417"/>
      <c r="DK435" s="417"/>
      <c r="DL435" s="417"/>
      <c r="EC435" s="399"/>
      <c r="EH435" s="399"/>
      <c r="EI435" s="399"/>
      <c r="EJ435" s="399"/>
      <c r="EK435" s="399"/>
      <c r="EL435" s="399"/>
    </row>
    <row r="436" spans="1:146" hidden="1" outlineLevel="1">
      <c r="B436" s="562"/>
      <c r="C436" s="426"/>
      <c r="D436" s="427"/>
      <c r="E436" s="427"/>
      <c r="F436" s="427"/>
      <c r="G436" s="427"/>
      <c r="H436" s="427"/>
      <c r="I436" s="427"/>
      <c r="J436" s="427"/>
      <c r="K436" s="427"/>
      <c r="L436" s="427"/>
      <c r="M436" s="427"/>
      <c r="N436" s="427"/>
      <c r="O436" s="427"/>
      <c r="P436" s="427"/>
      <c r="Q436" s="427"/>
      <c r="R436" s="427"/>
      <c r="S436" s="427"/>
      <c r="T436" s="427"/>
      <c r="U436" s="427"/>
      <c r="V436" s="427"/>
      <c r="W436" s="427"/>
      <c r="X436" s="427"/>
      <c r="Y436" s="427"/>
      <c r="Z436" s="427"/>
      <c r="AA436" s="427"/>
      <c r="AB436" s="427"/>
      <c r="AC436" s="427"/>
      <c r="AD436" s="427"/>
      <c r="AE436" s="427"/>
      <c r="AF436" s="427"/>
      <c r="AG436" s="427"/>
      <c r="AH436" s="427"/>
      <c r="AI436" s="427"/>
      <c r="AJ436" s="427"/>
      <c r="AK436" s="427"/>
      <c r="AL436" s="347"/>
      <c r="AM436" s="347"/>
      <c r="AN436" s="347"/>
      <c r="AO436" s="347"/>
      <c r="AP436" s="347"/>
      <c r="AQ436" s="347"/>
      <c r="AR436" s="347"/>
      <c r="AS436" s="347"/>
      <c r="AT436" s="347"/>
      <c r="AU436" s="347"/>
      <c r="AV436" s="347"/>
      <c r="AW436" s="347"/>
      <c r="AX436" s="347"/>
      <c r="AY436" s="347"/>
      <c r="AZ436" s="347"/>
      <c r="BA436" s="347"/>
      <c r="BB436" s="347"/>
      <c r="BC436" s="347"/>
      <c r="BD436" s="347"/>
      <c r="BE436" s="347"/>
      <c r="BF436" s="347"/>
      <c r="BG436" s="347"/>
      <c r="BH436" s="347"/>
      <c r="BI436" s="347"/>
      <c r="BJ436" s="347"/>
      <c r="BK436" s="347"/>
      <c r="BL436" s="347"/>
      <c r="BM436" s="347"/>
      <c r="BN436" s="347"/>
      <c r="BO436" s="347"/>
      <c r="BP436" s="347"/>
      <c r="BQ436" s="347"/>
      <c r="BR436" s="347"/>
      <c r="BS436" s="347"/>
      <c r="BT436" s="347"/>
      <c r="BU436" s="347"/>
      <c r="BV436" s="347"/>
      <c r="BW436" s="347"/>
      <c r="BX436" s="347"/>
      <c r="BY436" s="347"/>
      <c r="BZ436" s="347"/>
      <c r="CA436" s="347"/>
      <c r="CB436" s="347"/>
      <c r="CC436" s="347"/>
      <c r="CD436" s="347"/>
      <c r="CE436" s="347"/>
      <c r="CF436" s="347"/>
      <c r="CG436" s="347"/>
      <c r="CH436" s="347"/>
      <c r="CI436" s="347"/>
      <c r="CJ436" s="347"/>
      <c r="CK436" s="347"/>
      <c r="CL436" s="347"/>
      <c r="CM436" s="347"/>
      <c r="CN436" s="347"/>
      <c r="CO436" s="347"/>
      <c r="CP436" s="347"/>
      <c r="CQ436" s="347"/>
      <c r="CR436" s="347"/>
      <c r="CS436" s="347"/>
      <c r="CT436" s="347"/>
      <c r="CU436" s="347"/>
      <c r="CV436" s="1363"/>
      <c r="CW436" s="347"/>
      <c r="CX436" s="347"/>
      <c r="CY436" s="347"/>
      <c r="CZ436" s="347"/>
      <c r="DA436" s="347"/>
      <c r="EM436" s="399"/>
    </row>
    <row r="437" spans="1:146" hidden="1" outlineLevel="1">
      <c r="B437" s="562" t="s">
        <v>91</v>
      </c>
      <c r="C437" s="512">
        <v>1749</v>
      </c>
      <c r="D437" s="512">
        <v>637</v>
      </c>
      <c r="E437" s="512">
        <v>687</v>
      </c>
      <c r="F437" s="512">
        <v>735</v>
      </c>
      <c r="G437" s="512">
        <v>1320</v>
      </c>
      <c r="H437" s="512">
        <v>3379</v>
      </c>
      <c r="I437" s="512">
        <v>888</v>
      </c>
      <c r="J437" s="512">
        <v>931</v>
      </c>
      <c r="K437" s="512">
        <v>927</v>
      </c>
      <c r="L437" s="512">
        <v>995</v>
      </c>
      <c r="M437" s="512">
        <v>3741</v>
      </c>
      <c r="N437" s="512">
        <v>973</v>
      </c>
      <c r="O437" s="512">
        <v>977</v>
      </c>
      <c r="P437" s="512">
        <v>1003</v>
      </c>
      <c r="Q437" s="512">
        <v>1169</v>
      </c>
      <c r="R437" s="512">
        <v>4122</v>
      </c>
      <c r="S437" s="512">
        <v>1187</v>
      </c>
      <c r="T437" s="512">
        <v>1165</v>
      </c>
      <c r="U437" s="512">
        <v>1170</v>
      </c>
      <c r="V437" s="512">
        <v>1161</v>
      </c>
      <c r="W437" s="504">
        <v>4683</v>
      </c>
      <c r="X437" s="504">
        <v>1213</v>
      </c>
      <c r="Y437" s="504">
        <v>1257</v>
      </c>
      <c r="Z437" s="504">
        <v>1288</v>
      </c>
      <c r="AA437" s="504">
        <v>1308</v>
      </c>
      <c r="AB437" s="504">
        <v>5066</v>
      </c>
      <c r="AC437" s="504">
        <v>1326</v>
      </c>
      <c r="AD437" s="504">
        <v>1386</v>
      </c>
      <c r="AE437" s="504">
        <v>1573</v>
      </c>
      <c r="AF437" s="504">
        <v>1474</v>
      </c>
      <c r="AG437" s="504">
        <v>5759</v>
      </c>
      <c r="AH437" s="504">
        <v>1557</v>
      </c>
      <c r="AI437" s="504">
        <v>1710</v>
      </c>
      <c r="AJ437" s="504">
        <v>1907</v>
      </c>
      <c r="AK437" s="504">
        <v>1784</v>
      </c>
      <c r="AL437" s="504">
        <v>6958</v>
      </c>
      <c r="AM437" s="504">
        <v>1791</v>
      </c>
      <c r="AN437" s="504">
        <v>1782</v>
      </c>
      <c r="AO437" s="504">
        <v>1681</v>
      </c>
      <c r="AP437" s="504">
        <v>1881</v>
      </c>
      <c r="AQ437" s="504">
        <v>7135</v>
      </c>
      <c r="AR437" s="504">
        <f>'[16]Reported Group Highlights'!P$51</f>
        <v>1871</v>
      </c>
      <c r="AS437" s="504">
        <f>'[16]Reported Group Highlights'!Q$51</f>
        <v>2090</v>
      </c>
      <c r="AT437" s="504">
        <f>'[16]Reported Group Highlights'!R$51</f>
        <v>1800</v>
      </c>
      <c r="AU437" s="504">
        <f>'[16]Reported Group Highlights'!S$51</f>
        <v>2285</v>
      </c>
      <c r="AV437" s="504">
        <f>'Balance Sheet and Cflow'!L130</f>
        <v>8046</v>
      </c>
      <c r="AW437" s="513">
        <f>'[16]Reported Group Highlights'!T$51</f>
        <v>1679</v>
      </c>
      <c r="AX437" s="513">
        <f>'[16]Reported Group Highlights'!U$51</f>
        <v>1702</v>
      </c>
      <c r="AY437" s="513">
        <f>'[16]Reported Group Highlights'!V$51</f>
        <v>1705</v>
      </c>
      <c r="AZ437" s="513">
        <f>'[16]Reported Group Highlights'!W$51</f>
        <v>1865</v>
      </c>
      <c r="BA437" s="514">
        <f>SUM(AW437:AZ437)</f>
        <v>6951</v>
      </c>
      <c r="BB437" s="513">
        <f>'[16]Reported Group Highlights'!X$51</f>
        <v>1848</v>
      </c>
      <c r="BC437" s="513">
        <f>'[16]Reported Group Highlights'!Y$51</f>
        <v>1854</v>
      </c>
      <c r="BD437" s="513">
        <f>'[16]Reported Group Highlights'!Z$51</f>
        <v>1924</v>
      </c>
      <c r="BE437" s="513">
        <f>'[16]Reported Group Highlights'!AA$51</f>
        <v>5995</v>
      </c>
      <c r="BF437" s="514">
        <f>SUM(BB437:BE437)</f>
        <v>11621</v>
      </c>
      <c r="BG437" s="513">
        <f>'[16]Reported Group Highlights'!AB$51-BG438</f>
        <v>1676</v>
      </c>
      <c r="BH437" s="513">
        <f>'[16]Reported Group Highlights'!AC$51-BH438</f>
        <v>1666</v>
      </c>
      <c r="BI437" s="513">
        <f>'[16]Reported Group Highlights'!AD$51-BI438</f>
        <v>1782</v>
      </c>
      <c r="BJ437" s="513">
        <f>'[16]Reported Group Highlights'!AE$51-BJ438</f>
        <v>1859</v>
      </c>
      <c r="BK437" s="514">
        <f>SUM(BG437:BJ437)</f>
        <v>6983</v>
      </c>
      <c r="BL437" s="513">
        <f>'[16]Reported Group Highlights'!AF$51-BL438</f>
        <v>2508.0409999999997</v>
      </c>
      <c r="BM437" s="513">
        <f>'[16]Reported Group Highlights'!AG$51-BM438</f>
        <v>2401.6529999999998</v>
      </c>
      <c r="BN437" s="513">
        <f>'[16]Reported Group Highlights'!AH$51-BN438</f>
        <v>2246.605</v>
      </c>
      <c r="BO437" s="513">
        <f>'[16]Reported Group Highlights'!AI$51-BO438</f>
        <v>4918.389000000001</v>
      </c>
      <c r="BP437" s="514">
        <f>SUM(BL437:BO437)</f>
        <v>12074.688</v>
      </c>
      <c r="BQ437" s="513">
        <f>'[16]Reported Group Highlights'!AJ$51-BQ438</f>
        <v>2419.9369999999999</v>
      </c>
      <c r="BR437" s="513">
        <f>'[16]Reported Group Highlights'!AK$51-BR438</f>
        <v>2499.5870000000004</v>
      </c>
      <c r="BS437" s="513">
        <f>'[16]Reported Group Highlights'!AL$51-BS438</f>
        <v>2500.0769999999993</v>
      </c>
      <c r="BT437" s="513">
        <f>'[16]Reported Group Highlights'!AM$51-BT438</f>
        <v>2536.6260000000011</v>
      </c>
      <c r="BU437" s="514">
        <f>SUM(BQ437:BT437)</f>
        <v>9956.2270000000008</v>
      </c>
      <c r="BV437" s="513">
        <f>'[16]Reported Group Highlights'!AN$51-BV438</f>
        <v>2560.8670000000002</v>
      </c>
      <c r="BW437" s="513">
        <f>'[16]Reported Group Highlights'!AO$51-BW438</f>
        <v>2535.7119999999995</v>
      </c>
      <c r="BX437" s="513">
        <f>'[16]Reported Group Highlights'!AP$51-BX438</f>
        <v>2580.4620000000004</v>
      </c>
      <c r="BY437" s="513">
        <f>'[16]Reported Group Highlights'!AQ$51-BY438</f>
        <v>2887.2550000000001</v>
      </c>
      <c r="BZ437" s="347">
        <f>SUM(BV437:BY437)</f>
        <v>10564.296</v>
      </c>
      <c r="CA437" s="513">
        <f>'[16]Reported Group Highlights'!AR$51-CA438</f>
        <v>2737.9949999999999</v>
      </c>
      <c r="CB437" s="513">
        <f>'[16]Reported Group Highlights'!AS$51-CB438</f>
        <v>2830.1390000000001</v>
      </c>
      <c r="CC437" s="513">
        <f>'[16]Reported Group Highlights'!AT$51-CC438</f>
        <v>2956.7470000000012</v>
      </c>
      <c r="CD437" s="513">
        <f>'[16]Reported Group Highlights'!AU$51-CD438</f>
        <v>2822.8769999999986</v>
      </c>
      <c r="CE437" s="347">
        <f>SUM(CA437:CD437)</f>
        <v>11347.758</v>
      </c>
      <c r="CF437" s="513">
        <f>'[16]Reported Group Highlights'!AV$51-CF438</f>
        <v>3007.2190000000001</v>
      </c>
      <c r="CG437" s="513">
        <f>'[16]Reported Group Highlights'!AW$51-CG438</f>
        <v>3166.6189999999997</v>
      </c>
      <c r="CH437" s="513">
        <f>'[16]Reported Group Highlights'!AX$51-CH438</f>
        <v>2900.0280000000002</v>
      </c>
      <c r="CI437" s="513">
        <f>'[16]Reported Group Highlights'!AY$51-CI438</f>
        <v>3000.4689999999991</v>
      </c>
      <c r="CJ437" s="347">
        <f>SUM(CF437:CI437)</f>
        <v>12074.334999999999</v>
      </c>
      <c r="CK437" s="513">
        <f>'[16]Reported Group Highlights'!AZ$51-CK438</f>
        <v>2871.3240000000001</v>
      </c>
      <c r="CL437" s="513">
        <f>'[16]Reported Group Highlights'!BA$51-CL438</f>
        <v>4641.3360000000011</v>
      </c>
      <c r="CM437" s="513">
        <f>'[16]Reported Group Highlights'!BB$51-CM438</f>
        <v>5171.6169999999984</v>
      </c>
      <c r="CN437" s="513"/>
      <c r="CO437" s="347">
        <f>'Balance Sheet and Cflow'!V130</f>
        <v>11235.320870599999</v>
      </c>
      <c r="CP437" s="347">
        <f>'Balance Sheet and Cflow'!W130</f>
        <v>12974.248357061337</v>
      </c>
      <c r="CQ437" s="347">
        <f>'Balance Sheet and Cflow'!X130</f>
        <v>12485.508932184464</v>
      </c>
      <c r="CR437" s="347">
        <f>'Balance Sheet and Cflow'!Y130</f>
        <v>12082.040782644366</v>
      </c>
      <c r="CS437" s="347">
        <f>'Balance Sheet and Cflow'!Z130</f>
        <v>11840.944919666748</v>
      </c>
      <c r="CT437" s="347">
        <f>'Balance Sheet and Cflow'!AA130</f>
        <v>11734.98419761146</v>
      </c>
      <c r="CU437" s="347"/>
      <c r="CV437" s="1363"/>
      <c r="CW437" s="347"/>
      <c r="CX437" s="347"/>
      <c r="CY437" s="347"/>
      <c r="CZ437" s="347"/>
      <c r="DA437" s="347"/>
      <c r="DC437" s="515" t="s">
        <v>92</v>
      </c>
      <c r="DD437" s="511">
        <v>2013.6</v>
      </c>
      <c r="DE437" s="511">
        <v>2127.54</v>
      </c>
      <c r="DF437" s="511">
        <v>2109.2259618044286</v>
      </c>
      <c r="DG437" s="511">
        <v>2149.865535098193</v>
      </c>
      <c r="DH437" s="511">
        <v>2147.8438414678644</v>
      </c>
      <c r="DI437" s="511">
        <v>2167.9511203068755</v>
      </c>
      <c r="DJ437" s="511" t="e">
        <f>DJ453+#REF!+DJ455+#REF!+DJ429+#REF!</f>
        <v>#REF!</v>
      </c>
      <c r="DK437" s="511" t="e">
        <f>DK453+#REF!+DK455+#REF!+DK429+#REF!</f>
        <v>#REF!</v>
      </c>
      <c r="DL437" s="511" t="e">
        <f>DL453+#REF!+DL455+#REF!+DL429+#REF!</f>
        <v>#REF!</v>
      </c>
    </row>
    <row r="438" spans="1:146" hidden="1" outlineLevel="1">
      <c r="B438" s="562" t="s">
        <v>93</v>
      </c>
      <c r="C438" s="429"/>
      <c r="D438" s="429"/>
      <c r="E438" s="429"/>
      <c r="F438" s="429"/>
      <c r="G438" s="429"/>
      <c r="H438" s="429"/>
      <c r="I438" s="429"/>
      <c r="J438" s="429"/>
      <c r="K438" s="429"/>
      <c r="L438" s="429"/>
      <c r="M438" s="429"/>
      <c r="N438" s="429"/>
      <c r="O438" s="429"/>
      <c r="P438" s="429"/>
      <c r="Q438" s="429"/>
      <c r="R438" s="429"/>
      <c r="S438" s="429"/>
      <c r="T438" s="429"/>
      <c r="U438" s="429"/>
      <c r="V438" s="429"/>
      <c r="W438" s="429"/>
      <c r="X438" s="429"/>
      <c r="Y438" s="429"/>
      <c r="Z438" s="429"/>
      <c r="AA438" s="429"/>
      <c r="AB438" s="429"/>
      <c r="AC438" s="429"/>
      <c r="AD438" s="429"/>
      <c r="AE438" s="429"/>
      <c r="AF438" s="429"/>
      <c r="AG438" s="429"/>
      <c r="AH438" s="429"/>
      <c r="AI438" s="429"/>
      <c r="AJ438" s="429"/>
      <c r="AK438" s="429"/>
      <c r="AL438" s="429"/>
      <c r="AM438" s="429"/>
      <c r="AN438" s="429"/>
      <c r="AO438" s="429"/>
      <c r="AP438" s="429"/>
      <c r="AQ438" s="429"/>
      <c r="AR438" s="429"/>
      <c r="AS438" s="429"/>
      <c r="AT438" s="429"/>
      <c r="AU438" s="429"/>
      <c r="AV438" s="429">
        <f>'Balance Sheet and Cflow'!L150</f>
        <v>0</v>
      </c>
      <c r="AW438" s="429"/>
      <c r="AX438" s="429"/>
      <c r="AY438" s="429"/>
      <c r="AZ438" s="429"/>
      <c r="BA438" s="429"/>
      <c r="BB438" s="429"/>
      <c r="BC438" s="429"/>
      <c r="BD438" s="429"/>
      <c r="BE438" s="429"/>
      <c r="BF438" s="514"/>
      <c r="BG438" s="516">
        <v>95</v>
      </c>
      <c r="BH438" s="516">
        <v>95</v>
      </c>
      <c r="BI438" s="516">
        <v>95</v>
      </c>
      <c r="BJ438" s="516">
        <v>95</v>
      </c>
      <c r="BK438" s="514">
        <f>SUM(BG438:BJ438)</f>
        <v>380</v>
      </c>
      <c r="BL438" s="517">
        <v>95</v>
      </c>
      <c r="BM438" s="517">
        <v>95</v>
      </c>
      <c r="BN438" s="517">
        <v>95</v>
      </c>
      <c r="BO438" s="517">
        <v>95</v>
      </c>
      <c r="BP438" s="514">
        <f>SUM(BL438:BO438)</f>
        <v>380</v>
      </c>
      <c r="BQ438" s="517"/>
      <c r="BR438" s="517"/>
      <c r="BS438" s="517"/>
      <c r="BT438" s="517"/>
      <c r="BU438" s="514">
        <f>SUM(BQ438:BT438)</f>
        <v>0</v>
      </c>
      <c r="BV438" s="617"/>
      <c r="BW438" s="617"/>
      <c r="BX438" s="617"/>
      <c r="BY438" s="617"/>
      <c r="BZ438" s="347">
        <f>SUM(BV438:BY438)</f>
        <v>0</v>
      </c>
      <c r="CA438" s="617"/>
      <c r="CB438" s="617"/>
      <c r="CC438" s="617"/>
      <c r="CD438" s="617"/>
      <c r="CE438" s="347">
        <f>SUM(CA438:CD438)</f>
        <v>0</v>
      </c>
      <c r="CF438" s="617"/>
      <c r="CG438" s="617"/>
      <c r="CH438" s="617"/>
      <c r="CI438" s="617"/>
      <c r="CJ438" s="347">
        <f>SUM(CF438:CI438)</f>
        <v>0</v>
      </c>
      <c r="CK438" s="617"/>
      <c r="CL438" s="617"/>
      <c r="CM438" s="617"/>
      <c r="CN438" s="617"/>
      <c r="CO438" s="347">
        <f>'Balance Sheet and Cflow'!V150</f>
        <v>402.32585</v>
      </c>
      <c r="CP438" s="347">
        <f>'Balance Sheet and Cflow'!W150</f>
        <v>402.32585</v>
      </c>
      <c r="CQ438" s="347">
        <f>'Balance Sheet and Cflow'!X150</f>
        <v>439.43857727272723</v>
      </c>
      <c r="CR438" s="347">
        <f>'Balance Sheet and Cflow'!Y150</f>
        <v>476.55130454545451</v>
      </c>
      <c r="CS438" s="347">
        <f>'Balance Sheet and Cflow'!Z150</f>
        <v>513.6640318181818</v>
      </c>
      <c r="CT438" s="347">
        <f>'Balance Sheet and Cflow'!AA150</f>
        <v>550.77675909090908</v>
      </c>
      <c r="CU438" s="347"/>
      <c r="CV438" s="1363"/>
      <c r="CW438" s="347"/>
      <c r="CX438" s="347"/>
      <c r="CY438" s="347"/>
      <c r="CZ438" s="347"/>
      <c r="DA438" s="347"/>
      <c r="DC438" s="456" t="s">
        <v>88</v>
      </c>
      <c r="DD438" s="518">
        <v>0.11569148936170226</v>
      </c>
      <c r="DE438" s="518">
        <v>5.658522050059589E-2</v>
      </c>
      <c r="DF438" s="518">
        <v>-8.6080817261114939E-3</v>
      </c>
      <c r="DG438" s="518">
        <v>1.926752943008414E-2</v>
      </c>
      <c r="DH438" s="518">
        <v>-9.4038143191887968E-4</v>
      </c>
      <c r="DI438" s="518">
        <v>9.3616111426748638E-3</v>
      </c>
      <c r="DJ438" s="519" t="e">
        <f>DJ437/DI437-1</f>
        <v>#REF!</v>
      </c>
      <c r="DK438" s="519" t="e">
        <f>DK437/DJ437-1</f>
        <v>#REF!</v>
      </c>
      <c r="DL438" s="519" t="e">
        <f>DL437/DK437-1</f>
        <v>#REF!</v>
      </c>
    </row>
    <row r="439" spans="1:146" hidden="1" outlineLevel="1">
      <c r="B439" s="619" t="s">
        <v>581</v>
      </c>
      <c r="C439" s="520"/>
      <c r="D439" s="520"/>
      <c r="E439" s="520"/>
      <c r="F439" s="520"/>
      <c r="G439" s="520"/>
      <c r="H439" s="520"/>
      <c r="I439" s="520"/>
      <c r="J439" s="520"/>
      <c r="K439" s="520"/>
      <c r="L439" s="520"/>
      <c r="M439" s="520"/>
      <c r="N439" s="520"/>
      <c r="O439" s="520"/>
      <c r="P439" s="520"/>
      <c r="Q439" s="520"/>
      <c r="R439" s="520"/>
      <c r="S439" s="520"/>
      <c r="T439" s="520"/>
      <c r="U439" s="520"/>
      <c r="V439" s="520"/>
      <c r="W439" s="520"/>
      <c r="X439" s="520"/>
      <c r="Y439" s="520"/>
      <c r="Z439" s="520"/>
      <c r="AA439" s="520"/>
      <c r="AB439" s="520"/>
      <c r="AC439" s="520"/>
      <c r="AD439" s="520"/>
      <c r="AE439" s="520"/>
      <c r="AF439" s="520"/>
      <c r="AG439" s="520"/>
      <c r="AH439" s="520"/>
      <c r="AI439" s="520"/>
      <c r="AJ439" s="520"/>
      <c r="AK439" s="520"/>
      <c r="AL439" s="520"/>
      <c r="AM439" s="520"/>
      <c r="AN439" s="520"/>
      <c r="AO439" s="520"/>
      <c r="AP439" s="520"/>
      <c r="AQ439" s="520"/>
      <c r="AR439" s="520"/>
      <c r="AS439" s="520"/>
      <c r="AT439" s="520"/>
      <c r="AU439" s="520"/>
      <c r="AV439" s="520"/>
      <c r="AW439" s="520"/>
      <c r="AX439" s="520"/>
      <c r="AY439" s="520"/>
      <c r="AZ439" s="520"/>
      <c r="BA439" s="520"/>
      <c r="BB439" s="520"/>
      <c r="BC439" s="520"/>
      <c r="BD439" s="520"/>
      <c r="BE439" s="520"/>
      <c r="BF439" s="520"/>
      <c r="BG439" s="521">
        <f t="shared" ref="BG439:BK439" si="2004">BG437+BG438</f>
        <v>1771</v>
      </c>
      <c r="BH439" s="521">
        <f t="shared" si="2004"/>
        <v>1761</v>
      </c>
      <c r="BI439" s="521">
        <f t="shared" si="2004"/>
        <v>1877</v>
      </c>
      <c r="BJ439" s="521">
        <f t="shared" si="2004"/>
        <v>1954</v>
      </c>
      <c r="BK439" s="521">
        <f t="shared" si="2004"/>
        <v>7363</v>
      </c>
      <c r="BL439" s="521">
        <f>BL437+BL438</f>
        <v>2603.0409999999997</v>
      </c>
      <c r="BM439" s="521">
        <f t="shared" ref="BM439:CR439" si="2005">BM437+BM438</f>
        <v>2496.6529999999998</v>
      </c>
      <c r="BN439" s="521">
        <f t="shared" ref="BN439:BP439" si="2006">BN437+BN438</f>
        <v>2341.605</v>
      </c>
      <c r="BO439" s="521">
        <f t="shared" si="2006"/>
        <v>5013.389000000001</v>
      </c>
      <c r="BP439" s="521">
        <f t="shared" si="2006"/>
        <v>12454.688</v>
      </c>
      <c r="BQ439" s="521">
        <f t="shared" si="2005"/>
        <v>2419.9369999999999</v>
      </c>
      <c r="BR439" s="521">
        <f t="shared" ref="BR439:BS439" si="2007">BR437+BR438</f>
        <v>2499.5870000000004</v>
      </c>
      <c r="BS439" s="521">
        <f t="shared" si="2007"/>
        <v>2500.0769999999993</v>
      </c>
      <c r="BT439" s="521">
        <f t="shared" ref="BT439:BU439" si="2008">BT437+BT438</f>
        <v>2536.6260000000011</v>
      </c>
      <c r="BU439" s="521">
        <f t="shared" si="2008"/>
        <v>9956.2270000000008</v>
      </c>
      <c r="BV439" s="521">
        <f t="shared" ref="BV439:BW439" si="2009">BV437+BV438</f>
        <v>2560.8670000000002</v>
      </c>
      <c r="BW439" s="521">
        <f t="shared" si="2009"/>
        <v>2535.7119999999995</v>
      </c>
      <c r="BX439" s="521">
        <f t="shared" ref="BX439" si="2010">BX437+BX438</f>
        <v>2580.4620000000004</v>
      </c>
      <c r="BY439" s="521">
        <f t="shared" ref="BY439:CA439" si="2011">BY437+BY438</f>
        <v>2887.2550000000001</v>
      </c>
      <c r="BZ439" s="521">
        <f t="shared" si="2011"/>
        <v>10564.296</v>
      </c>
      <c r="CA439" s="521">
        <f t="shared" si="2011"/>
        <v>2737.9949999999999</v>
      </c>
      <c r="CB439" s="521">
        <f t="shared" ref="CB439:CC439" si="2012">CB437+CB438</f>
        <v>2830.1390000000001</v>
      </c>
      <c r="CC439" s="521">
        <f t="shared" si="2012"/>
        <v>2956.7470000000012</v>
      </c>
      <c r="CD439" s="521">
        <f t="shared" ref="CD439:CE439" si="2013">CD437+CD438</f>
        <v>2822.8769999999986</v>
      </c>
      <c r="CE439" s="521">
        <f t="shared" si="2013"/>
        <v>11347.758</v>
      </c>
      <c r="CF439" s="521">
        <f t="shared" ref="CF439:CG439" si="2014">CF437+CF438</f>
        <v>3007.2190000000001</v>
      </c>
      <c r="CG439" s="521">
        <f t="shared" si="2014"/>
        <v>3166.6189999999997</v>
      </c>
      <c r="CH439" s="521">
        <f t="shared" ref="CH439:CK439" si="2015">CH437+CH438</f>
        <v>2900.0280000000002</v>
      </c>
      <c r="CI439" s="521">
        <f t="shared" si="2015"/>
        <v>3000.4689999999991</v>
      </c>
      <c r="CJ439" s="521">
        <f t="shared" si="2015"/>
        <v>12074.334999999999</v>
      </c>
      <c r="CK439" s="521">
        <f t="shared" si="2015"/>
        <v>2871.3240000000001</v>
      </c>
      <c r="CL439" s="521">
        <f t="shared" ref="CL439" si="2016">CL437+CL438</f>
        <v>4641.3360000000011</v>
      </c>
      <c r="CM439" s="521">
        <f t="shared" ref="CM439" si="2017">CM437+CM438</f>
        <v>5171.6169999999984</v>
      </c>
      <c r="CN439" s="521"/>
      <c r="CO439" s="521">
        <f t="shared" si="2005"/>
        <v>11637.646720599998</v>
      </c>
      <c r="CP439" s="521">
        <f t="shared" si="2005"/>
        <v>13376.574207061336</v>
      </c>
      <c r="CQ439" s="521">
        <f t="shared" si="2005"/>
        <v>12924.947509457192</v>
      </c>
      <c r="CR439" s="521">
        <f t="shared" si="2005"/>
        <v>12558.59208718982</v>
      </c>
      <c r="CS439" s="521">
        <f t="shared" ref="CS439:CT439" si="2018">CS437+CS438</f>
        <v>12354.60895148493</v>
      </c>
      <c r="CT439" s="521">
        <f t="shared" si="2018"/>
        <v>12285.76095670237</v>
      </c>
      <c r="CU439" s="347"/>
      <c r="CV439" s="1363"/>
      <c r="CW439" s="347"/>
      <c r="CX439" s="347"/>
      <c r="CY439" s="347"/>
      <c r="CZ439" s="347"/>
      <c r="DA439" s="347"/>
      <c r="DC439" s="456"/>
      <c r="DD439" s="519"/>
      <c r="DE439" s="519"/>
      <c r="DF439" s="519"/>
      <c r="DG439" s="519"/>
      <c r="DH439" s="519"/>
      <c r="DI439" s="519"/>
      <c r="DJ439" s="519"/>
      <c r="DK439" s="519"/>
      <c r="DL439" s="519"/>
    </row>
    <row r="440" spans="1:146" hidden="1" outlineLevel="1">
      <c r="B440" s="562"/>
      <c r="C440" s="426"/>
      <c r="D440" s="427"/>
      <c r="E440" s="427"/>
      <c r="F440" s="427"/>
      <c r="G440" s="427"/>
      <c r="H440" s="427"/>
      <c r="I440" s="427"/>
      <c r="J440" s="427"/>
      <c r="K440" s="427"/>
      <c r="L440" s="427"/>
      <c r="M440" s="427"/>
      <c r="N440" s="427"/>
      <c r="O440" s="427"/>
      <c r="P440" s="427"/>
      <c r="Q440" s="427"/>
      <c r="R440" s="427"/>
      <c r="S440" s="427"/>
      <c r="T440" s="427"/>
      <c r="U440" s="427"/>
      <c r="V440" s="427"/>
      <c r="W440" s="427"/>
      <c r="X440" s="427"/>
      <c r="Y440" s="427"/>
      <c r="Z440" s="427"/>
      <c r="AA440" s="427"/>
      <c r="AB440" s="427"/>
      <c r="AC440" s="427"/>
      <c r="AD440" s="427"/>
      <c r="AE440" s="427"/>
      <c r="AF440" s="427"/>
      <c r="AG440" s="427"/>
      <c r="AH440" s="427"/>
      <c r="AI440" s="427"/>
      <c r="AJ440" s="427"/>
      <c r="AK440" s="427"/>
      <c r="AL440" s="347"/>
      <c r="AM440" s="347"/>
      <c r="AN440" s="347"/>
      <c r="AO440" s="347"/>
      <c r="AP440" s="347"/>
      <c r="AQ440" s="347"/>
      <c r="AR440" s="347"/>
      <c r="AS440" s="347"/>
      <c r="AT440" s="347"/>
      <c r="AU440" s="347"/>
      <c r="AV440" s="347"/>
      <c r="AW440" s="347"/>
      <c r="AX440" s="347"/>
      <c r="AY440" s="347"/>
      <c r="AZ440" s="347"/>
      <c r="BA440" s="347"/>
      <c r="BB440" s="347"/>
      <c r="BC440" s="347"/>
      <c r="BD440" s="347"/>
      <c r="BE440" s="347"/>
      <c r="BF440" s="347"/>
      <c r="BG440" s="347"/>
      <c r="BH440" s="347"/>
      <c r="BI440" s="347"/>
      <c r="BJ440" s="347"/>
      <c r="BK440" s="347"/>
      <c r="BL440" s="347"/>
      <c r="BM440" s="347"/>
      <c r="BN440" s="347"/>
      <c r="BO440" s="347"/>
      <c r="BP440" s="347"/>
      <c r="BQ440" s="347"/>
      <c r="BR440" s="347"/>
      <c r="BS440" s="347"/>
      <c r="BT440" s="347"/>
      <c r="BU440" s="347"/>
      <c r="BV440" s="347"/>
      <c r="BW440" s="347"/>
      <c r="BX440" s="347"/>
      <c r="BY440" s="347"/>
      <c r="BZ440" s="347"/>
      <c r="CA440" s="347"/>
      <c r="CB440" s="347"/>
      <c r="CC440" s="347"/>
      <c r="CD440" s="347"/>
      <c r="CE440" s="347"/>
      <c r="CF440" s="347"/>
      <c r="CG440" s="347"/>
      <c r="CH440" s="347"/>
      <c r="CI440" s="347"/>
      <c r="CJ440" s="347"/>
      <c r="CK440" s="347"/>
      <c r="CL440" s="347"/>
      <c r="CM440" s="347"/>
      <c r="CN440" s="347"/>
      <c r="CO440" s="347"/>
      <c r="CP440" s="347"/>
      <c r="CQ440" s="347"/>
      <c r="CR440" s="347"/>
      <c r="CS440" s="347"/>
      <c r="CT440" s="347"/>
      <c r="CU440" s="347"/>
      <c r="CV440" s="1363"/>
      <c r="CW440" s="347"/>
      <c r="CX440" s="347"/>
      <c r="CY440" s="347"/>
      <c r="CZ440" s="347"/>
      <c r="DA440" s="347"/>
      <c r="EM440" s="399"/>
    </row>
    <row r="441" spans="1:146" hidden="1" outlineLevel="1">
      <c r="B441" s="562"/>
      <c r="C441" s="426"/>
      <c r="D441" s="427"/>
      <c r="E441" s="427"/>
      <c r="F441" s="427"/>
      <c r="G441" s="427"/>
      <c r="H441" s="427"/>
      <c r="I441" s="427"/>
      <c r="J441" s="427"/>
      <c r="K441" s="427"/>
      <c r="L441" s="427"/>
      <c r="M441" s="427"/>
      <c r="N441" s="427"/>
      <c r="O441" s="427"/>
      <c r="P441" s="427"/>
      <c r="Q441" s="427"/>
      <c r="R441" s="427"/>
      <c r="S441" s="427"/>
      <c r="T441" s="427"/>
      <c r="U441" s="427"/>
      <c r="V441" s="427"/>
      <c r="W441" s="427"/>
      <c r="X441" s="427"/>
      <c r="Y441" s="427"/>
      <c r="Z441" s="427"/>
      <c r="AA441" s="427"/>
      <c r="AB441" s="427"/>
      <c r="AC441" s="427"/>
      <c r="AD441" s="427"/>
      <c r="AE441" s="427"/>
      <c r="AF441" s="427"/>
      <c r="AG441" s="427"/>
      <c r="AH441" s="427"/>
      <c r="AI441" s="427"/>
      <c r="AJ441" s="427"/>
      <c r="AK441" s="427"/>
      <c r="AL441" s="347"/>
      <c r="AM441" s="347"/>
      <c r="AN441" s="347"/>
      <c r="AO441" s="347"/>
      <c r="AP441" s="347"/>
      <c r="AQ441" s="347"/>
      <c r="AR441" s="347"/>
      <c r="AS441" s="347"/>
      <c r="AT441" s="347"/>
      <c r="AU441" s="347"/>
      <c r="AV441" s="347"/>
      <c r="AW441" s="347"/>
      <c r="AX441" s="347"/>
      <c r="AY441" s="347"/>
      <c r="AZ441" s="347"/>
      <c r="BA441" s="347"/>
      <c r="BB441" s="347"/>
      <c r="BC441" s="347"/>
      <c r="BD441" s="347"/>
      <c r="BE441" s="347"/>
      <c r="BF441" s="347"/>
      <c r="BG441" s="347"/>
      <c r="BH441" s="347"/>
      <c r="BI441" s="347"/>
      <c r="BJ441" s="347"/>
      <c r="BK441" s="347"/>
      <c r="BL441" s="347"/>
      <c r="BM441" s="347"/>
      <c r="BN441" s="347"/>
      <c r="BO441" s="347"/>
      <c r="BP441" s="347"/>
      <c r="BQ441" s="347"/>
      <c r="BR441" s="347"/>
      <c r="BS441" s="347"/>
      <c r="BT441" s="347"/>
      <c r="BU441" s="347"/>
      <c r="BV441" s="347"/>
      <c r="BW441" s="347"/>
      <c r="BX441" s="347"/>
      <c r="BY441" s="347"/>
      <c r="BZ441" s="347"/>
      <c r="CA441" s="347"/>
      <c r="CB441" s="347"/>
      <c r="CC441" s="347"/>
      <c r="CD441" s="347"/>
      <c r="CE441" s="347"/>
      <c r="CF441" s="347"/>
      <c r="CG441" s="347"/>
      <c r="CH441" s="347"/>
      <c r="CI441" s="347"/>
      <c r="CJ441" s="347"/>
      <c r="CK441" s="347"/>
      <c r="CL441" s="347"/>
      <c r="CM441" s="347"/>
      <c r="CN441" s="347"/>
      <c r="CO441" s="347"/>
      <c r="CP441" s="347"/>
      <c r="CQ441" s="347"/>
      <c r="CR441" s="347"/>
      <c r="CS441" s="347"/>
      <c r="CT441" s="347"/>
      <c r="CU441" s="347"/>
      <c r="CV441" s="1363"/>
      <c r="CW441" s="347"/>
      <c r="CX441" s="347"/>
      <c r="CY441" s="347"/>
      <c r="CZ441" s="347"/>
      <c r="DA441" s="347"/>
      <c r="EM441" s="399"/>
    </row>
    <row r="442" spans="1:146" hidden="1" outlineLevel="1">
      <c r="B442" s="559" t="s">
        <v>582</v>
      </c>
      <c r="C442" s="499">
        <f>C419-C437</f>
        <v>1761</v>
      </c>
      <c r="D442" s="499"/>
      <c r="E442" s="499"/>
      <c r="F442" s="499"/>
      <c r="G442" s="499"/>
      <c r="H442" s="499">
        <f>H419-H437</f>
        <v>1752.33</v>
      </c>
      <c r="I442" s="499"/>
      <c r="J442" s="499"/>
      <c r="K442" s="499"/>
      <c r="L442" s="499"/>
      <c r="M442" s="499">
        <f>M419-M437</f>
        <v>6206</v>
      </c>
      <c r="N442" s="499"/>
      <c r="O442" s="499"/>
      <c r="P442" s="499"/>
      <c r="Q442" s="499"/>
      <c r="R442" s="499">
        <f>R419-R437</f>
        <v>9289</v>
      </c>
      <c r="S442" s="499"/>
      <c r="T442" s="499"/>
      <c r="U442" s="499"/>
      <c r="V442" s="499"/>
      <c r="W442" s="499">
        <f>W419-W437</f>
        <v>9350</v>
      </c>
      <c r="X442" s="499"/>
      <c r="Y442" s="499"/>
      <c r="Z442" s="499"/>
      <c r="AA442" s="499"/>
      <c r="AB442" s="499">
        <f>AB419-AB437</f>
        <v>9746</v>
      </c>
      <c r="AC442" s="499"/>
      <c r="AD442" s="499"/>
      <c r="AE442" s="499"/>
      <c r="AF442" s="499"/>
      <c r="AG442" s="499">
        <f>AG419-AG437</f>
        <v>8660</v>
      </c>
      <c r="AH442" s="499"/>
      <c r="AI442" s="499"/>
      <c r="AJ442" s="499"/>
      <c r="AK442" s="499"/>
      <c r="AL442" s="499">
        <f>AL419-AL437</f>
        <v>8624</v>
      </c>
      <c r="AM442" s="499"/>
      <c r="AN442" s="499"/>
      <c r="AO442" s="499"/>
      <c r="AP442" s="499"/>
      <c r="AQ442" s="499">
        <f>AQ419-AQ437</f>
        <v>8392</v>
      </c>
      <c r="AR442" s="499"/>
      <c r="AS442" s="499"/>
      <c r="AT442" s="499"/>
      <c r="AU442" s="499"/>
      <c r="AV442" s="499">
        <f>AV419-AV437</f>
        <v>8058</v>
      </c>
      <c r="AW442" s="499"/>
      <c r="AX442" s="499"/>
      <c r="AY442" s="499"/>
      <c r="AZ442" s="499"/>
      <c r="BA442" s="499">
        <f t="shared" ref="BA442:BF442" si="2019">BA419-BA437</f>
        <v>8321</v>
      </c>
      <c r="BB442" s="499">
        <f t="shared" si="2019"/>
        <v>1985.3649999999998</v>
      </c>
      <c r="BC442" s="499">
        <f t="shared" si="2019"/>
        <v>2000.6769999999997</v>
      </c>
      <c r="BD442" s="499">
        <f t="shared" si="2019"/>
        <v>2176.17</v>
      </c>
      <c r="BE442" s="499">
        <f t="shared" si="2019"/>
        <v>2351.6000000000004</v>
      </c>
      <c r="BF442" s="499">
        <f t="shared" si="2019"/>
        <v>8513.8120000000017</v>
      </c>
      <c r="BG442" s="499">
        <f t="shared" ref="BG442:CR442" si="2020">BG419-BG439</f>
        <v>2278.2240000000002</v>
      </c>
      <c r="BH442" s="499">
        <f t="shared" si="2020"/>
        <v>2471.6049999999996</v>
      </c>
      <c r="BI442" s="499">
        <f t="shared" si="2020"/>
        <v>2608.6930000000002</v>
      </c>
      <c r="BJ442" s="499">
        <f t="shared" si="2020"/>
        <v>2608.33</v>
      </c>
      <c r="BK442" s="499">
        <f t="shared" si="2020"/>
        <v>9966.851999999999</v>
      </c>
      <c r="BL442" s="499">
        <f t="shared" si="2020"/>
        <v>3183.9769999999985</v>
      </c>
      <c r="BM442" s="499">
        <f t="shared" si="2020"/>
        <v>3306.002</v>
      </c>
      <c r="BN442" s="499">
        <f t="shared" ref="BN442:BP442" si="2021">BN419-BN439</f>
        <v>3404.8919999999994</v>
      </c>
      <c r="BO442" s="499">
        <f t="shared" si="2021"/>
        <v>3165.1550000000007</v>
      </c>
      <c r="BP442" s="499">
        <f t="shared" si="2021"/>
        <v>13060.025999999996</v>
      </c>
      <c r="BQ442" s="499">
        <f t="shared" si="2020"/>
        <v>3118.7890000000007</v>
      </c>
      <c r="BR442" s="499">
        <f t="shared" ref="BR442:BS442" si="2022">BR419-BR439</f>
        <v>3368.813000000001</v>
      </c>
      <c r="BS442" s="499">
        <f t="shared" si="2022"/>
        <v>3417.9339999999993</v>
      </c>
      <c r="BT442" s="499">
        <f t="shared" ref="BT442:BU442" si="2023">BT419-BT439</f>
        <v>3381.2489999999998</v>
      </c>
      <c r="BU442" s="499">
        <f t="shared" si="2023"/>
        <v>13286.785000000002</v>
      </c>
      <c r="BV442" s="499">
        <f t="shared" ref="BV442:BW442" si="2024">BV419-BV439</f>
        <v>3173.9040000000005</v>
      </c>
      <c r="BW442" s="499">
        <f t="shared" si="2024"/>
        <v>3560.4429999999993</v>
      </c>
      <c r="BX442" s="499">
        <f>BX419-BX439</f>
        <v>3642.7470000000039</v>
      </c>
      <c r="BY442" s="499">
        <f>BY419-BY439</f>
        <v>3858.2509999999975</v>
      </c>
      <c r="BZ442" s="499">
        <f t="shared" ref="BZ442:CA442" si="2025">BZ419-BZ439</f>
        <v>16859.349000000002</v>
      </c>
      <c r="CA442" s="499">
        <f t="shared" si="2025"/>
        <v>3583.1459999999997</v>
      </c>
      <c r="CB442" s="499">
        <f t="shared" ref="CB442:CC442" si="2026">CB419-CB439</f>
        <v>4068.8030000000017</v>
      </c>
      <c r="CC442" s="499">
        <f t="shared" si="2026"/>
        <v>4102.7489999999998</v>
      </c>
      <c r="CD442" s="499">
        <f t="shared" ref="CD442:CE442" si="2027">CD419-CD439</f>
        <v>4130.0300000000016</v>
      </c>
      <c r="CE442" s="499">
        <f t="shared" si="2027"/>
        <v>18819.889999999992</v>
      </c>
      <c r="CF442" s="499">
        <f t="shared" ref="CF442:CG442" si="2028">CF419-CF439</f>
        <v>4454.3540000000003</v>
      </c>
      <c r="CG442" s="499">
        <f t="shared" si="2028"/>
        <v>4503.4370000000017</v>
      </c>
      <c r="CH442" s="499">
        <f t="shared" ref="CH442:CI442" si="2029">CH419-CH439</f>
        <v>4338.7879999999986</v>
      </c>
      <c r="CI442" s="499">
        <f t="shared" si="2029"/>
        <v>4583.2590000000018</v>
      </c>
      <c r="CJ442" s="499">
        <f t="shared" si="2020"/>
        <v>-13561.718000000001</v>
      </c>
      <c r="CK442" s="499">
        <f t="shared" si="2020"/>
        <v>4321.0789999999997</v>
      </c>
      <c r="CL442" s="499">
        <f t="shared" ref="CL442" si="2030">CL419-CL439</f>
        <v>4486.6740000000009</v>
      </c>
      <c r="CM442" s="499">
        <f t="shared" ref="CM442" si="2031">CM419-CM439</f>
        <v>4857.4039999999986</v>
      </c>
      <c r="CN442" s="499"/>
      <c r="CO442" s="499">
        <f t="shared" si="2020"/>
        <v>-19446.602979278239</v>
      </c>
      <c r="CP442" s="499">
        <f t="shared" si="2020"/>
        <v>-21245.716906476824</v>
      </c>
      <c r="CQ442" s="499">
        <f t="shared" si="2020"/>
        <v>-21286.024440034791</v>
      </c>
      <c r="CR442" s="499">
        <f t="shared" si="2020"/>
        <v>-21799.595395214303</v>
      </c>
      <c r="CS442" s="499">
        <f t="shared" ref="CS442:CT442" si="2032">CS419-CS439</f>
        <v>-22688.842783325228</v>
      </c>
      <c r="CT442" s="499">
        <f t="shared" si="2032"/>
        <v>-23609.367412861164</v>
      </c>
      <c r="CU442" s="347"/>
      <c r="CV442" s="1363"/>
      <c r="CW442" s="347"/>
      <c r="CX442" s="347"/>
      <c r="CY442" s="347"/>
      <c r="CZ442" s="347"/>
      <c r="DA442" s="347"/>
      <c r="EA442" s="399"/>
      <c r="EB442" s="399"/>
      <c r="EN442" s="399"/>
      <c r="EO442" s="399"/>
      <c r="EP442" s="399"/>
    </row>
    <row r="443" spans="1:146" hidden="1" outlineLevel="1">
      <c r="B443" s="562" t="s">
        <v>78</v>
      </c>
      <c r="C443" s="426">
        <f>C465</f>
        <v>0.22027534418022529</v>
      </c>
      <c r="D443" s="426"/>
      <c r="E443" s="426"/>
      <c r="F443" s="426"/>
      <c r="G443" s="426"/>
      <c r="H443" s="426">
        <f>H465</f>
        <v>0.14534052214805498</v>
      </c>
      <c r="I443" s="426"/>
      <c r="J443" s="426"/>
      <c r="K443" s="426"/>
      <c r="L443" s="426"/>
      <c r="M443" s="426">
        <f>M465</f>
        <v>0.17976216531699132</v>
      </c>
      <c r="N443" s="426"/>
      <c r="O443" s="426"/>
      <c r="P443" s="426"/>
      <c r="Q443" s="426"/>
      <c r="R443" s="426">
        <f>R465</f>
        <v>0.29581901489117984</v>
      </c>
      <c r="S443" s="426"/>
      <c r="T443" s="426"/>
      <c r="U443" s="426"/>
      <c r="V443" s="426"/>
      <c r="W443" s="426">
        <f>W465</f>
        <v>0.25544847223743294</v>
      </c>
      <c r="X443" s="426"/>
      <c r="Y443" s="426"/>
      <c r="Z443" s="426"/>
      <c r="AA443" s="426"/>
      <c r="AB443" s="426">
        <f>AB465</f>
        <v>0.22313891935714628</v>
      </c>
      <c r="AC443" s="426"/>
      <c r="AD443" s="426"/>
      <c r="AE443" s="426"/>
      <c r="AF443" s="426"/>
      <c r="AG443" s="426">
        <f>AG465</f>
        <v>0.13636791121978745</v>
      </c>
      <c r="AH443" s="426"/>
      <c r="AI443" s="426"/>
      <c r="AJ443" s="426"/>
      <c r="AK443" s="426"/>
      <c r="AL443" s="426">
        <f>AL465</f>
        <v>7.0971867007672634E-2</v>
      </c>
      <c r="AM443" s="426"/>
      <c r="AN443" s="426"/>
      <c r="AO443" s="426"/>
      <c r="AP443" s="426"/>
      <c r="AQ443" s="426">
        <f>AQ465</f>
        <v>5.4994535519125684E-2</v>
      </c>
      <c r="AR443" s="426"/>
      <c r="AS443" s="426"/>
      <c r="AT443" s="426"/>
      <c r="AU443" s="426"/>
      <c r="AV443" s="426">
        <f>AV465</f>
        <v>5.1541561240745946E-4</v>
      </c>
      <c r="AW443" s="426"/>
      <c r="AX443" s="426"/>
      <c r="AY443" s="426"/>
      <c r="AZ443" s="426"/>
      <c r="BA443" s="426">
        <f>BA465</f>
        <v>5.9890710382513659E-2</v>
      </c>
      <c r="BB443" s="426"/>
      <c r="BC443" s="426"/>
      <c r="BD443" s="426"/>
      <c r="BE443" s="426"/>
      <c r="BF443" s="426">
        <f>BF465</f>
        <v>-0.13549088767107903</v>
      </c>
      <c r="BG443" s="426">
        <f t="shared" ref="BG443:BJ443" si="2033">BG465</f>
        <v>0.11217946569460104</v>
      </c>
      <c r="BH443" s="426">
        <f t="shared" si="2033"/>
        <v>8.7223283497135359E-2</v>
      </c>
      <c r="BI443" s="426">
        <f t="shared" si="2033"/>
        <v>0.11309324251631379</v>
      </c>
      <c r="BJ443" s="426">
        <f t="shared" si="2033"/>
        <v>0.10199100794874875</v>
      </c>
      <c r="BK443" s="426">
        <f>BK465</f>
        <v>0.10356962273919411</v>
      </c>
      <c r="BL443" s="426">
        <f>BL442/BL225</f>
        <v>0.49005741131766817</v>
      </c>
      <c r="BM443" s="426">
        <f>BM442/BM225</f>
        <v>0.50204973144303977</v>
      </c>
      <c r="BN443" s="426">
        <f>BN442/BN225</f>
        <v>0.517933778735018</v>
      </c>
      <c r="BO443" s="426">
        <f>BO442/BO225</f>
        <v>0.49821862116209431</v>
      </c>
      <c r="BP443" s="426">
        <f>BP465</f>
        <v>2.3273089663442728E-2</v>
      </c>
      <c r="BQ443" s="426">
        <f>BQ442/BQ225</f>
        <v>0.49921686958161399</v>
      </c>
      <c r="BR443" s="426">
        <f>BR442/BR225</f>
        <v>0.50080201152518078</v>
      </c>
      <c r="BS443" s="426">
        <f>BS442/BS225</f>
        <v>0.50072326462636785</v>
      </c>
      <c r="BT443" s="426">
        <f>BT442/BT225</f>
        <v>0.48624080132795366</v>
      </c>
      <c r="BU443" s="426">
        <f>BU465</f>
        <v>0.12449602957309265</v>
      </c>
      <c r="BV443" s="426">
        <f>BV442/BV225</f>
        <v>0.4707618251338353</v>
      </c>
      <c r="BW443" s="426">
        <f>BW442/BW225</f>
        <v>0.48555417408033363</v>
      </c>
      <c r="BX443" s="426">
        <f>BX442/BX225</f>
        <v>0.48436919926601635</v>
      </c>
      <c r="BY443" s="426">
        <f>BY442/BY225</f>
        <v>0.51125726387294701</v>
      </c>
      <c r="BZ443" s="426">
        <f>BZ465</f>
        <v>0.11555449949974812</v>
      </c>
      <c r="CA443" s="426">
        <f t="shared" ref="CA443:CT443" si="2034">CA442/CA225</f>
        <v>0.47475714571151312</v>
      </c>
      <c r="CB443" s="426">
        <f t="shared" si="2034"/>
        <v>0.49515668531007462</v>
      </c>
      <c r="CC443" s="426">
        <f t="shared" ref="CC443:CD443" si="2035">CC442/CC225</f>
        <v>0.50630738650548412</v>
      </c>
      <c r="CD443" s="426">
        <f t="shared" si="2035"/>
        <v>0.48848074956294313</v>
      </c>
      <c r="CE443" s="426">
        <f>CE465</f>
        <v>0.12868756210148374</v>
      </c>
      <c r="CF443" s="426">
        <f t="shared" ref="CF443:CG443" si="2036">CF442/CF225</f>
        <v>0.52787432517389499</v>
      </c>
      <c r="CG443" s="426">
        <f t="shared" si="2036"/>
        <v>0.52284614791615591</v>
      </c>
      <c r="CH443" s="426">
        <f t="shared" ref="CH443:CI443" si="2037">CH442/CH225</f>
        <v>0.52212817278461343</v>
      </c>
      <c r="CI443" s="426">
        <f t="shared" si="2037"/>
        <v>0.50754868172150613</v>
      </c>
      <c r="CJ443" s="426">
        <f t="shared" si="2034"/>
        <v>-4.597128650076387</v>
      </c>
      <c r="CK443" s="426">
        <f t="shared" si="2034"/>
        <v>0.50238229023771974</v>
      </c>
      <c r="CL443" s="426">
        <f t="shared" ref="CL443" si="2038">CL442/CL225</f>
        <v>0.42755812835432866</v>
      </c>
      <c r="CM443" s="426">
        <f t="shared" ref="CM443" si="2039">CM442/CM225</f>
        <v>0.42413226237711371</v>
      </c>
      <c r="CN443" s="426"/>
      <c r="CO443" s="426">
        <f t="shared" si="2034"/>
        <v>-6.5263081767307547</v>
      </c>
      <c r="CP443" s="426">
        <f t="shared" si="2034"/>
        <v>-7.0590680467794451</v>
      </c>
      <c r="CQ443" s="426">
        <f t="shared" si="2034"/>
        <v>-7.0020135428029899</v>
      </c>
      <c r="CR443" s="426">
        <f t="shared" si="2034"/>
        <v>-7.0995283222868482</v>
      </c>
      <c r="CS443" s="426">
        <f t="shared" si="2034"/>
        <v>-7.3155391744776423</v>
      </c>
      <c r="CT443" s="426">
        <f t="shared" si="2034"/>
        <v>-7.5365317432947441</v>
      </c>
      <c r="CU443" s="347"/>
      <c r="CV443" s="1363"/>
      <c r="CW443" s="347"/>
      <c r="CX443" s="347"/>
      <c r="CY443" s="347"/>
      <c r="CZ443" s="347"/>
      <c r="DA443" s="347"/>
      <c r="EM443" s="399"/>
    </row>
    <row r="444" spans="1:146" hidden="1" outlineLevel="1">
      <c r="B444" s="562"/>
      <c r="C444" s="426"/>
      <c r="D444" s="426"/>
      <c r="E444" s="426"/>
      <c r="F444" s="426"/>
      <c r="G444" s="426"/>
      <c r="H444" s="426"/>
      <c r="I444" s="426"/>
      <c r="J444" s="426"/>
      <c r="K444" s="426"/>
      <c r="L444" s="426"/>
      <c r="M444" s="426"/>
      <c r="N444" s="426"/>
      <c r="O444" s="426"/>
      <c r="P444" s="426"/>
      <c r="Q444" s="426"/>
      <c r="R444" s="426"/>
      <c r="S444" s="426"/>
      <c r="T444" s="426"/>
      <c r="U444" s="426"/>
      <c r="V444" s="426"/>
      <c r="W444" s="426"/>
      <c r="X444" s="426"/>
      <c r="Y444" s="426"/>
      <c r="Z444" s="426"/>
      <c r="AA444" s="426"/>
      <c r="AB444" s="426"/>
      <c r="AC444" s="426"/>
      <c r="AD444" s="426"/>
      <c r="AE444" s="426"/>
      <c r="AF444" s="426"/>
      <c r="AG444" s="426"/>
      <c r="AH444" s="426"/>
      <c r="AI444" s="426"/>
      <c r="AJ444" s="426"/>
      <c r="AK444" s="426"/>
      <c r="AL444" s="426"/>
      <c r="AM444" s="426"/>
      <c r="AN444" s="426"/>
      <c r="AO444" s="426"/>
      <c r="AP444" s="426"/>
      <c r="AQ444" s="426"/>
      <c r="AR444" s="426"/>
      <c r="AS444" s="426"/>
      <c r="AT444" s="426"/>
      <c r="AU444" s="426"/>
      <c r="AV444" s="426"/>
      <c r="AW444" s="426"/>
      <c r="AX444" s="426"/>
      <c r="AY444" s="426"/>
      <c r="AZ444" s="426"/>
      <c r="BA444" s="426"/>
      <c r="BB444" s="426"/>
      <c r="BC444" s="426"/>
      <c r="BD444" s="426"/>
      <c r="BE444" s="426"/>
      <c r="BF444" s="426"/>
      <c r="BG444" s="426"/>
      <c r="BH444" s="426"/>
      <c r="BI444" s="426"/>
      <c r="BJ444" s="426"/>
      <c r="BK444" s="426"/>
      <c r="BL444" s="426"/>
      <c r="BM444" s="426"/>
      <c r="BN444" s="426"/>
      <c r="BO444" s="426"/>
      <c r="BP444" s="426"/>
      <c r="BQ444" s="426"/>
      <c r="BR444" s="426"/>
      <c r="BS444" s="426"/>
      <c r="BT444" s="426"/>
      <c r="BU444" s="426">
        <f>BU442/BU200</f>
        <v>0.53561634204923603</v>
      </c>
      <c r="BV444" s="426"/>
      <c r="BW444" s="426"/>
      <c r="BX444" s="426"/>
      <c r="BY444" s="426"/>
      <c r="BZ444" s="426">
        <f>BZ442/BZ200</f>
        <v>0.60627569196941744</v>
      </c>
      <c r="CA444" s="426"/>
      <c r="CB444" s="426"/>
      <c r="CC444" s="426"/>
      <c r="CD444" s="426"/>
      <c r="CE444" s="426">
        <f>CE442/CE200</f>
        <v>0.60891547411125058</v>
      </c>
      <c r="CF444" s="426"/>
      <c r="CG444" s="426"/>
      <c r="CH444" s="426"/>
      <c r="CI444" s="426"/>
      <c r="CJ444" s="426"/>
      <c r="CK444" s="426"/>
      <c r="CL444" s="426"/>
      <c r="CM444" s="426"/>
      <c r="CN444" s="426"/>
      <c r="CO444" s="426"/>
      <c r="CP444" s="426"/>
      <c r="CQ444" s="426"/>
      <c r="CR444" s="426"/>
      <c r="CS444" s="426"/>
      <c r="CT444" s="426"/>
      <c r="CU444" s="347"/>
      <c r="CV444" s="1363"/>
      <c r="CW444" s="347"/>
      <c r="CX444" s="347"/>
      <c r="CY444" s="347"/>
      <c r="CZ444" s="347"/>
      <c r="DA444" s="347"/>
      <c r="EM444" s="399"/>
    </row>
    <row r="445" spans="1:146" hidden="1" outlineLevel="1">
      <c r="B445" s="562" t="s">
        <v>501</v>
      </c>
      <c r="C445" s="351"/>
      <c r="D445" s="351"/>
      <c r="E445" s="351"/>
      <c r="F445" s="351"/>
      <c r="G445" s="351"/>
      <c r="H445" s="351"/>
      <c r="I445" s="351">
        <f t="shared" ref="I445:AN445" si="2040">I464-I442</f>
        <v>225</v>
      </c>
      <c r="J445" s="351">
        <f t="shared" si="2040"/>
        <v>524</v>
      </c>
      <c r="K445" s="351">
        <f t="shared" si="2040"/>
        <v>745</v>
      </c>
      <c r="L445" s="351">
        <f t="shared" si="2040"/>
        <v>970</v>
      </c>
      <c r="M445" s="351">
        <f t="shared" si="2040"/>
        <v>-3742</v>
      </c>
      <c r="N445" s="351">
        <f t="shared" si="2040"/>
        <v>1169</v>
      </c>
      <c r="O445" s="351">
        <f t="shared" si="2040"/>
        <v>1311</v>
      </c>
      <c r="P445" s="351">
        <f t="shared" si="2040"/>
        <v>1359</v>
      </c>
      <c r="Q445" s="351">
        <f t="shared" si="2040"/>
        <v>1326</v>
      </c>
      <c r="R445" s="351">
        <f t="shared" si="2040"/>
        <v>-4124</v>
      </c>
      <c r="S445" s="351">
        <f t="shared" si="2040"/>
        <v>1176</v>
      </c>
      <c r="T445" s="351">
        <f t="shared" si="2040"/>
        <v>1230</v>
      </c>
      <c r="U445" s="351">
        <f t="shared" si="2040"/>
        <v>1100</v>
      </c>
      <c r="V445" s="351">
        <f t="shared" si="2040"/>
        <v>1159</v>
      </c>
      <c r="W445" s="351">
        <f t="shared" si="2040"/>
        <v>-4685</v>
      </c>
      <c r="X445" s="351">
        <f t="shared" si="2040"/>
        <v>1178</v>
      </c>
      <c r="Y445" s="351">
        <f t="shared" si="2040"/>
        <v>1289</v>
      </c>
      <c r="Z445" s="351">
        <f t="shared" si="2040"/>
        <v>1217</v>
      </c>
      <c r="AA445" s="351">
        <f t="shared" si="2040"/>
        <v>995</v>
      </c>
      <c r="AB445" s="351">
        <f t="shared" si="2040"/>
        <v>-5067</v>
      </c>
      <c r="AC445" s="351">
        <f t="shared" si="2040"/>
        <v>699</v>
      </c>
      <c r="AD445" s="351">
        <f t="shared" si="2040"/>
        <v>753</v>
      </c>
      <c r="AE445" s="351">
        <f t="shared" si="2040"/>
        <v>682</v>
      </c>
      <c r="AF445" s="351">
        <f t="shared" si="2040"/>
        <v>766</v>
      </c>
      <c r="AG445" s="351">
        <f t="shared" si="2040"/>
        <v>-5760</v>
      </c>
      <c r="AH445" s="351">
        <f t="shared" si="2040"/>
        <v>644</v>
      </c>
      <c r="AI445" s="351">
        <f t="shared" si="2040"/>
        <v>351</v>
      </c>
      <c r="AJ445" s="351">
        <f t="shared" si="2040"/>
        <v>154</v>
      </c>
      <c r="AK445" s="351">
        <f t="shared" si="2040"/>
        <v>516</v>
      </c>
      <c r="AL445" s="351">
        <f t="shared" si="2040"/>
        <v>-6959</v>
      </c>
      <c r="AM445" s="351">
        <f t="shared" si="2040"/>
        <v>86</v>
      </c>
      <c r="AN445" s="351">
        <f t="shared" si="2040"/>
        <v>218</v>
      </c>
      <c r="AO445" s="351">
        <f t="shared" ref="AO445:BM445" si="2041">AO464-AO442</f>
        <v>515</v>
      </c>
      <c r="AP445" s="351">
        <f t="shared" si="2041"/>
        <v>439</v>
      </c>
      <c r="AQ445" s="351">
        <f t="shared" si="2041"/>
        <v>-7134</v>
      </c>
      <c r="AR445" s="351">
        <f t="shared" si="2041"/>
        <v>321</v>
      </c>
      <c r="AS445" s="351">
        <f t="shared" si="2041"/>
        <v>-26</v>
      </c>
      <c r="AT445" s="351">
        <f t="shared" si="2041"/>
        <v>180</v>
      </c>
      <c r="AU445" s="351">
        <f t="shared" si="2041"/>
        <v>-464</v>
      </c>
      <c r="AV445" s="351">
        <f t="shared" si="2041"/>
        <v>-8047</v>
      </c>
      <c r="AW445" s="351">
        <f t="shared" si="2041"/>
        <v>169</v>
      </c>
      <c r="AX445" s="351">
        <f t="shared" si="2041"/>
        <v>371</v>
      </c>
      <c r="AY445" s="351">
        <f t="shared" si="2041"/>
        <v>576</v>
      </c>
      <c r="AZ445" s="351">
        <f t="shared" si="2041"/>
        <v>254</v>
      </c>
      <c r="BA445" s="351">
        <f t="shared" si="2041"/>
        <v>-6951</v>
      </c>
      <c r="BB445" s="351">
        <f t="shared" si="2041"/>
        <v>-1847.3649999999998</v>
      </c>
      <c r="BC445" s="351">
        <f t="shared" si="2041"/>
        <v>-1854.6769999999997</v>
      </c>
      <c r="BD445" s="351">
        <f t="shared" si="2041"/>
        <v>-1924.17</v>
      </c>
      <c r="BE445" s="351">
        <f t="shared" si="2041"/>
        <v>-5995.6</v>
      </c>
      <c r="BF445" s="351">
        <f t="shared" si="2041"/>
        <v>-11621.812000000002</v>
      </c>
      <c r="BG445" s="351">
        <f t="shared" si="2041"/>
        <v>-1608.8240000000001</v>
      </c>
      <c r="BH445" s="351">
        <f t="shared" si="2041"/>
        <v>-1923.0049999999997</v>
      </c>
      <c r="BI445" s="351">
        <f t="shared" si="2041"/>
        <v>-1877.6930000000002</v>
      </c>
      <c r="BJ445" s="351">
        <f t="shared" si="2041"/>
        <v>-1954.33</v>
      </c>
      <c r="BK445" s="351">
        <f t="shared" si="2041"/>
        <v>-7363.851999999999</v>
      </c>
      <c r="BL445" s="351">
        <f t="shared" si="2041"/>
        <v>-1011.2059999999983</v>
      </c>
      <c r="BM445" s="351">
        <f t="shared" si="2041"/>
        <v>-2323.152</v>
      </c>
      <c r="BN445" s="351">
        <f t="shared" ref="BN445:BP445" si="2042">BN464-BN442</f>
        <v>-2269.4249999999997</v>
      </c>
      <c r="BO445" s="351">
        <f t="shared" si="2042"/>
        <v>-4824.1580000000004</v>
      </c>
      <c r="BP445" s="351">
        <f t="shared" si="2042"/>
        <v>-12454.713999999996</v>
      </c>
      <c r="BQ445" s="351">
        <f t="shared" ref="BQ445:BR445" si="2043">BQ464-BQ442</f>
        <v>-2419.7260000000006</v>
      </c>
      <c r="BR445" s="351">
        <f t="shared" si="2043"/>
        <v>-2499.4000000000015</v>
      </c>
      <c r="BS445" s="351">
        <f t="shared" ref="BS445" si="2044">BS464-BS442</f>
        <v>-2500.0109999999986</v>
      </c>
      <c r="BT445" s="351">
        <f t="shared" ref="BT445:BU445" si="2045">BT464-BT442</f>
        <v>-2536.8750000000009</v>
      </c>
      <c r="BU445" s="351">
        <f t="shared" si="2045"/>
        <v>-9956.0120000000024</v>
      </c>
      <c r="BV445" s="351">
        <f t="shared" ref="BV445:BW445" si="2046">BV464-BV442</f>
        <v>-2560.7710000000006</v>
      </c>
      <c r="BW445" s="351">
        <f t="shared" si="2046"/>
        <v>-2536.1549999999988</v>
      </c>
      <c r="BX445" s="351">
        <f t="shared" ref="BX445" si="2047">BX464-BX442</f>
        <v>-2580.2090000000044</v>
      </c>
      <c r="BY445" s="351">
        <f t="shared" ref="BY445:CA445" si="2048">BY464-BY442</f>
        <v>-2887.5059999999976</v>
      </c>
      <c r="BZ445" s="522">
        <f t="shared" si="2048"/>
        <v>-13188.645000000002</v>
      </c>
      <c r="CA445" s="351">
        <f t="shared" si="2048"/>
        <v>-2738.1409999999996</v>
      </c>
      <c r="CB445" s="351">
        <f t="shared" ref="CB445:CC445" si="2049">CB464-CB442</f>
        <v>-2829.9420000000018</v>
      </c>
      <c r="CC445" s="351">
        <f t="shared" si="2049"/>
        <v>-2956.496000000001</v>
      </c>
      <c r="CD445" s="351">
        <f t="shared" ref="CD445:CE445" si="2050">CD464-CD442</f>
        <v>-2822.9070000000002</v>
      </c>
      <c r="CE445" s="522">
        <f t="shared" si="2050"/>
        <v>-14282.647999999992</v>
      </c>
      <c r="CF445" s="351">
        <f t="shared" ref="CF445:CG445" si="2051">CF464-CF442</f>
        <v>-3007.5730000000003</v>
      </c>
      <c r="CG445" s="351">
        <f t="shared" si="2051"/>
        <v>-3167.0560000000014</v>
      </c>
      <c r="CH445" s="351">
        <f t="shared" ref="CH445:CI445" si="2052">CH464-CH442</f>
        <v>-2899.8159999999989</v>
      </c>
      <c r="CI445" s="351">
        <f t="shared" si="2052"/>
        <v>-3000.728000000001</v>
      </c>
      <c r="CJ445" s="504">
        <v>0</v>
      </c>
      <c r="CK445" s="351">
        <f t="shared" ref="CK445:CL445" si="2053">CK464-CK442</f>
        <v>-2871.4029999999998</v>
      </c>
      <c r="CL445" s="351">
        <f t="shared" si="2053"/>
        <v>-4641.010000000002</v>
      </c>
      <c r="CM445" s="351">
        <f t="shared" ref="CM445" si="2054">CM464-CM442</f>
        <v>-5171.020999999997</v>
      </c>
      <c r="CN445" s="351"/>
      <c r="CO445" s="504">
        <v>0</v>
      </c>
      <c r="CP445" s="504">
        <v>0</v>
      </c>
      <c r="CQ445" s="504">
        <v>0</v>
      </c>
      <c r="CR445" s="504">
        <v>0</v>
      </c>
      <c r="CS445" s="504">
        <v>0</v>
      </c>
      <c r="CT445" s="504">
        <v>0</v>
      </c>
      <c r="CU445" s="347"/>
      <c r="CV445" s="1363"/>
      <c r="CW445" s="347"/>
      <c r="CX445" s="347"/>
      <c r="CY445" s="347"/>
      <c r="CZ445" s="429"/>
      <c r="DA445" s="429"/>
      <c r="DC445" s="407"/>
      <c r="DD445" s="417"/>
      <c r="DE445" s="417"/>
      <c r="DF445" s="417"/>
      <c r="DG445" s="417"/>
      <c r="DH445" s="417"/>
      <c r="DI445" s="417"/>
      <c r="DJ445" s="417"/>
      <c r="DK445" s="417"/>
      <c r="DL445" s="417"/>
    </row>
    <row r="446" spans="1:146" hidden="1" outlineLevel="1">
      <c r="B446" s="620" t="s">
        <v>533</v>
      </c>
      <c r="C446" s="484">
        <f>C$4</f>
        <v>2007</v>
      </c>
      <c r="D446" s="484" t="str">
        <f t="shared" ref="D446:CM446" si="2055">D$4</f>
        <v>Q1</v>
      </c>
      <c r="E446" s="484" t="str">
        <f t="shared" si="2055"/>
        <v>Q2</v>
      </c>
      <c r="F446" s="484" t="str">
        <f t="shared" si="2055"/>
        <v>Q3</v>
      </c>
      <c r="G446" s="484" t="str">
        <f t="shared" si="2055"/>
        <v>Q4</v>
      </c>
      <c r="H446" s="484">
        <f t="shared" si="2055"/>
        <v>2008</v>
      </c>
      <c r="I446" s="484" t="str">
        <f t="shared" si="2055"/>
        <v>Q1</v>
      </c>
      <c r="J446" s="484" t="str">
        <f t="shared" si="2055"/>
        <v>Q2</v>
      </c>
      <c r="K446" s="484" t="str">
        <f t="shared" si="2055"/>
        <v>Q3</v>
      </c>
      <c r="L446" s="484" t="str">
        <f t="shared" si="2055"/>
        <v>Q4</v>
      </c>
      <c r="M446" s="484">
        <f t="shared" si="2055"/>
        <v>2009</v>
      </c>
      <c r="N446" s="484" t="str">
        <f t="shared" si="2055"/>
        <v>Q1</v>
      </c>
      <c r="O446" s="484" t="str">
        <f t="shared" si="2055"/>
        <v>Q2</v>
      </c>
      <c r="P446" s="484" t="str">
        <f t="shared" si="2055"/>
        <v>Q3</v>
      </c>
      <c r="Q446" s="484" t="str">
        <f t="shared" si="2055"/>
        <v>Q4</v>
      </c>
      <c r="R446" s="484">
        <f t="shared" si="2055"/>
        <v>2010</v>
      </c>
      <c r="S446" s="484" t="str">
        <f t="shared" si="2055"/>
        <v>Q1</v>
      </c>
      <c r="T446" s="484" t="str">
        <f t="shared" si="2055"/>
        <v>Q2</v>
      </c>
      <c r="U446" s="484" t="str">
        <f t="shared" si="2055"/>
        <v>Q3</v>
      </c>
      <c r="V446" s="484" t="str">
        <f t="shared" si="2055"/>
        <v>Q4</v>
      </c>
      <c r="W446" s="484">
        <f t="shared" si="2055"/>
        <v>2011</v>
      </c>
      <c r="X446" s="484" t="str">
        <f t="shared" si="2055"/>
        <v>Q1</v>
      </c>
      <c r="Y446" s="484" t="str">
        <f t="shared" si="2055"/>
        <v>Q2</v>
      </c>
      <c r="Z446" s="484" t="str">
        <f t="shared" si="2055"/>
        <v>Q3</v>
      </c>
      <c r="AA446" s="484" t="str">
        <f t="shared" si="2055"/>
        <v>Q4</v>
      </c>
      <c r="AB446" s="484">
        <f t="shared" si="2055"/>
        <v>2012</v>
      </c>
      <c r="AC446" s="484" t="str">
        <f t="shared" si="2055"/>
        <v>Q1</v>
      </c>
      <c r="AD446" s="484" t="str">
        <f t="shared" si="2055"/>
        <v>Q2</v>
      </c>
      <c r="AE446" s="484" t="str">
        <f t="shared" si="2055"/>
        <v>Q3</v>
      </c>
      <c r="AF446" s="484" t="str">
        <f t="shared" si="2055"/>
        <v>Q4</v>
      </c>
      <c r="AG446" s="484">
        <f t="shared" si="2055"/>
        <v>2013</v>
      </c>
      <c r="AH446" s="484" t="str">
        <f t="shared" si="2055"/>
        <v>Q1</v>
      </c>
      <c r="AI446" s="484" t="str">
        <f t="shared" si="2055"/>
        <v>Q2</v>
      </c>
      <c r="AJ446" s="484" t="str">
        <f t="shared" si="2055"/>
        <v>Q3</v>
      </c>
      <c r="AK446" s="484" t="str">
        <f t="shared" si="2055"/>
        <v>Q4</v>
      </c>
      <c r="AL446" s="484">
        <f t="shared" si="2055"/>
        <v>2014</v>
      </c>
      <c r="AM446" s="484" t="str">
        <f t="shared" si="2055"/>
        <v>Q1</v>
      </c>
      <c r="AN446" s="484" t="str">
        <f t="shared" si="2055"/>
        <v>Q2</v>
      </c>
      <c r="AO446" s="484" t="str">
        <f t="shared" si="2055"/>
        <v>Q3</v>
      </c>
      <c r="AP446" s="484" t="str">
        <f t="shared" si="2055"/>
        <v>Q4</v>
      </c>
      <c r="AQ446" s="484">
        <f t="shared" si="2055"/>
        <v>2015</v>
      </c>
      <c r="AR446" s="484" t="str">
        <f t="shared" si="2055"/>
        <v>Q1</v>
      </c>
      <c r="AS446" s="484" t="str">
        <f t="shared" si="2055"/>
        <v>Q2</v>
      </c>
      <c r="AT446" s="484" t="str">
        <f t="shared" si="2055"/>
        <v>Q3</v>
      </c>
      <c r="AU446" s="484" t="str">
        <f t="shared" si="2055"/>
        <v>Q4</v>
      </c>
      <c r="AV446" s="484">
        <f t="shared" si="2055"/>
        <v>2016</v>
      </c>
      <c r="AW446" s="484" t="str">
        <f t="shared" si="2055"/>
        <v>Q1</v>
      </c>
      <c r="AX446" s="484" t="str">
        <f t="shared" si="2055"/>
        <v>Q2</v>
      </c>
      <c r="AY446" s="484" t="str">
        <f t="shared" si="2055"/>
        <v>Q3</v>
      </c>
      <c r="AZ446" s="484" t="str">
        <f t="shared" si="2055"/>
        <v>Q4</v>
      </c>
      <c r="BA446" s="484">
        <f t="shared" si="2055"/>
        <v>2017</v>
      </c>
      <c r="BB446" s="484" t="str">
        <f t="shared" si="2055"/>
        <v>Q1</v>
      </c>
      <c r="BC446" s="484" t="str">
        <f t="shared" si="2055"/>
        <v>Q2</v>
      </c>
      <c r="BD446" s="484" t="str">
        <f t="shared" si="2055"/>
        <v>Q3</v>
      </c>
      <c r="BE446" s="484" t="str">
        <f t="shared" si="2055"/>
        <v>Q4</v>
      </c>
      <c r="BF446" s="484">
        <f t="shared" si="2055"/>
        <v>2018</v>
      </c>
      <c r="BG446" s="484" t="str">
        <f t="shared" si="2055"/>
        <v>Q1</v>
      </c>
      <c r="BH446" s="484" t="str">
        <f t="shared" si="2055"/>
        <v>Q2</v>
      </c>
      <c r="BI446" s="484" t="str">
        <f t="shared" si="2055"/>
        <v>Q3</v>
      </c>
      <c r="BJ446" s="484" t="str">
        <f t="shared" si="2055"/>
        <v>Q4</v>
      </c>
      <c r="BK446" s="484">
        <f t="shared" si="2055"/>
        <v>2019</v>
      </c>
      <c r="BL446" s="484" t="str">
        <f t="shared" si="2055"/>
        <v>Q1</v>
      </c>
      <c r="BM446" s="484" t="str">
        <f t="shared" si="2055"/>
        <v>Q2</v>
      </c>
      <c r="BN446" s="484" t="str">
        <f t="shared" si="2055"/>
        <v>Q3</v>
      </c>
      <c r="BO446" s="484" t="str">
        <f t="shared" si="2055"/>
        <v>Q4</v>
      </c>
      <c r="BP446" s="484">
        <f t="shared" si="2055"/>
        <v>2020</v>
      </c>
      <c r="BQ446" s="484" t="str">
        <f t="shared" si="2055"/>
        <v>Q1</v>
      </c>
      <c r="BR446" s="484" t="str">
        <f t="shared" si="2055"/>
        <v>Q2</v>
      </c>
      <c r="BS446" s="484" t="str">
        <f t="shared" si="2055"/>
        <v>Q3</v>
      </c>
      <c r="BT446" s="484" t="str">
        <f t="shared" si="2055"/>
        <v>Q4</v>
      </c>
      <c r="BU446" s="484">
        <f t="shared" si="2055"/>
        <v>2021</v>
      </c>
      <c r="BV446" s="484" t="str">
        <f t="shared" si="2055"/>
        <v>Q1</v>
      </c>
      <c r="BW446" s="484" t="str">
        <f t="shared" si="2055"/>
        <v>Q2</v>
      </c>
      <c r="BX446" s="484" t="str">
        <f t="shared" si="2055"/>
        <v>Q3</v>
      </c>
      <c r="BY446" s="484" t="str">
        <f t="shared" si="2055"/>
        <v>Q4</v>
      </c>
      <c r="BZ446" s="484">
        <f t="shared" si="2055"/>
        <v>2022</v>
      </c>
      <c r="CA446" s="484" t="str">
        <f t="shared" si="2055"/>
        <v>Q1</v>
      </c>
      <c r="CB446" s="484" t="str">
        <f t="shared" si="2055"/>
        <v>Q2</v>
      </c>
      <c r="CC446" s="484" t="str">
        <f t="shared" si="2055"/>
        <v>Q3</v>
      </c>
      <c r="CD446" s="484" t="str">
        <f t="shared" si="2055"/>
        <v>Q4</v>
      </c>
      <c r="CE446" s="484">
        <f t="shared" si="2055"/>
        <v>2023</v>
      </c>
      <c r="CF446" s="484" t="str">
        <f t="shared" si="2055"/>
        <v>Q1</v>
      </c>
      <c r="CG446" s="484" t="str">
        <f t="shared" si="2055"/>
        <v>Q2</v>
      </c>
      <c r="CH446" s="484" t="str">
        <f t="shared" si="2055"/>
        <v>Q3</v>
      </c>
      <c r="CI446" s="484" t="str">
        <f t="shared" si="2055"/>
        <v>Q4</v>
      </c>
      <c r="CJ446" s="484">
        <f t="shared" ref="CJ446:CT446" si="2056">CJ$4</f>
        <v>2024</v>
      </c>
      <c r="CK446" s="484" t="str">
        <f t="shared" si="2055"/>
        <v>Q1</v>
      </c>
      <c r="CL446" s="484" t="str">
        <f t="shared" si="2055"/>
        <v>Q2</v>
      </c>
      <c r="CM446" s="484" t="str">
        <f t="shared" si="2055"/>
        <v>Q3</v>
      </c>
      <c r="CN446" s="484"/>
      <c r="CO446" s="484">
        <f t="shared" si="2056"/>
        <v>2025</v>
      </c>
      <c r="CP446" s="484">
        <f t="shared" si="2056"/>
        <v>2026</v>
      </c>
      <c r="CQ446" s="484">
        <f t="shared" si="2056"/>
        <v>2027</v>
      </c>
      <c r="CR446" s="484">
        <f t="shared" si="2056"/>
        <v>2028</v>
      </c>
      <c r="CS446" s="484">
        <f t="shared" si="2056"/>
        <v>2029</v>
      </c>
      <c r="CT446" s="484">
        <f t="shared" si="2056"/>
        <v>2030</v>
      </c>
      <c r="CU446" s="347"/>
      <c r="CV446" s="1363"/>
      <c r="CW446" s="347"/>
      <c r="CX446" s="347"/>
      <c r="CY446" s="347"/>
      <c r="CZ446" s="364"/>
      <c r="DA446" s="364"/>
      <c r="EA446" s="399"/>
      <c r="EB446" s="399"/>
      <c r="EN446" s="399"/>
      <c r="EO446" s="399"/>
      <c r="EP446" s="399"/>
    </row>
    <row r="447" spans="1:146" s="399" customFormat="1" hidden="1" outlineLevel="1">
      <c r="A447" s="769"/>
      <c r="B447" s="621" t="s">
        <v>81</v>
      </c>
      <c r="C447" s="372">
        <f t="shared" ref="C447:AH447" si="2057">C225</f>
        <v>7990</v>
      </c>
      <c r="D447" s="372">
        <f t="shared" si="2057"/>
        <v>-3836.3353801500161</v>
      </c>
      <c r="E447" s="372">
        <f t="shared" si="2057"/>
        <v>-4230.5224755666186</v>
      </c>
      <c r="F447" s="372">
        <f t="shared" si="2057"/>
        <v>-4642.4199282496902</v>
      </c>
      <c r="G447" s="372">
        <f t="shared" si="2057"/>
        <v>-3410.2173669236472</v>
      </c>
      <c r="H447" s="372">
        <f t="shared" si="2057"/>
        <v>12061.33</v>
      </c>
      <c r="I447" s="372">
        <f t="shared" si="2057"/>
        <v>1503</v>
      </c>
      <c r="J447" s="372">
        <f t="shared" si="2057"/>
        <v>1705</v>
      </c>
      <c r="K447" s="372">
        <f t="shared" si="2057"/>
        <v>1818</v>
      </c>
      <c r="L447" s="372">
        <f t="shared" si="2057"/>
        <v>2038</v>
      </c>
      <c r="M447" s="372">
        <f t="shared" si="2057"/>
        <v>13707</v>
      </c>
      <c r="N447" s="372">
        <f t="shared" si="2057"/>
        <v>4106</v>
      </c>
      <c r="O447" s="372">
        <f t="shared" si="2057"/>
        <v>4261</v>
      </c>
      <c r="P447" s="372">
        <f t="shared" si="2057"/>
        <v>4442</v>
      </c>
      <c r="Q447" s="372">
        <f t="shared" si="2057"/>
        <v>4651</v>
      </c>
      <c r="R447" s="372">
        <f t="shared" si="2057"/>
        <v>17460</v>
      </c>
      <c r="S447" s="372">
        <f t="shared" si="2057"/>
        <v>4482</v>
      </c>
      <c r="T447" s="372">
        <f t="shared" si="2057"/>
        <v>4553</v>
      </c>
      <c r="U447" s="372">
        <f t="shared" si="2057"/>
        <v>4780</v>
      </c>
      <c r="V447" s="372">
        <f t="shared" si="2057"/>
        <v>4961</v>
      </c>
      <c r="W447" s="372">
        <f t="shared" si="2057"/>
        <v>18262</v>
      </c>
      <c r="X447" s="372">
        <f t="shared" si="2057"/>
        <v>4893</v>
      </c>
      <c r="Y447" s="372">
        <f t="shared" si="2057"/>
        <v>5229</v>
      </c>
      <c r="Z447" s="372">
        <f t="shared" si="2057"/>
        <v>5574</v>
      </c>
      <c r="AA447" s="372">
        <f t="shared" si="2057"/>
        <v>5273</v>
      </c>
      <c r="AB447" s="372">
        <f t="shared" si="2057"/>
        <v>20969</v>
      </c>
      <c r="AC447" s="372">
        <f t="shared" si="2057"/>
        <v>5758</v>
      </c>
      <c r="AD447" s="372">
        <f t="shared" si="2057"/>
        <v>6055</v>
      </c>
      <c r="AE447" s="372">
        <f t="shared" si="2057"/>
        <v>6388</v>
      </c>
      <c r="AF447" s="372">
        <f t="shared" si="2057"/>
        <v>6383</v>
      </c>
      <c r="AG447" s="372">
        <f t="shared" si="2057"/>
        <v>21266</v>
      </c>
      <c r="AH447" s="372">
        <f t="shared" si="2057"/>
        <v>5507</v>
      </c>
      <c r="AI447" s="372">
        <f t="shared" ref="AI447:BN447" si="2058">AI225</f>
        <v>6041</v>
      </c>
      <c r="AJ447" s="372">
        <f t="shared" si="2058"/>
        <v>6006</v>
      </c>
      <c r="AK447" s="372">
        <f t="shared" si="2058"/>
        <v>5906</v>
      </c>
      <c r="AL447" s="372">
        <f t="shared" si="2058"/>
        <v>23460</v>
      </c>
      <c r="AM447" s="372">
        <f t="shared" si="2058"/>
        <v>5481</v>
      </c>
      <c r="AN447" s="372">
        <f t="shared" si="2058"/>
        <v>5611</v>
      </c>
      <c r="AO447" s="372">
        <f t="shared" si="2058"/>
        <v>5830</v>
      </c>
      <c r="AP447" s="372">
        <f t="shared" si="2058"/>
        <v>5973</v>
      </c>
      <c r="AQ447" s="372">
        <f t="shared" si="2058"/>
        <v>22875</v>
      </c>
      <c r="AR447" s="372">
        <f t="shared" si="2058"/>
        <v>5616</v>
      </c>
      <c r="AS447" s="372">
        <f t="shared" si="2058"/>
        <v>5238</v>
      </c>
      <c r="AT447" s="372">
        <f t="shared" si="2058"/>
        <v>5230</v>
      </c>
      <c r="AU447" s="372">
        <f t="shared" si="2058"/>
        <v>5258</v>
      </c>
      <c r="AV447" s="372">
        <f t="shared" si="2058"/>
        <v>21342</v>
      </c>
      <c r="AW447" s="372">
        <f t="shared" si="2058"/>
        <v>5266</v>
      </c>
      <c r="AX447" s="372">
        <f t="shared" si="2058"/>
        <v>5667</v>
      </c>
      <c r="AY447" s="372">
        <f t="shared" si="2058"/>
        <v>5970</v>
      </c>
      <c r="AZ447" s="372">
        <f t="shared" si="2058"/>
        <v>5972</v>
      </c>
      <c r="BA447" s="372">
        <f t="shared" si="2058"/>
        <v>22875</v>
      </c>
      <c r="BB447" s="372">
        <f t="shared" si="2058"/>
        <v>5501.3649999999998</v>
      </c>
      <c r="BC447" s="372">
        <f t="shared" si="2058"/>
        <v>5544.6769999999997</v>
      </c>
      <c r="BD447" s="372">
        <f t="shared" si="2058"/>
        <v>5846.17</v>
      </c>
      <c r="BE447" s="372">
        <f t="shared" si="2058"/>
        <v>6046.6</v>
      </c>
      <c r="BF447" s="372">
        <f t="shared" si="2058"/>
        <v>22938.812000000002</v>
      </c>
      <c r="BG447" s="372">
        <f t="shared" si="2058"/>
        <v>5967.2240000000002</v>
      </c>
      <c r="BH447" s="372">
        <f t="shared" si="2058"/>
        <v>6289.6049999999996</v>
      </c>
      <c r="BI447" s="372">
        <f t="shared" si="2058"/>
        <v>6463.6930000000002</v>
      </c>
      <c r="BJ447" s="372">
        <f t="shared" si="2058"/>
        <v>6412.33</v>
      </c>
      <c r="BK447" s="372">
        <f t="shared" si="2058"/>
        <v>25132.851999999999</v>
      </c>
      <c r="BL447" s="372">
        <f t="shared" si="2058"/>
        <v>6497.1509999999989</v>
      </c>
      <c r="BM447" s="372">
        <f t="shared" si="2058"/>
        <v>6585.009</v>
      </c>
      <c r="BN447" s="372">
        <f t="shared" si="2058"/>
        <v>6573.991</v>
      </c>
      <c r="BO447" s="372">
        <f t="shared" ref="BO447:CT447" si="2059">BO225</f>
        <v>6352.9440000000013</v>
      </c>
      <c r="BP447" s="372">
        <f t="shared" si="2059"/>
        <v>26009.094999999998</v>
      </c>
      <c r="BQ447" s="372">
        <f t="shared" si="2059"/>
        <v>6247.3630000000003</v>
      </c>
      <c r="BR447" s="372">
        <f t="shared" si="2059"/>
        <v>6726.8360000000002</v>
      </c>
      <c r="BS447" s="372">
        <f t="shared" si="2059"/>
        <v>6825.9939999999997</v>
      </c>
      <c r="BT447" s="372">
        <f t="shared" si="2059"/>
        <v>6953.857</v>
      </c>
      <c r="BU447" s="372">
        <f t="shared" si="2059"/>
        <v>26754.05</v>
      </c>
      <c r="BV447" s="372">
        <f t="shared" si="2059"/>
        <v>6742.0590000000002</v>
      </c>
      <c r="BW447" s="372">
        <f t="shared" si="2059"/>
        <v>7332.7409999999991</v>
      </c>
      <c r="BX447" s="372">
        <f t="shared" si="2059"/>
        <v>7520.6000000000031</v>
      </c>
      <c r="BY447" s="372">
        <f t="shared" si="2059"/>
        <v>7546.5939999999982</v>
      </c>
      <c r="BZ447" s="372">
        <f t="shared" si="2059"/>
        <v>31765.998</v>
      </c>
      <c r="CA447" s="372">
        <f t="shared" si="2059"/>
        <v>7547.3239999999996</v>
      </c>
      <c r="CB447" s="372">
        <f t="shared" si="2059"/>
        <v>8217.2030000000013</v>
      </c>
      <c r="CC447" s="372">
        <f t="shared" ref="CC447:CE447" si="2060">CC225</f>
        <v>8103.2769999999991</v>
      </c>
      <c r="CD447" s="372">
        <f t="shared" si="2060"/>
        <v>8454.8470000000016</v>
      </c>
      <c r="CE447" s="372">
        <f t="shared" si="2060"/>
        <v>35257.812999999995</v>
      </c>
      <c r="CF447" s="372">
        <f t="shared" ref="CF447:CG447" si="2061">CF225</f>
        <v>8438.2849999999999</v>
      </c>
      <c r="CG447" s="372">
        <f t="shared" si="2061"/>
        <v>8613.3120000000017</v>
      </c>
      <c r="CH447" s="372">
        <f t="shared" ref="CH447:CI447" si="2062">CH225</f>
        <v>8309.8139999999985</v>
      </c>
      <c r="CI447" s="372">
        <f t="shared" si="2062"/>
        <v>9030.1860000000015</v>
      </c>
      <c r="CJ447" s="372">
        <f t="shared" si="2059"/>
        <v>2950.0410000000015</v>
      </c>
      <c r="CK447" s="372">
        <f t="shared" si="2059"/>
        <v>8601.1769999999997</v>
      </c>
      <c r="CL447" s="372">
        <f t="shared" ref="CL447" si="2063">CL225</f>
        <v>10493.717000000001</v>
      </c>
      <c r="CM447" s="372">
        <f t="shared" ref="CM447" si="2064">CM225</f>
        <v>11452.569</v>
      </c>
      <c r="CN447" s="372"/>
      <c r="CO447" s="372">
        <f t="shared" si="2059"/>
        <v>2979.7249000000015</v>
      </c>
      <c r="CP447" s="372">
        <f t="shared" si="2059"/>
        <v>3009.7056390000016</v>
      </c>
      <c r="CQ447" s="372">
        <f t="shared" si="2059"/>
        <v>3039.9861853900015</v>
      </c>
      <c r="CR447" s="372">
        <f t="shared" si="2059"/>
        <v>3070.5695372439018</v>
      </c>
      <c r="CS447" s="372">
        <f t="shared" si="2059"/>
        <v>3101.4587226163408</v>
      </c>
      <c r="CT447" s="372">
        <f t="shared" si="2059"/>
        <v>3132.6567998425044</v>
      </c>
      <c r="CU447" s="364"/>
      <c r="CV447" s="1362"/>
      <c r="CW447" s="364"/>
      <c r="CX447" s="364"/>
      <c r="CY447" s="364"/>
      <c r="CZ447" s="347"/>
      <c r="DA447" s="347"/>
      <c r="DL447" s="349"/>
      <c r="DM447" s="349"/>
      <c r="DN447" s="349"/>
      <c r="DO447" s="349"/>
      <c r="DP447" s="349"/>
      <c r="EA447" s="349"/>
      <c r="EB447" s="349"/>
      <c r="EC447" s="349"/>
      <c r="ED447" s="349"/>
      <c r="EE447" s="349"/>
      <c r="EF447" s="349"/>
      <c r="EG447" s="349"/>
      <c r="EH447" s="349"/>
      <c r="EI447" s="349"/>
      <c r="EJ447" s="349"/>
      <c r="EK447" s="349"/>
      <c r="EL447" s="349"/>
      <c r="EN447" s="349"/>
      <c r="EO447" s="349"/>
      <c r="EP447" s="349"/>
    </row>
    <row r="448" spans="1:146" hidden="1" outlineLevel="1">
      <c r="B448" s="562" t="s">
        <v>68</v>
      </c>
      <c r="C448" s="417"/>
      <c r="D448" s="417"/>
      <c r="E448" s="417"/>
      <c r="F448" s="417"/>
      <c r="G448" s="417"/>
      <c r="H448" s="417">
        <f t="shared" ref="H448:AP448" si="2065">H447/C447-1</f>
        <v>0.50955319148936162</v>
      </c>
      <c r="I448" s="417">
        <f t="shared" si="2065"/>
        <v>-1.3917801367880476</v>
      </c>
      <c r="J448" s="417">
        <f t="shared" si="2065"/>
        <v>-1.403023505925622</v>
      </c>
      <c r="K448" s="417">
        <f t="shared" si="2065"/>
        <v>-1.391606108042327</v>
      </c>
      <c r="L448" s="417">
        <f t="shared" si="2065"/>
        <v>-1.5976158645390037</v>
      </c>
      <c r="M448" s="417">
        <f t="shared" si="2065"/>
        <v>0.13644183518733</v>
      </c>
      <c r="N448" s="417">
        <f t="shared" si="2065"/>
        <v>1.731869594145043</v>
      </c>
      <c r="O448" s="417">
        <f t="shared" si="2065"/>
        <v>1.4991202346041055</v>
      </c>
      <c r="P448" s="417">
        <f t="shared" si="2065"/>
        <v>1.4433443344334433</v>
      </c>
      <c r="Q448" s="417">
        <f t="shared" si="2065"/>
        <v>1.2821393523061824</v>
      </c>
      <c r="R448" s="417">
        <f t="shared" si="2065"/>
        <v>0.2738017071569272</v>
      </c>
      <c r="S448" s="417">
        <f t="shared" si="2065"/>
        <v>9.1573307355090172E-2</v>
      </c>
      <c r="T448" s="417">
        <f t="shared" si="2065"/>
        <v>6.8528514433231713E-2</v>
      </c>
      <c r="U448" s="417">
        <f t="shared" si="2065"/>
        <v>7.6091850517784776E-2</v>
      </c>
      <c r="V448" s="417">
        <f t="shared" si="2065"/>
        <v>6.6652332831649064E-2</v>
      </c>
      <c r="W448" s="417">
        <f t="shared" si="2065"/>
        <v>4.5933562428407848E-2</v>
      </c>
      <c r="X448" s="417">
        <f t="shared" si="2065"/>
        <v>9.1700133868808598E-2</v>
      </c>
      <c r="Y448" s="417">
        <f t="shared" si="2065"/>
        <v>0.14847353393367002</v>
      </c>
      <c r="Z448" s="417">
        <f t="shared" si="2065"/>
        <v>0.16610878661087858</v>
      </c>
      <c r="AA448" s="417">
        <f t="shared" si="2065"/>
        <v>6.2890546260834457E-2</v>
      </c>
      <c r="AB448" s="417">
        <f t="shared" si="2065"/>
        <v>0.1482312999671449</v>
      </c>
      <c r="AC448" s="417">
        <f t="shared" si="2065"/>
        <v>0.17678315961577762</v>
      </c>
      <c r="AD448" s="417">
        <f t="shared" si="2065"/>
        <v>0.15796519410977239</v>
      </c>
      <c r="AE448" s="417">
        <f t="shared" si="2065"/>
        <v>0.14603516325798349</v>
      </c>
      <c r="AF448" s="417">
        <f t="shared" si="2065"/>
        <v>0.21050635311966626</v>
      </c>
      <c r="AG448" s="417">
        <f t="shared" si="2065"/>
        <v>1.4163765558681929E-2</v>
      </c>
      <c r="AH448" s="417">
        <f t="shared" si="2065"/>
        <v>-4.3591524835012163E-2</v>
      </c>
      <c r="AI448" s="417">
        <f t="shared" si="2065"/>
        <v>-2.3121387283236983E-3</v>
      </c>
      <c r="AJ448" s="417">
        <f t="shared" si="2065"/>
        <v>-5.9799624295554188E-2</v>
      </c>
      <c r="AK448" s="417">
        <f t="shared" si="2065"/>
        <v>-7.4729750900830338E-2</v>
      </c>
      <c r="AL448" s="417">
        <f t="shared" si="2065"/>
        <v>0.10316937835041862</v>
      </c>
      <c r="AM448" s="417">
        <f t="shared" si="2065"/>
        <v>-4.7212638460141232E-3</v>
      </c>
      <c r="AN448" s="417">
        <f t="shared" si="2065"/>
        <v>-7.1180268167521987E-2</v>
      </c>
      <c r="AO448" s="417">
        <f t="shared" si="2065"/>
        <v>-2.9304029304029311E-2</v>
      </c>
      <c r="AP448" s="417">
        <f t="shared" si="2065"/>
        <v>1.1344395529969464E-2</v>
      </c>
      <c r="AQ448" s="417">
        <f>AQ447/AL447-1</f>
        <v>-2.4936061381074182E-2</v>
      </c>
      <c r="AR448" s="417">
        <f t="shared" ref="AR448:AX448" si="2066">AR447/AM447-1</f>
        <v>2.4630541871921263E-2</v>
      </c>
      <c r="AS448" s="417">
        <f t="shared" si="2066"/>
        <v>-6.6476563892354346E-2</v>
      </c>
      <c r="AT448" s="417">
        <f t="shared" si="2066"/>
        <v>-0.10291595197255576</v>
      </c>
      <c r="AU448" s="417">
        <f t="shared" si="2066"/>
        <v>-0.11970534069981587</v>
      </c>
      <c r="AV448" s="417">
        <f t="shared" si="2066"/>
        <v>-6.7016393442623001E-2</v>
      </c>
      <c r="AW448" s="417">
        <f t="shared" si="2066"/>
        <v>-6.232193732193736E-2</v>
      </c>
      <c r="AX448" s="417">
        <f t="shared" si="2066"/>
        <v>8.1901489117983894E-2</v>
      </c>
      <c r="AY448" s="417">
        <f t="shared" ref="AY448:BF448" si="2067">AY447/AT447-1</f>
        <v>0.14149139579349912</v>
      </c>
      <c r="AZ448" s="417">
        <f t="shared" si="2067"/>
        <v>0.13579307721567146</v>
      </c>
      <c r="BA448" s="417">
        <f t="shared" si="2067"/>
        <v>7.1830193983694057E-2</v>
      </c>
      <c r="BB448" s="417">
        <f t="shared" si="2067"/>
        <v>4.4695214584124621E-2</v>
      </c>
      <c r="BC448" s="417">
        <f t="shared" si="2067"/>
        <v>-2.1585142050467687E-2</v>
      </c>
      <c r="BD448" s="417">
        <f t="shared" si="2067"/>
        <v>-2.0742043551088774E-2</v>
      </c>
      <c r="BE448" s="417">
        <f t="shared" si="2067"/>
        <v>1.249162759544542E-2</v>
      </c>
      <c r="BF448" s="417">
        <f t="shared" si="2067"/>
        <v>2.7895956284154089E-3</v>
      </c>
      <c r="BG448" s="417">
        <f t="shared" ref="BG448:BH448" si="2068">BG447/BB447-1</f>
        <v>8.468062017335698E-2</v>
      </c>
      <c r="BH448" s="417">
        <f t="shared" si="2068"/>
        <v>0.13435011633680372</v>
      </c>
      <c r="BI448" s="417">
        <f t="shared" ref="BI448:BJ448" si="2069">BI447/BD447-1</f>
        <v>0.10562864234190927</v>
      </c>
      <c r="BJ448" s="417">
        <f t="shared" si="2069"/>
        <v>6.0485231369695303E-2</v>
      </c>
      <c r="BK448" s="417">
        <f>BK447/BF447-1</f>
        <v>9.5647499094547506E-2</v>
      </c>
      <c r="BL448" s="417">
        <f t="shared" ref="BL448:BV448" si="2070">BL447/BG447-1</f>
        <v>8.8806285803918028E-2</v>
      </c>
      <c r="BM448" s="417">
        <f t="shared" si="2070"/>
        <v>4.6967019391519926E-2</v>
      </c>
      <c r="BN448" s="417">
        <f t="shared" si="2070"/>
        <v>1.7064238663562659E-2</v>
      </c>
      <c r="BO448" s="417">
        <f t="shared" si="2070"/>
        <v>-9.2612201804957994E-3</v>
      </c>
      <c r="BP448" s="417">
        <f>BP447/BK447-1</f>
        <v>3.4864447536634424E-2</v>
      </c>
      <c r="BQ448" s="417">
        <f t="shared" si="2070"/>
        <v>-3.8445774155471901E-2</v>
      </c>
      <c r="BR448" s="417">
        <f t="shared" si="2070"/>
        <v>2.1537859705279105E-2</v>
      </c>
      <c r="BS448" s="417">
        <f t="shared" si="2070"/>
        <v>3.8333335108003519E-2</v>
      </c>
      <c r="BT448" s="417">
        <f t="shared" si="2070"/>
        <v>9.4588115368244852E-2</v>
      </c>
      <c r="BU448" s="417">
        <f>BU447/BP447-1</f>
        <v>2.8642096159055219E-2</v>
      </c>
      <c r="BV448" s="417">
        <f t="shared" si="2070"/>
        <v>7.9184769638005692E-2</v>
      </c>
      <c r="BW448" s="417">
        <f t="shared" ref="BW448:BY448" si="2071">BW447/BR447-1</f>
        <v>9.0072806888706447E-2</v>
      </c>
      <c r="BX448" s="417">
        <f t="shared" si="2071"/>
        <v>0.10175895261554624</v>
      </c>
      <c r="BY448" s="417">
        <f t="shared" si="2071"/>
        <v>8.5238594926527522E-2</v>
      </c>
      <c r="BZ448" s="417">
        <f>BZ447/BU447-1</f>
        <v>0.1873341793111698</v>
      </c>
      <c r="CA448" s="417">
        <f t="shared" ref="CA448:CM448" si="2072">CA447/BV447-1</f>
        <v>0.1194390319040517</v>
      </c>
      <c r="CB448" s="417">
        <f t="shared" si="2072"/>
        <v>0.12061819720620193</v>
      </c>
      <c r="CC448" s="417">
        <f t="shared" si="2072"/>
        <v>7.7477461904634781E-2</v>
      </c>
      <c r="CD448" s="417">
        <f t="shared" si="2072"/>
        <v>0.12035270480961402</v>
      </c>
      <c r="CE448" s="417">
        <f>CE447/BZ447-1</f>
        <v>0.10992303783435342</v>
      </c>
      <c r="CF448" s="417">
        <f t="shared" si="2072"/>
        <v>0.11804992074011933</v>
      </c>
      <c r="CG448" s="417">
        <f t="shared" si="2072"/>
        <v>4.8204845371350835E-2</v>
      </c>
      <c r="CH448" s="417">
        <f t="shared" si="2072"/>
        <v>2.548808340132025E-2</v>
      </c>
      <c r="CI448" s="417">
        <f t="shared" si="2072"/>
        <v>6.8048422401966624E-2</v>
      </c>
      <c r="CJ448" s="417">
        <f>CJ447/CE447-1</f>
        <v>-0.91632943881119333</v>
      </c>
      <c r="CK448" s="417">
        <f t="shared" si="2072"/>
        <v>1.9303922538762341E-2</v>
      </c>
      <c r="CL448" s="417">
        <f t="shared" si="2072"/>
        <v>0.21831381470913835</v>
      </c>
      <c r="CM448" s="417">
        <f t="shared" si="2072"/>
        <v>0.37819799576741442</v>
      </c>
      <c r="CN448" s="417"/>
      <c r="CO448" s="417">
        <f>CO447/CJ447-1</f>
        <v>1.0062199135537409E-2</v>
      </c>
      <c r="CP448" s="417">
        <f t="shared" ref="CP448:CR448" si="2073">CP447/CO447-1</f>
        <v>1.006157951024278E-2</v>
      </c>
      <c r="CQ448" s="417">
        <f t="shared" si="2073"/>
        <v>1.0060966095030155E-2</v>
      </c>
      <c r="CR448" s="417">
        <f t="shared" si="2073"/>
        <v>1.0060358826919025E-2</v>
      </c>
      <c r="CS448" s="417">
        <f t="shared" ref="CS448" si="2074">CS447/CR447-1</f>
        <v>1.0059757643581912E-2</v>
      </c>
      <c r="CT448" s="417">
        <f t="shared" ref="CT448" si="2075">CT447/CS447-1</f>
        <v>1.0059162483337936E-2</v>
      </c>
      <c r="CU448" s="347"/>
      <c r="CV448" s="1363"/>
      <c r="CW448" s="347"/>
      <c r="CX448" s="347"/>
      <c r="CY448" s="347"/>
      <c r="CZ448" s="347"/>
      <c r="DA448" s="347"/>
      <c r="EA448" s="399"/>
      <c r="EB448" s="399"/>
      <c r="EN448" s="399"/>
      <c r="EO448" s="399"/>
      <c r="EP448" s="399"/>
    </row>
    <row r="449" spans="1:146" hidden="1" outlineLevel="1">
      <c r="B449" s="562" t="s">
        <v>82</v>
      </c>
      <c r="C449" s="523"/>
      <c r="D449" s="523"/>
      <c r="E449" s="523"/>
      <c r="F449" s="523"/>
      <c r="G449" s="523"/>
      <c r="H449" s="523"/>
      <c r="I449" s="523"/>
      <c r="J449" s="523"/>
      <c r="K449" s="523"/>
      <c r="L449" s="523"/>
      <c r="M449" s="523"/>
      <c r="N449" s="523"/>
      <c r="O449" s="523"/>
      <c r="P449" s="523"/>
      <c r="Q449" s="523"/>
      <c r="R449" s="523"/>
      <c r="S449" s="523"/>
      <c r="T449" s="523"/>
      <c r="U449" s="523"/>
      <c r="V449" s="523"/>
      <c r="W449" s="523"/>
      <c r="X449" s="523"/>
      <c r="Y449" s="523"/>
      <c r="Z449" s="523"/>
      <c r="AA449" s="523"/>
      <c r="AB449" s="523"/>
      <c r="AC449" s="523"/>
      <c r="AD449" s="523"/>
      <c r="AE449" s="523"/>
      <c r="AF449" s="523"/>
      <c r="AG449" s="523"/>
      <c r="AH449" s="523"/>
      <c r="AI449" s="523"/>
      <c r="AJ449" s="523"/>
      <c r="AK449" s="523"/>
      <c r="AL449" s="523"/>
      <c r="AM449" s="523"/>
      <c r="AN449" s="523"/>
      <c r="AO449" s="523"/>
      <c r="AP449" s="523"/>
      <c r="AQ449" s="523"/>
      <c r="AR449" s="523"/>
      <c r="AS449" s="523"/>
      <c r="AT449" s="523"/>
      <c r="AU449" s="523"/>
      <c r="AV449" s="523"/>
      <c r="AW449" s="523"/>
      <c r="AX449" s="523"/>
      <c r="AY449" s="523"/>
      <c r="AZ449" s="523"/>
      <c r="BA449" s="523"/>
      <c r="BB449" s="523"/>
      <c r="BC449" s="523"/>
      <c r="BD449" s="523"/>
      <c r="BE449" s="523"/>
      <c r="BF449" s="523"/>
      <c r="BG449" s="523"/>
      <c r="BH449" s="523"/>
      <c r="BI449" s="523"/>
      <c r="BJ449" s="523"/>
      <c r="BK449" s="523"/>
      <c r="BL449" s="523"/>
      <c r="BM449" s="523"/>
      <c r="BN449" s="523"/>
      <c r="BO449" s="523"/>
      <c r="BP449" s="523"/>
      <c r="BQ449" s="523"/>
      <c r="BR449" s="523"/>
      <c r="BS449" s="523"/>
      <c r="BT449" s="523"/>
      <c r="BU449" s="523"/>
      <c r="BV449" s="523"/>
      <c r="BW449" s="523"/>
      <c r="BX449" s="523"/>
      <c r="BY449" s="523"/>
      <c r="BZ449" s="523"/>
      <c r="CA449" s="523"/>
      <c r="CB449" s="523"/>
      <c r="CC449" s="523"/>
      <c r="CD449" s="523"/>
      <c r="CE449" s="523"/>
      <c r="CF449" s="523"/>
      <c r="CG449" s="523"/>
      <c r="CH449" s="523"/>
      <c r="CI449" s="523"/>
      <c r="CJ449" s="523"/>
      <c r="CK449" s="523"/>
      <c r="CL449" s="523"/>
      <c r="CM449" s="523"/>
      <c r="CN449" s="523"/>
      <c r="CO449" s="523"/>
      <c r="CP449" s="523"/>
      <c r="CQ449" s="523"/>
      <c r="CR449" s="523"/>
      <c r="CS449" s="523"/>
      <c r="CT449" s="523"/>
      <c r="CU449" s="347"/>
      <c r="CV449" s="1363"/>
      <c r="CW449" s="347"/>
      <c r="CX449" s="347"/>
      <c r="CY449" s="347"/>
      <c r="DL449" s="399"/>
      <c r="DM449" s="399"/>
      <c r="DN449" s="399"/>
      <c r="DO449" s="399"/>
      <c r="DP449" s="399"/>
      <c r="EM449" s="399"/>
    </row>
    <row r="450" spans="1:146" hidden="1" outlineLevel="1">
      <c r="B450" s="562" t="s">
        <v>83</v>
      </c>
      <c r="C450" s="523"/>
      <c r="D450" s="523"/>
      <c r="E450" s="523"/>
      <c r="F450" s="523"/>
      <c r="G450" s="523"/>
      <c r="H450" s="523"/>
      <c r="I450" s="523"/>
      <c r="J450" s="523"/>
      <c r="K450" s="523"/>
      <c r="L450" s="523"/>
      <c r="M450" s="523"/>
      <c r="N450" s="523"/>
      <c r="O450" s="523"/>
      <c r="P450" s="523"/>
      <c r="Q450" s="523"/>
      <c r="R450" s="523"/>
      <c r="S450" s="523"/>
      <c r="T450" s="523"/>
      <c r="U450" s="523"/>
      <c r="V450" s="523"/>
      <c r="W450" s="523"/>
      <c r="X450" s="523"/>
      <c r="Y450" s="523"/>
      <c r="Z450" s="523"/>
      <c r="AA450" s="523"/>
      <c r="AB450" s="523"/>
      <c r="AC450" s="523"/>
      <c r="AD450" s="523"/>
      <c r="AE450" s="523"/>
      <c r="AF450" s="523"/>
      <c r="AG450" s="523"/>
      <c r="AH450" s="523"/>
      <c r="AI450" s="523"/>
      <c r="AJ450" s="523"/>
      <c r="AK450" s="523"/>
      <c r="AL450" s="523"/>
      <c r="AM450" s="523"/>
      <c r="AN450" s="523"/>
      <c r="AO450" s="523"/>
      <c r="AP450" s="523"/>
      <c r="AQ450" s="523"/>
      <c r="AR450" s="523"/>
      <c r="AS450" s="523"/>
      <c r="AT450" s="523"/>
      <c r="AU450" s="523"/>
      <c r="AV450" s="523"/>
      <c r="AW450" s="523"/>
      <c r="AX450" s="523"/>
      <c r="AY450" s="523"/>
      <c r="AZ450" s="523"/>
      <c r="BA450" s="523"/>
      <c r="BB450" s="523"/>
      <c r="BC450" s="523"/>
      <c r="BD450" s="523"/>
      <c r="BE450" s="523"/>
      <c r="BF450" s="523"/>
      <c r="BG450" s="523"/>
      <c r="BH450" s="523"/>
      <c r="BI450" s="523"/>
      <c r="BJ450" s="523"/>
      <c r="BK450" s="523"/>
      <c r="BL450" s="523"/>
      <c r="BM450" s="523"/>
      <c r="BN450" s="523"/>
      <c r="BO450" s="523"/>
      <c r="BP450" s="523"/>
      <c r="BQ450" s="523"/>
      <c r="BR450" s="523"/>
      <c r="BS450" s="523"/>
      <c r="BT450" s="523"/>
      <c r="BU450" s="523"/>
      <c r="BV450" s="523"/>
      <c r="BW450" s="523"/>
      <c r="BX450" s="523"/>
      <c r="BY450" s="523"/>
      <c r="BZ450" s="523"/>
      <c r="CA450" s="523"/>
      <c r="CB450" s="523"/>
      <c r="CC450" s="523"/>
      <c r="CD450" s="523"/>
      <c r="CE450" s="523"/>
      <c r="CF450" s="523"/>
      <c r="CG450" s="523"/>
      <c r="CH450" s="523"/>
      <c r="CI450" s="523"/>
      <c r="CJ450" s="523"/>
      <c r="CK450" s="523"/>
      <c r="CL450" s="523"/>
      <c r="CM450" s="523"/>
      <c r="CN450" s="523"/>
      <c r="CO450" s="523"/>
      <c r="CP450" s="523"/>
      <c r="CQ450" s="523"/>
      <c r="CR450" s="523"/>
      <c r="CS450" s="523"/>
      <c r="CT450" s="523"/>
      <c r="CU450" s="347"/>
      <c r="CV450" s="1363"/>
      <c r="CW450" s="347"/>
      <c r="CX450" s="347"/>
      <c r="CY450" s="347"/>
      <c r="CZ450" s="364"/>
      <c r="DA450" s="364"/>
      <c r="EA450" s="399"/>
      <c r="EB450" s="399"/>
      <c r="EN450" s="399"/>
      <c r="EO450" s="399"/>
      <c r="EP450" s="399"/>
    </row>
    <row r="451" spans="1:146" s="399" customFormat="1" hidden="1" outlineLevel="1">
      <c r="A451" s="769"/>
      <c r="B451" s="562" t="s">
        <v>43</v>
      </c>
      <c r="C451" s="470">
        <f t="shared" ref="C451:AH451" si="2076">C334</f>
        <v>0</v>
      </c>
      <c r="D451" s="470">
        <f t="shared" si="2076"/>
        <v>0</v>
      </c>
      <c r="E451" s="470">
        <f t="shared" si="2076"/>
        <v>0</v>
      </c>
      <c r="F451" s="470">
        <f t="shared" si="2076"/>
        <v>0</v>
      </c>
      <c r="G451" s="470">
        <f t="shared" si="2076"/>
        <v>0</v>
      </c>
      <c r="H451" s="470">
        <f t="shared" si="2076"/>
        <v>0</v>
      </c>
      <c r="I451" s="470">
        <f t="shared" si="2076"/>
        <v>0</v>
      </c>
      <c r="J451" s="470">
        <f t="shared" si="2076"/>
        <v>0</v>
      </c>
      <c r="K451" s="470">
        <f t="shared" si="2076"/>
        <v>0</v>
      </c>
      <c r="L451" s="470">
        <f t="shared" si="2076"/>
        <v>0</v>
      </c>
      <c r="M451" s="470">
        <f t="shared" si="2076"/>
        <v>0</v>
      </c>
      <c r="N451" s="470">
        <f t="shared" si="2076"/>
        <v>0</v>
      </c>
      <c r="O451" s="470">
        <f t="shared" si="2076"/>
        <v>0</v>
      </c>
      <c r="P451" s="470">
        <f t="shared" si="2076"/>
        <v>0</v>
      </c>
      <c r="Q451" s="470">
        <f t="shared" si="2076"/>
        <v>0</v>
      </c>
      <c r="R451" s="470">
        <f t="shared" si="2076"/>
        <v>0</v>
      </c>
      <c r="S451" s="470">
        <f t="shared" si="2076"/>
        <v>0</v>
      </c>
      <c r="T451" s="470">
        <f t="shared" si="2076"/>
        <v>0</v>
      </c>
      <c r="U451" s="470">
        <f t="shared" si="2076"/>
        <v>0</v>
      </c>
      <c r="V451" s="470">
        <f t="shared" si="2076"/>
        <v>0</v>
      </c>
      <c r="W451" s="470">
        <f t="shared" si="2076"/>
        <v>0</v>
      </c>
      <c r="X451" s="470">
        <f t="shared" si="2076"/>
        <v>0</v>
      </c>
      <c r="Y451" s="470">
        <f t="shared" si="2076"/>
        <v>0</v>
      </c>
      <c r="Z451" s="470">
        <f t="shared" si="2076"/>
        <v>0</v>
      </c>
      <c r="AA451" s="470">
        <f t="shared" si="2076"/>
        <v>0</v>
      </c>
      <c r="AB451" s="470">
        <f t="shared" si="2076"/>
        <v>0</v>
      </c>
      <c r="AC451" s="470">
        <f t="shared" si="2076"/>
        <v>0</v>
      </c>
      <c r="AD451" s="470">
        <f t="shared" si="2076"/>
        <v>0</v>
      </c>
      <c r="AE451" s="470">
        <f t="shared" si="2076"/>
        <v>0</v>
      </c>
      <c r="AF451" s="470">
        <f t="shared" si="2076"/>
        <v>0</v>
      </c>
      <c r="AG451" s="470">
        <f t="shared" si="2076"/>
        <v>0</v>
      </c>
      <c r="AH451" s="470">
        <f t="shared" si="2076"/>
        <v>0</v>
      </c>
      <c r="AI451" s="470">
        <f t="shared" ref="AI451:BN451" si="2077">AI334</f>
        <v>0</v>
      </c>
      <c r="AJ451" s="470">
        <f t="shared" si="2077"/>
        <v>0</v>
      </c>
      <c r="AK451" s="470">
        <f t="shared" si="2077"/>
        <v>0</v>
      </c>
      <c r="AL451" s="470">
        <f t="shared" si="2077"/>
        <v>0</v>
      </c>
      <c r="AM451" s="470">
        <f t="shared" si="2077"/>
        <v>0</v>
      </c>
      <c r="AN451" s="470">
        <f t="shared" si="2077"/>
        <v>0</v>
      </c>
      <c r="AO451" s="470">
        <f t="shared" si="2077"/>
        <v>0</v>
      </c>
      <c r="AP451" s="470">
        <f t="shared" si="2077"/>
        <v>0</v>
      </c>
      <c r="AQ451" s="470">
        <f t="shared" si="2077"/>
        <v>0</v>
      </c>
      <c r="AR451" s="470">
        <f t="shared" si="2077"/>
        <v>0</v>
      </c>
      <c r="AS451" s="470">
        <f t="shared" si="2077"/>
        <v>0</v>
      </c>
      <c r="AT451" s="470">
        <f t="shared" si="2077"/>
        <v>0</v>
      </c>
      <c r="AU451" s="470">
        <f t="shared" si="2077"/>
        <v>0</v>
      </c>
      <c r="AV451" s="470">
        <f t="shared" si="2077"/>
        <v>0</v>
      </c>
      <c r="AW451" s="470">
        <f t="shared" si="2077"/>
        <v>0</v>
      </c>
      <c r="AX451" s="470">
        <f t="shared" si="2077"/>
        <v>0</v>
      </c>
      <c r="AY451" s="470">
        <f t="shared" si="2077"/>
        <v>0</v>
      </c>
      <c r="AZ451" s="470">
        <f t="shared" si="2077"/>
        <v>0</v>
      </c>
      <c r="BA451" s="470">
        <f t="shared" si="2077"/>
        <v>0</v>
      </c>
      <c r="BB451" s="470">
        <f t="shared" si="2077"/>
        <v>0</v>
      </c>
      <c r="BC451" s="470">
        <f t="shared" si="2077"/>
        <v>0</v>
      </c>
      <c r="BD451" s="470">
        <f t="shared" si="2077"/>
        <v>0</v>
      </c>
      <c r="BE451" s="470">
        <f t="shared" si="2077"/>
        <v>0</v>
      </c>
      <c r="BF451" s="470">
        <f t="shared" si="2077"/>
        <v>0</v>
      </c>
      <c r="BG451" s="470">
        <f t="shared" si="2077"/>
        <v>0</v>
      </c>
      <c r="BH451" s="470">
        <f t="shared" si="2077"/>
        <v>0</v>
      </c>
      <c r="BI451" s="470">
        <f t="shared" si="2077"/>
        <v>0</v>
      </c>
      <c r="BJ451" s="470">
        <f t="shared" si="2077"/>
        <v>0</v>
      </c>
      <c r="BK451" s="470">
        <f t="shared" si="2077"/>
        <v>0</v>
      </c>
      <c r="BL451" s="470">
        <f t="shared" si="2077"/>
        <v>0</v>
      </c>
      <c r="BM451" s="470">
        <f t="shared" si="2077"/>
        <v>0</v>
      </c>
      <c r="BN451" s="470">
        <f t="shared" si="2077"/>
        <v>0</v>
      </c>
      <c r="BO451" s="470">
        <f t="shared" ref="BO451:CT451" si="2078">BO334</f>
        <v>0</v>
      </c>
      <c r="BP451" s="470">
        <f t="shared" si="2078"/>
        <v>0</v>
      </c>
      <c r="BQ451" s="470">
        <f t="shared" si="2078"/>
        <v>0</v>
      </c>
      <c r="BR451" s="470">
        <f t="shared" si="2078"/>
        <v>0</v>
      </c>
      <c r="BS451" s="470">
        <f t="shared" si="2078"/>
        <v>0</v>
      </c>
      <c r="BT451" s="470">
        <f t="shared" si="2078"/>
        <v>0</v>
      </c>
      <c r="BU451" s="470">
        <f t="shared" si="2078"/>
        <v>0</v>
      </c>
      <c r="BV451" s="470">
        <f t="shared" si="2078"/>
        <v>0</v>
      </c>
      <c r="BW451" s="470">
        <f t="shared" si="2078"/>
        <v>0</v>
      </c>
      <c r="BX451" s="470">
        <f t="shared" si="2078"/>
        <v>0</v>
      </c>
      <c r="BY451" s="470">
        <f t="shared" si="2078"/>
        <v>0</v>
      </c>
      <c r="BZ451" s="470">
        <f t="shared" si="2078"/>
        <v>0</v>
      </c>
      <c r="CA451" s="470">
        <f t="shared" si="2078"/>
        <v>0</v>
      </c>
      <c r="CB451" s="470">
        <f t="shared" ref="CB451:CC451" si="2079">CB334</f>
        <v>0</v>
      </c>
      <c r="CC451" s="470">
        <f t="shared" si="2079"/>
        <v>0</v>
      </c>
      <c r="CD451" s="470">
        <f t="shared" ref="CD451:CE451" si="2080">CD334</f>
        <v>0</v>
      </c>
      <c r="CE451" s="470">
        <f t="shared" si="2080"/>
        <v>0</v>
      </c>
      <c r="CF451" s="470">
        <f t="shared" ref="CF451:CG451" si="2081">CF334</f>
        <v>0</v>
      </c>
      <c r="CG451" s="470">
        <f t="shared" si="2081"/>
        <v>0</v>
      </c>
      <c r="CH451" s="470">
        <f t="shared" ref="CH451:CI451" si="2082">CH334</f>
        <v>0</v>
      </c>
      <c r="CI451" s="470">
        <f t="shared" si="2082"/>
        <v>0</v>
      </c>
      <c r="CJ451" s="470">
        <f t="shared" si="2078"/>
        <v>0</v>
      </c>
      <c r="CK451" s="470">
        <f t="shared" si="2078"/>
        <v>0</v>
      </c>
      <c r="CL451" s="470">
        <f t="shared" ref="CL451" si="2083">CL334</f>
        <v>0</v>
      </c>
      <c r="CM451" s="470">
        <f t="shared" ref="CM451" si="2084">CM334</f>
        <v>0</v>
      </c>
      <c r="CN451" s="470"/>
      <c r="CO451" s="470">
        <f t="shared" si="2078"/>
        <v>0</v>
      </c>
      <c r="CP451" s="470">
        <f t="shared" si="2078"/>
        <v>0</v>
      </c>
      <c r="CQ451" s="470">
        <f t="shared" si="2078"/>
        <v>0</v>
      </c>
      <c r="CR451" s="470">
        <f t="shared" si="2078"/>
        <v>0</v>
      </c>
      <c r="CS451" s="470">
        <f t="shared" si="2078"/>
        <v>0</v>
      </c>
      <c r="CT451" s="470">
        <f t="shared" si="2078"/>
        <v>0</v>
      </c>
      <c r="CU451" s="364"/>
      <c r="CV451" s="1362"/>
      <c r="CW451" s="364"/>
      <c r="CX451" s="364"/>
      <c r="CY451" s="364"/>
      <c r="CZ451" s="347"/>
      <c r="DA451" s="347"/>
      <c r="EA451" s="349"/>
      <c r="EB451" s="349"/>
      <c r="EC451" s="349"/>
      <c r="ED451" s="349"/>
      <c r="EE451" s="349"/>
      <c r="EF451" s="349"/>
      <c r="EG451" s="349"/>
      <c r="EH451" s="349"/>
      <c r="EI451" s="349"/>
      <c r="EJ451" s="349"/>
      <c r="EK451" s="349"/>
      <c r="EL451" s="349"/>
      <c r="EM451" s="349"/>
      <c r="EN451" s="349"/>
      <c r="EO451" s="349"/>
      <c r="EP451" s="349"/>
    </row>
    <row r="452" spans="1:146" hidden="1" outlineLevel="1">
      <c r="B452" s="562" t="s">
        <v>68</v>
      </c>
      <c r="C452" s="417"/>
      <c r="D452" s="417"/>
      <c r="E452" s="417"/>
      <c r="F452" s="417"/>
      <c r="G452" s="417"/>
      <c r="H452" s="417" t="e">
        <f>H451/C451-1</f>
        <v>#DIV/0!</v>
      </c>
      <c r="I452" s="417"/>
      <c r="J452" s="417"/>
      <c r="K452" s="417"/>
      <c r="L452" s="417"/>
      <c r="M452" s="417" t="e">
        <f>M451/H451-1</f>
        <v>#DIV/0!</v>
      </c>
      <c r="N452" s="417"/>
      <c r="O452" s="417"/>
      <c r="P452" s="417"/>
      <c r="Q452" s="417"/>
      <c r="R452" s="417" t="e">
        <f>R451/M451-1</f>
        <v>#DIV/0!</v>
      </c>
      <c r="S452" s="417"/>
      <c r="T452" s="417"/>
      <c r="U452" s="417"/>
      <c r="V452" s="417"/>
      <c r="W452" s="417" t="e">
        <f>W451/R451-1</f>
        <v>#DIV/0!</v>
      </c>
      <c r="X452" s="417"/>
      <c r="Y452" s="417"/>
      <c r="Z452" s="417"/>
      <c r="AA452" s="417"/>
      <c r="AB452" s="417" t="e">
        <f>AB451/W451-1</f>
        <v>#DIV/0!</v>
      </c>
      <c r="AC452" s="417"/>
      <c r="AD452" s="417"/>
      <c r="AE452" s="417"/>
      <c r="AF452" s="417"/>
      <c r="AG452" s="417" t="e">
        <f>AG451/AB451-1</f>
        <v>#DIV/0!</v>
      </c>
      <c r="AH452" s="417"/>
      <c r="AI452" s="417"/>
      <c r="AJ452" s="417"/>
      <c r="AK452" s="417"/>
      <c r="AL452" s="417" t="e">
        <f>AL451/AG451-1</f>
        <v>#DIV/0!</v>
      </c>
      <c r="AM452" s="417"/>
      <c r="AN452" s="417"/>
      <c r="AO452" s="417"/>
      <c r="AP452" s="417"/>
      <c r="AQ452" s="417" t="e">
        <f>AQ451/AL451-1</f>
        <v>#DIV/0!</v>
      </c>
      <c r="AR452" s="417" t="e">
        <f t="shared" ref="AR452:AX452" si="2085">AR451/AM451-1</f>
        <v>#DIV/0!</v>
      </c>
      <c r="AS452" s="417" t="e">
        <f t="shared" si="2085"/>
        <v>#DIV/0!</v>
      </c>
      <c r="AT452" s="417" t="e">
        <f t="shared" si="2085"/>
        <v>#DIV/0!</v>
      </c>
      <c r="AU452" s="417" t="e">
        <f t="shared" si="2085"/>
        <v>#DIV/0!</v>
      </c>
      <c r="AV452" s="417" t="e">
        <f>AV451/AQ451-1</f>
        <v>#DIV/0!</v>
      </c>
      <c r="AW452" s="417" t="e">
        <f t="shared" si="2085"/>
        <v>#DIV/0!</v>
      </c>
      <c r="AX452" s="417" t="e">
        <f t="shared" si="2085"/>
        <v>#DIV/0!</v>
      </c>
      <c r="AY452" s="417" t="e">
        <f t="shared" ref="AY452:BF452" si="2086">AY451/AT451-1</f>
        <v>#DIV/0!</v>
      </c>
      <c r="AZ452" s="417" t="e">
        <f t="shared" si="2086"/>
        <v>#DIV/0!</v>
      </c>
      <c r="BA452" s="417" t="e">
        <f t="shared" si="2086"/>
        <v>#DIV/0!</v>
      </c>
      <c r="BB452" s="417" t="e">
        <f t="shared" si="2086"/>
        <v>#DIV/0!</v>
      </c>
      <c r="BC452" s="417" t="e">
        <f t="shared" si="2086"/>
        <v>#DIV/0!</v>
      </c>
      <c r="BD452" s="417" t="e">
        <f t="shared" si="2086"/>
        <v>#DIV/0!</v>
      </c>
      <c r="BE452" s="417" t="e">
        <f t="shared" si="2086"/>
        <v>#DIV/0!</v>
      </c>
      <c r="BF452" s="417" t="e">
        <f t="shared" si="2086"/>
        <v>#DIV/0!</v>
      </c>
      <c r="BG452" s="417" t="e">
        <f t="shared" ref="BG452:BH452" si="2087">BG451/BB451-1</f>
        <v>#DIV/0!</v>
      </c>
      <c r="BH452" s="417" t="e">
        <f t="shared" si="2087"/>
        <v>#DIV/0!</v>
      </c>
      <c r="BI452" s="417" t="e">
        <f t="shared" ref="BI452:BJ452" si="2088">BI451/BD451-1</f>
        <v>#DIV/0!</v>
      </c>
      <c r="BJ452" s="417" t="e">
        <f t="shared" si="2088"/>
        <v>#DIV/0!</v>
      </c>
      <c r="BK452" s="417" t="e">
        <f>BK451/BF451-1</f>
        <v>#DIV/0!</v>
      </c>
      <c r="BL452" s="417" t="e">
        <f t="shared" ref="BL452:BV452" si="2089">BL451/BG451-1</f>
        <v>#DIV/0!</v>
      </c>
      <c r="BM452" s="417" t="e">
        <f t="shared" si="2089"/>
        <v>#DIV/0!</v>
      </c>
      <c r="BN452" s="417" t="e">
        <f t="shared" si="2089"/>
        <v>#DIV/0!</v>
      </c>
      <c r="BO452" s="417" t="e">
        <f t="shared" si="2089"/>
        <v>#DIV/0!</v>
      </c>
      <c r="BP452" s="417" t="e">
        <f>BP451/BK451-1</f>
        <v>#DIV/0!</v>
      </c>
      <c r="BQ452" s="417" t="e">
        <f t="shared" si="2089"/>
        <v>#DIV/0!</v>
      </c>
      <c r="BR452" s="417" t="e">
        <f t="shared" si="2089"/>
        <v>#DIV/0!</v>
      </c>
      <c r="BS452" s="417" t="e">
        <f t="shared" si="2089"/>
        <v>#DIV/0!</v>
      </c>
      <c r="BT452" s="417" t="e">
        <f t="shared" si="2089"/>
        <v>#DIV/0!</v>
      </c>
      <c r="BU452" s="417" t="e">
        <f>BU451/BP451-1</f>
        <v>#DIV/0!</v>
      </c>
      <c r="BV452" s="417" t="e">
        <f t="shared" si="2089"/>
        <v>#DIV/0!</v>
      </c>
      <c r="BW452" s="417" t="e">
        <f t="shared" ref="BW452:BY452" si="2090">BW451/BR451-1</f>
        <v>#DIV/0!</v>
      </c>
      <c r="BX452" s="417" t="e">
        <f t="shared" si="2090"/>
        <v>#DIV/0!</v>
      </c>
      <c r="BY452" s="417" t="e">
        <f t="shared" si="2090"/>
        <v>#DIV/0!</v>
      </c>
      <c r="BZ452" s="417" t="e">
        <f>BZ451/BU451-1</f>
        <v>#DIV/0!</v>
      </c>
      <c r="CA452" s="417" t="e">
        <f t="shared" ref="CA452:CM452" si="2091">CA451/BV451-1</f>
        <v>#DIV/0!</v>
      </c>
      <c r="CB452" s="417" t="e">
        <f t="shared" si="2091"/>
        <v>#DIV/0!</v>
      </c>
      <c r="CC452" s="417" t="e">
        <f t="shared" si="2091"/>
        <v>#DIV/0!</v>
      </c>
      <c r="CD452" s="417" t="e">
        <f t="shared" si="2091"/>
        <v>#DIV/0!</v>
      </c>
      <c r="CE452" s="417" t="e">
        <f>CE451/BZ451-1</f>
        <v>#DIV/0!</v>
      </c>
      <c r="CF452" s="417" t="e">
        <f t="shared" si="2091"/>
        <v>#DIV/0!</v>
      </c>
      <c r="CG452" s="417" t="e">
        <f t="shared" si="2091"/>
        <v>#DIV/0!</v>
      </c>
      <c r="CH452" s="417" t="e">
        <f t="shared" si="2091"/>
        <v>#DIV/0!</v>
      </c>
      <c r="CI452" s="417" t="e">
        <f t="shared" si="2091"/>
        <v>#DIV/0!</v>
      </c>
      <c r="CJ452" s="417" t="e">
        <f>CJ451/CE451-1</f>
        <v>#DIV/0!</v>
      </c>
      <c r="CK452" s="417" t="e">
        <f t="shared" si="2091"/>
        <v>#DIV/0!</v>
      </c>
      <c r="CL452" s="417" t="e">
        <f t="shared" si="2091"/>
        <v>#DIV/0!</v>
      </c>
      <c r="CM452" s="417" t="e">
        <f t="shared" si="2091"/>
        <v>#DIV/0!</v>
      </c>
      <c r="CN452" s="417"/>
      <c r="CO452" s="417" t="e">
        <f>CO451/CJ451-1</f>
        <v>#DIV/0!</v>
      </c>
      <c r="CP452" s="417" t="e">
        <f t="shared" ref="CP452:CR452" si="2092">CP451/CO451-1</f>
        <v>#DIV/0!</v>
      </c>
      <c r="CQ452" s="417" t="e">
        <f t="shared" si="2092"/>
        <v>#DIV/0!</v>
      </c>
      <c r="CR452" s="417" t="e">
        <f t="shared" si="2092"/>
        <v>#DIV/0!</v>
      </c>
      <c r="CS452" s="417" t="e">
        <f t="shared" ref="CS452" si="2093">CS451/CR451-1</f>
        <v>#DIV/0!</v>
      </c>
      <c r="CT452" s="417" t="e">
        <f t="shared" ref="CT452" si="2094">CT451/CS451-1</f>
        <v>#DIV/0!</v>
      </c>
      <c r="CU452" s="347"/>
      <c r="CV452" s="1363"/>
      <c r="CW452" s="347"/>
      <c r="CX452" s="347"/>
      <c r="CY452" s="347"/>
      <c r="CZ452" s="364"/>
      <c r="DA452" s="364"/>
      <c r="DC452" s="383"/>
      <c r="DD452" s="383">
        <f>2007</f>
        <v>2007</v>
      </c>
      <c r="DE452" s="383">
        <f t="shared" ref="DE452:DL452" si="2095">DD452+1</f>
        <v>2008</v>
      </c>
      <c r="DF452" s="383">
        <f t="shared" si="2095"/>
        <v>2009</v>
      </c>
      <c r="DG452" s="383">
        <f t="shared" si="2095"/>
        <v>2010</v>
      </c>
      <c r="DH452" s="383">
        <f t="shared" si="2095"/>
        <v>2011</v>
      </c>
      <c r="DI452" s="383">
        <f t="shared" si="2095"/>
        <v>2012</v>
      </c>
      <c r="DJ452" s="383">
        <f t="shared" si="2095"/>
        <v>2013</v>
      </c>
      <c r="DK452" s="383">
        <f t="shared" si="2095"/>
        <v>2014</v>
      </c>
      <c r="DL452" s="383">
        <f t="shared" si="2095"/>
        <v>2015</v>
      </c>
    </row>
    <row r="453" spans="1:146" s="399" customFormat="1" hidden="1" outlineLevel="1">
      <c r="A453" s="769"/>
      <c r="B453" s="562" t="s">
        <v>85</v>
      </c>
      <c r="C453" s="470">
        <f>C361</f>
        <v>0</v>
      </c>
      <c r="D453" s="470"/>
      <c r="E453" s="470"/>
      <c r="F453" s="470"/>
      <c r="G453" s="470"/>
      <c r="H453" s="470">
        <f>H361</f>
        <v>0</v>
      </c>
      <c r="I453" s="470"/>
      <c r="J453" s="470"/>
      <c r="K453" s="470"/>
      <c r="L453" s="470"/>
      <c r="M453" s="470">
        <f>M361</f>
        <v>0</v>
      </c>
      <c r="N453" s="470"/>
      <c r="O453" s="470"/>
      <c r="P453" s="470"/>
      <c r="Q453" s="470"/>
      <c r="R453" s="470">
        <f>R361</f>
        <v>0</v>
      </c>
      <c r="S453" s="470"/>
      <c r="T453" s="470"/>
      <c r="U453" s="470"/>
      <c r="V453" s="470"/>
      <c r="W453" s="470">
        <f>W361</f>
        <v>0</v>
      </c>
      <c r="X453" s="470"/>
      <c r="Y453" s="470"/>
      <c r="Z453" s="470"/>
      <c r="AA453" s="470"/>
      <c r="AB453" s="470">
        <f>AB361</f>
        <v>0</v>
      </c>
      <c r="AC453" s="470"/>
      <c r="AD453" s="470"/>
      <c r="AE453" s="470"/>
      <c r="AF453" s="470"/>
      <c r="AG453" s="470">
        <f>AG361</f>
        <v>0</v>
      </c>
      <c r="AH453" s="470"/>
      <c r="AI453" s="470"/>
      <c r="AJ453" s="470"/>
      <c r="AK453" s="470"/>
      <c r="AL453" s="470">
        <f>AL361</f>
        <v>0</v>
      </c>
      <c r="AM453" s="470"/>
      <c r="AN453" s="470"/>
      <c r="AO453" s="470"/>
      <c r="AP453" s="470"/>
      <c r="AQ453" s="470">
        <f>AQ361</f>
        <v>0</v>
      </c>
      <c r="AR453" s="470">
        <f>AR361</f>
        <v>0</v>
      </c>
      <c r="AS453" s="470"/>
      <c r="AT453" s="470"/>
      <c r="AU453" s="511"/>
      <c r="AV453" s="470">
        <f>AV361</f>
        <v>0</v>
      </c>
      <c r="AW453" s="511"/>
      <c r="AX453" s="511"/>
      <c r="AY453" s="470"/>
      <c r="AZ453" s="470"/>
      <c r="BA453" s="470">
        <f>BA361</f>
        <v>0</v>
      </c>
      <c r="BB453" s="511"/>
      <c r="BC453" s="511"/>
      <c r="BD453" s="511"/>
      <c r="BE453" s="470"/>
      <c r="BF453" s="470">
        <f>BF361</f>
        <v>0</v>
      </c>
      <c r="BG453" s="511"/>
      <c r="BH453" s="511"/>
      <c r="BI453" s="511"/>
      <c r="BJ453" s="511"/>
      <c r="BK453" s="470">
        <f>BK361</f>
        <v>0</v>
      </c>
      <c r="BL453" s="511"/>
      <c r="BM453" s="511"/>
      <c r="BN453" s="511"/>
      <c r="BO453" s="511"/>
      <c r="BP453" s="470">
        <f>BP361</f>
        <v>0</v>
      </c>
      <c r="BQ453" s="511"/>
      <c r="BR453" s="511"/>
      <c r="BS453" s="511"/>
      <c r="BT453" s="511"/>
      <c r="BU453" s="470">
        <f>BU361</f>
        <v>0</v>
      </c>
      <c r="BV453" s="511"/>
      <c r="BW453" s="511"/>
      <c r="BX453" s="511"/>
      <c r="BY453" s="511"/>
      <c r="BZ453" s="470">
        <f>BZ361</f>
        <v>0</v>
      </c>
      <c r="CA453" s="511"/>
      <c r="CB453" s="511"/>
      <c r="CC453" s="511"/>
      <c r="CD453" s="511"/>
      <c r="CE453" s="470">
        <f>CE361</f>
        <v>0</v>
      </c>
      <c r="CF453" s="511"/>
      <c r="CG453" s="511"/>
      <c r="CH453" s="511"/>
      <c r="CI453" s="511"/>
      <c r="CJ453" s="470">
        <f t="shared" ref="CJ453:CT453" si="2096">CJ361</f>
        <v>0</v>
      </c>
      <c r="CK453" s="511"/>
      <c r="CL453" s="511"/>
      <c r="CM453" s="511"/>
      <c r="CN453" s="511"/>
      <c r="CO453" s="470">
        <f t="shared" si="2096"/>
        <v>0</v>
      </c>
      <c r="CP453" s="470">
        <f t="shared" si="2096"/>
        <v>0</v>
      </c>
      <c r="CQ453" s="470">
        <f t="shared" si="2096"/>
        <v>0</v>
      </c>
      <c r="CR453" s="470">
        <f t="shared" si="2096"/>
        <v>0</v>
      </c>
      <c r="CS453" s="470">
        <f t="shared" si="2096"/>
        <v>0</v>
      </c>
      <c r="CT453" s="470">
        <f t="shared" si="2096"/>
        <v>0</v>
      </c>
      <c r="CU453" s="364"/>
      <c r="CV453" s="1362"/>
      <c r="CW453" s="364"/>
      <c r="CX453" s="364"/>
      <c r="CY453" s="364"/>
      <c r="CZ453" s="347"/>
      <c r="DA453" s="347"/>
      <c r="DC453" s="524" t="s">
        <v>81</v>
      </c>
      <c r="DD453" s="525">
        <v>1036.8</v>
      </c>
      <c r="DE453" s="525">
        <v>1079</v>
      </c>
      <c r="DF453" s="525">
        <v>1041.9897780277677</v>
      </c>
      <c r="DG453" s="525">
        <v>1041.9262273632733</v>
      </c>
      <c r="DH453" s="525">
        <v>1045.5024199673599</v>
      </c>
      <c r="DI453" s="525">
        <v>1043.0682262055707</v>
      </c>
      <c r="DJ453" s="525" t="e">
        <f>#REF!+#REF!</f>
        <v>#REF!</v>
      </c>
      <c r="DK453" s="525" t="e">
        <f>#REF!+#REF!</f>
        <v>#REF!</v>
      </c>
      <c r="DL453" s="525" t="e">
        <f>#REF!+#REF!</f>
        <v>#REF!</v>
      </c>
      <c r="EA453" s="349"/>
      <c r="EB453" s="349"/>
      <c r="EC453" s="349"/>
      <c r="ED453" s="349"/>
      <c r="EE453" s="349"/>
      <c r="EF453" s="349"/>
      <c r="EG453" s="349"/>
      <c r="EH453" s="349"/>
      <c r="EI453" s="349"/>
      <c r="EJ453" s="349"/>
      <c r="EK453" s="349"/>
      <c r="EL453" s="349"/>
      <c r="EM453" s="349"/>
      <c r="EN453" s="349"/>
      <c r="EO453" s="349"/>
      <c r="EP453" s="349"/>
    </row>
    <row r="454" spans="1:146" hidden="1" outlineLevel="1">
      <c r="B454" s="562" t="s">
        <v>68</v>
      </c>
      <c r="C454" s="417"/>
      <c r="D454" s="417"/>
      <c r="E454" s="417"/>
      <c r="F454" s="417"/>
      <c r="G454" s="417"/>
      <c r="H454" s="417" t="e">
        <f>H453/C453-1</f>
        <v>#DIV/0!</v>
      </c>
      <c r="I454" s="417"/>
      <c r="J454" s="417"/>
      <c r="K454" s="417"/>
      <c r="L454" s="417"/>
      <c r="M454" s="417" t="e">
        <f>M453/H453-1</f>
        <v>#DIV/0!</v>
      </c>
      <c r="N454" s="417"/>
      <c r="O454" s="417"/>
      <c r="P454" s="417"/>
      <c r="Q454" s="417"/>
      <c r="R454" s="417" t="e">
        <f>R453/M453-1</f>
        <v>#DIV/0!</v>
      </c>
      <c r="S454" s="417"/>
      <c r="T454" s="417"/>
      <c r="U454" s="417"/>
      <c r="V454" s="417"/>
      <c r="W454" s="417" t="e">
        <f>W453/R453-1</f>
        <v>#DIV/0!</v>
      </c>
      <c r="X454" s="417"/>
      <c r="Y454" s="417"/>
      <c r="Z454" s="417"/>
      <c r="AA454" s="417"/>
      <c r="AB454" s="417" t="e">
        <f>AB453/W453-1</f>
        <v>#DIV/0!</v>
      </c>
      <c r="AC454" s="417"/>
      <c r="AD454" s="417"/>
      <c r="AE454" s="417"/>
      <c r="AF454" s="417"/>
      <c r="AG454" s="417" t="e">
        <f>AG453/AB453-1</f>
        <v>#DIV/0!</v>
      </c>
      <c r="AH454" s="417"/>
      <c r="AI454" s="417"/>
      <c r="AJ454" s="417"/>
      <c r="AK454" s="417"/>
      <c r="AL454" s="417" t="e">
        <f>AL453/AG453-1</f>
        <v>#DIV/0!</v>
      </c>
      <c r="AM454" s="417"/>
      <c r="AN454" s="417"/>
      <c r="AO454" s="417"/>
      <c r="AP454" s="417"/>
      <c r="AQ454" s="417" t="e">
        <f>AQ453/AL453-1</f>
        <v>#DIV/0!</v>
      </c>
      <c r="AR454" s="417"/>
      <c r="AS454" s="417"/>
      <c r="AT454" s="417"/>
      <c r="AU454" s="417"/>
      <c r="AV454" s="417" t="e">
        <f>AV453/AQ453-1</f>
        <v>#DIV/0!</v>
      </c>
      <c r="AW454" s="417"/>
      <c r="AX454" s="417"/>
      <c r="AY454" s="417"/>
      <c r="AZ454" s="417"/>
      <c r="BA454" s="417" t="e">
        <f>BA453/AV453-1</f>
        <v>#DIV/0!</v>
      </c>
      <c r="BB454" s="417"/>
      <c r="BC454" s="417"/>
      <c r="BD454" s="417"/>
      <c r="BE454" s="417"/>
      <c r="BF454" s="417" t="e">
        <f>BF453/BA453-1</f>
        <v>#DIV/0!</v>
      </c>
      <c r="BG454" s="417"/>
      <c r="BH454" s="417"/>
      <c r="BI454" s="417"/>
      <c r="BJ454" s="417"/>
      <c r="BK454" s="417" t="e">
        <f>BK453/BF453-1</f>
        <v>#DIV/0!</v>
      </c>
      <c r="BL454" s="417"/>
      <c r="BM454" s="417"/>
      <c r="BN454" s="417"/>
      <c r="BO454" s="417"/>
      <c r="BP454" s="417" t="e">
        <f>BP453/BK453-1</f>
        <v>#DIV/0!</v>
      </c>
      <c r="BQ454" s="417"/>
      <c r="BR454" s="417"/>
      <c r="BS454" s="417"/>
      <c r="BT454" s="417"/>
      <c r="BU454" s="417" t="e">
        <f>BU453/BP453-1</f>
        <v>#DIV/0!</v>
      </c>
      <c r="BV454" s="417"/>
      <c r="BW454" s="417"/>
      <c r="BX454" s="417"/>
      <c r="BY454" s="417"/>
      <c r="BZ454" s="417" t="e">
        <f>BZ453/BU453-1</f>
        <v>#DIV/0!</v>
      </c>
      <c r="CA454" s="417"/>
      <c r="CB454" s="417"/>
      <c r="CC454" s="417"/>
      <c r="CD454" s="417"/>
      <c r="CE454" s="417" t="e">
        <f>CE453/BZ453-1</f>
        <v>#DIV/0!</v>
      </c>
      <c r="CF454" s="417"/>
      <c r="CG454" s="417"/>
      <c r="CH454" s="417"/>
      <c r="CI454" s="417"/>
      <c r="CJ454" s="417" t="e">
        <f>CJ453/CE453-1</f>
        <v>#DIV/0!</v>
      </c>
      <c r="CK454" s="417"/>
      <c r="CL454" s="417"/>
      <c r="CM454" s="417"/>
      <c r="CN454" s="417"/>
      <c r="CO454" s="417" t="e">
        <f>CO453/CJ453-1</f>
        <v>#DIV/0!</v>
      </c>
      <c r="CP454" s="417" t="e">
        <f t="shared" ref="CP454:CR454" si="2097">CP453/CO453-1</f>
        <v>#DIV/0!</v>
      </c>
      <c r="CQ454" s="417" t="e">
        <f t="shared" si="2097"/>
        <v>#DIV/0!</v>
      </c>
      <c r="CR454" s="417" t="e">
        <f t="shared" si="2097"/>
        <v>#DIV/0!</v>
      </c>
      <c r="CS454" s="417" t="e">
        <f t="shared" ref="CS454" si="2098">CS453/CR453-1</f>
        <v>#DIV/0!</v>
      </c>
      <c r="CT454" s="417" t="e">
        <f t="shared" ref="CT454" si="2099">CT453/CS453-1</f>
        <v>#DIV/0!</v>
      </c>
      <c r="CU454" s="347"/>
      <c r="CV454" s="1363"/>
      <c r="CW454" s="347"/>
      <c r="CX454" s="347"/>
      <c r="CY454" s="347"/>
      <c r="CZ454" s="364"/>
      <c r="DA454" s="364"/>
      <c r="DC454" s="407" t="s">
        <v>68</v>
      </c>
      <c r="DD454" s="417">
        <v>0.1280600587531282</v>
      </c>
      <c r="DE454" s="417">
        <v>4.0702160493827133E-2</v>
      </c>
      <c r="DF454" s="417">
        <v>-3.4300483755544287E-2</v>
      </c>
      <c r="DG454" s="417">
        <v>-6.0989719702142509E-5</v>
      </c>
      <c r="DH454" s="417">
        <v>3.4322896479308529E-3</v>
      </c>
      <c r="DI454" s="417">
        <v>-2.3282526327056408E-3</v>
      </c>
      <c r="DJ454" s="417" t="e">
        <f>DJ453/DI453-1</f>
        <v>#REF!</v>
      </c>
      <c r="DK454" s="417" t="e">
        <f>DK453/DJ453-1</f>
        <v>#REF!</v>
      </c>
      <c r="DL454" s="417" t="e">
        <f>DL453/DK453-1</f>
        <v>#REF!</v>
      </c>
    </row>
    <row r="455" spans="1:146" hidden="1" outlineLevel="1">
      <c r="B455" s="580" t="s">
        <v>87</v>
      </c>
      <c r="C455" s="526">
        <f t="shared" ref="C455:BQ455" si="2100">C447+C451+C453</f>
        <v>7990</v>
      </c>
      <c r="D455" s="526">
        <f t="shared" si="2100"/>
        <v>-3836.3353801500161</v>
      </c>
      <c r="E455" s="526">
        <f t="shared" si="2100"/>
        <v>-4230.5224755666186</v>
      </c>
      <c r="F455" s="526">
        <f t="shared" si="2100"/>
        <v>-4642.4199282496902</v>
      </c>
      <c r="G455" s="526">
        <f t="shared" si="2100"/>
        <v>-3410.2173669236472</v>
      </c>
      <c r="H455" s="526">
        <f t="shared" si="2100"/>
        <v>12061.33</v>
      </c>
      <c r="I455" s="526">
        <f t="shared" si="2100"/>
        <v>1503</v>
      </c>
      <c r="J455" s="526">
        <f t="shared" si="2100"/>
        <v>1705</v>
      </c>
      <c r="K455" s="526">
        <f t="shared" si="2100"/>
        <v>1818</v>
      </c>
      <c r="L455" s="526">
        <f t="shared" si="2100"/>
        <v>2038</v>
      </c>
      <c r="M455" s="526">
        <f t="shared" si="2100"/>
        <v>13707</v>
      </c>
      <c r="N455" s="526">
        <f t="shared" si="2100"/>
        <v>4106</v>
      </c>
      <c r="O455" s="526">
        <f t="shared" si="2100"/>
        <v>4261</v>
      </c>
      <c r="P455" s="526">
        <f t="shared" si="2100"/>
        <v>4442</v>
      </c>
      <c r="Q455" s="526">
        <f t="shared" si="2100"/>
        <v>4651</v>
      </c>
      <c r="R455" s="526">
        <f t="shared" si="2100"/>
        <v>17460</v>
      </c>
      <c r="S455" s="526">
        <f t="shared" si="2100"/>
        <v>4482</v>
      </c>
      <c r="T455" s="526">
        <f t="shared" si="2100"/>
        <v>4553</v>
      </c>
      <c r="U455" s="526">
        <f t="shared" si="2100"/>
        <v>4780</v>
      </c>
      <c r="V455" s="526">
        <f t="shared" si="2100"/>
        <v>4961</v>
      </c>
      <c r="W455" s="526">
        <f t="shared" si="2100"/>
        <v>18262</v>
      </c>
      <c r="X455" s="526">
        <f t="shared" si="2100"/>
        <v>4893</v>
      </c>
      <c r="Y455" s="526">
        <f t="shared" si="2100"/>
        <v>5229</v>
      </c>
      <c r="Z455" s="526">
        <f t="shared" si="2100"/>
        <v>5574</v>
      </c>
      <c r="AA455" s="526">
        <f t="shared" si="2100"/>
        <v>5273</v>
      </c>
      <c r="AB455" s="526">
        <f t="shared" si="2100"/>
        <v>20969</v>
      </c>
      <c r="AC455" s="526">
        <f t="shared" si="2100"/>
        <v>5758</v>
      </c>
      <c r="AD455" s="526">
        <f t="shared" si="2100"/>
        <v>6055</v>
      </c>
      <c r="AE455" s="526">
        <f t="shared" si="2100"/>
        <v>6388</v>
      </c>
      <c r="AF455" s="526">
        <f t="shared" si="2100"/>
        <v>6383</v>
      </c>
      <c r="AG455" s="526">
        <f t="shared" si="2100"/>
        <v>21266</v>
      </c>
      <c r="AH455" s="526">
        <f t="shared" si="2100"/>
        <v>5507</v>
      </c>
      <c r="AI455" s="526">
        <f t="shared" si="2100"/>
        <v>6041</v>
      </c>
      <c r="AJ455" s="526">
        <f t="shared" si="2100"/>
        <v>6006</v>
      </c>
      <c r="AK455" s="526">
        <f t="shared" si="2100"/>
        <v>5906</v>
      </c>
      <c r="AL455" s="526">
        <f t="shared" si="2100"/>
        <v>23460</v>
      </c>
      <c r="AM455" s="526">
        <f t="shared" si="2100"/>
        <v>5481</v>
      </c>
      <c r="AN455" s="526">
        <f t="shared" si="2100"/>
        <v>5611</v>
      </c>
      <c r="AO455" s="526">
        <f t="shared" si="2100"/>
        <v>5830</v>
      </c>
      <c r="AP455" s="526">
        <f t="shared" si="2100"/>
        <v>5973</v>
      </c>
      <c r="AQ455" s="526">
        <f t="shared" si="2100"/>
        <v>22875</v>
      </c>
      <c r="AR455" s="526">
        <f t="shared" si="2100"/>
        <v>5616</v>
      </c>
      <c r="AS455" s="526">
        <f t="shared" si="2100"/>
        <v>5238</v>
      </c>
      <c r="AT455" s="526">
        <f t="shared" si="2100"/>
        <v>5230</v>
      </c>
      <c r="AU455" s="526">
        <f t="shared" si="2100"/>
        <v>5258</v>
      </c>
      <c r="AV455" s="526">
        <f t="shared" si="2100"/>
        <v>21342</v>
      </c>
      <c r="AW455" s="526">
        <f>AW447+AW451+AW453</f>
        <v>5266</v>
      </c>
      <c r="AX455" s="526">
        <f>AX447+AX451+AX453</f>
        <v>5667</v>
      </c>
      <c r="AY455" s="526">
        <f>AY447+AY451+AY453</f>
        <v>5970</v>
      </c>
      <c r="AZ455" s="521">
        <f>AZ447+AZ451+AZ453</f>
        <v>5972</v>
      </c>
      <c r="BA455" s="526">
        <f t="shared" si="2100"/>
        <v>22875</v>
      </c>
      <c r="BB455" s="526">
        <f t="shared" si="2100"/>
        <v>5501.3649999999998</v>
      </c>
      <c r="BC455" s="526">
        <f t="shared" ref="BC455:BD455" si="2101">BC447+BC451+BC453</f>
        <v>5544.6769999999997</v>
      </c>
      <c r="BD455" s="526">
        <f t="shared" si="2101"/>
        <v>5846.17</v>
      </c>
      <c r="BE455" s="526">
        <f t="shared" si="2100"/>
        <v>6046.6</v>
      </c>
      <c r="BF455" s="526">
        <f t="shared" si="2100"/>
        <v>22938.812000000002</v>
      </c>
      <c r="BG455" s="526">
        <f t="shared" si="2100"/>
        <v>5967.2240000000002</v>
      </c>
      <c r="BH455" s="526">
        <f t="shared" ref="BH455:BI455" si="2102">BH447+BH451+BH453</f>
        <v>6289.6049999999996</v>
      </c>
      <c r="BI455" s="526">
        <f t="shared" si="2102"/>
        <v>6463.6930000000002</v>
      </c>
      <c r="BJ455" s="526">
        <f t="shared" ref="BJ455" si="2103">BJ447+BJ451+BJ453</f>
        <v>6412.33</v>
      </c>
      <c r="BK455" s="526">
        <f t="shared" si="2100"/>
        <v>25132.851999999999</v>
      </c>
      <c r="BL455" s="526">
        <f t="shared" ref="BL455:BM455" si="2104">BL447+BL451+BL453</f>
        <v>6497.1509999999989</v>
      </c>
      <c r="BM455" s="526">
        <f t="shared" si="2104"/>
        <v>6585.009</v>
      </c>
      <c r="BN455" s="526">
        <f t="shared" ref="BN455:BP455" si="2105">BN447+BN451+BN453</f>
        <v>6573.991</v>
      </c>
      <c r="BO455" s="526">
        <f t="shared" si="2105"/>
        <v>6352.9440000000013</v>
      </c>
      <c r="BP455" s="526">
        <f t="shared" si="2105"/>
        <v>26009.094999999998</v>
      </c>
      <c r="BQ455" s="526">
        <f t="shared" si="2100"/>
        <v>6247.3630000000003</v>
      </c>
      <c r="BR455" s="526">
        <f t="shared" ref="BR455:BS455" si="2106">BR447+BR451+BR453</f>
        <v>6726.8360000000002</v>
      </c>
      <c r="BS455" s="526">
        <f t="shared" si="2106"/>
        <v>6825.9939999999997</v>
      </c>
      <c r="BT455" s="526">
        <f t="shared" ref="BT455" si="2107">BT447+BT451+BT453</f>
        <v>6953.857</v>
      </c>
      <c r="BU455" s="526">
        <f>BU447+BU451+BU453</f>
        <v>26754.05</v>
      </c>
      <c r="BV455" s="526">
        <f t="shared" ref="BV455:BW455" si="2108">BV447+BV451+BV453</f>
        <v>6742.0590000000002</v>
      </c>
      <c r="BW455" s="526">
        <f t="shared" si="2108"/>
        <v>7332.7409999999991</v>
      </c>
      <c r="BX455" s="526">
        <f t="shared" ref="BX455" si="2109">BX447+BX451+BX453</f>
        <v>7520.6000000000031</v>
      </c>
      <c r="BY455" s="526">
        <f t="shared" ref="BY455" si="2110">BY447+BY451+BY453</f>
        <v>7546.5939999999982</v>
      </c>
      <c r="BZ455" s="526">
        <f>BZ447+BZ451+BZ453</f>
        <v>31765.998</v>
      </c>
      <c r="CA455" s="526">
        <f t="shared" ref="CA455:CB455" si="2111">CA447+CA451+CA453</f>
        <v>7547.3239999999996</v>
      </c>
      <c r="CB455" s="526">
        <f t="shared" si="2111"/>
        <v>8217.2030000000013</v>
      </c>
      <c r="CC455" s="526">
        <f t="shared" ref="CC455:CD455" si="2112">CC447+CC451+CC453</f>
        <v>8103.2769999999991</v>
      </c>
      <c r="CD455" s="526">
        <f t="shared" si="2112"/>
        <v>8454.8470000000016</v>
      </c>
      <c r="CE455" s="526">
        <f>CE447+CE451+CE453</f>
        <v>35257.812999999995</v>
      </c>
      <c r="CF455" s="526">
        <f t="shared" ref="CF455:CG455" si="2113">CF447+CF451+CF453</f>
        <v>8438.2849999999999</v>
      </c>
      <c r="CG455" s="526">
        <f t="shared" si="2113"/>
        <v>8613.3120000000017</v>
      </c>
      <c r="CH455" s="526">
        <f t="shared" ref="CH455:CI455" si="2114">CH447+CH451+CH453</f>
        <v>8309.8139999999985</v>
      </c>
      <c r="CI455" s="526">
        <f t="shared" si="2114"/>
        <v>9030.1860000000015</v>
      </c>
      <c r="CJ455" s="526">
        <f t="shared" ref="CJ455:CR455" si="2115">CJ447+CJ451+CJ453</f>
        <v>2950.0410000000015</v>
      </c>
      <c r="CK455" s="526">
        <f t="shared" si="2115"/>
        <v>8601.1769999999997</v>
      </c>
      <c r="CL455" s="526">
        <f t="shared" ref="CL455" si="2116">CL447+CL451+CL453</f>
        <v>10493.717000000001</v>
      </c>
      <c r="CM455" s="526">
        <f t="shared" ref="CM455" si="2117">CM447+CM451+CM453</f>
        <v>11452.569</v>
      </c>
      <c r="CN455" s="526"/>
      <c r="CO455" s="526">
        <f t="shared" si="2115"/>
        <v>2979.7249000000015</v>
      </c>
      <c r="CP455" s="526">
        <f t="shared" si="2115"/>
        <v>3009.7056390000016</v>
      </c>
      <c r="CQ455" s="526">
        <f t="shared" si="2115"/>
        <v>3039.9861853900015</v>
      </c>
      <c r="CR455" s="526">
        <f t="shared" si="2115"/>
        <v>3070.5695372439018</v>
      </c>
      <c r="CS455" s="526">
        <f t="shared" ref="CS455:CT455" si="2118">CS447+CS451+CS453</f>
        <v>3101.4587226163408</v>
      </c>
      <c r="CT455" s="526">
        <f t="shared" si="2118"/>
        <v>3132.6567998425044</v>
      </c>
      <c r="CU455" s="347"/>
      <c r="CV455" s="1363"/>
      <c r="CW455" s="347"/>
      <c r="CX455" s="347"/>
      <c r="CY455" s="347"/>
      <c r="CZ455" s="347"/>
      <c r="DA455" s="347"/>
      <c r="DC455" s="414" t="s">
        <v>84</v>
      </c>
      <c r="DD455" s="511">
        <v>342</v>
      </c>
      <c r="DE455" s="511">
        <v>398.14</v>
      </c>
      <c r="DF455" s="511">
        <v>412.34005436787288</v>
      </c>
      <c r="DG455" s="511">
        <v>441.32505811297347</v>
      </c>
      <c r="DH455" s="511">
        <v>467.99361565100776</v>
      </c>
      <c r="DI455" s="511">
        <v>494.01409376349409</v>
      </c>
      <c r="DJ455" s="511">
        <f>DN342</f>
        <v>0</v>
      </c>
      <c r="DK455" s="511">
        <f>DO342</f>
        <v>0</v>
      </c>
      <c r="DL455" s="511">
        <f>DP342</f>
        <v>0</v>
      </c>
    </row>
    <row r="456" spans="1:146" hidden="1" outlineLevel="1">
      <c r="B456" s="562" t="s">
        <v>88</v>
      </c>
      <c r="C456" s="417"/>
      <c r="D456" s="417"/>
      <c r="E456" s="417"/>
      <c r="F456" s="417"/>
      <c r="G456" s="417"/>
      <c r="H456" s="417">
        <f t="shared" ref="H456:AP456" si="2119">H455/C455-1</f>
        <v>0.50955319148936162</v>
      </c>
      <c r="I456" s="417">
        <f t="shared" si="2119"/>
        <v>-1.3917801367880476</v>
      </c>
      <c r="J456" s="417">
        <f t="shared" si="2119"/>
        <v>-1.403023505925622</v>
      </c>
      <c r="K456" s="417">
        <f t="shared" si="2119"/>
        <v>-1.391606108042327</v>
      </c>
      <c r="L456" s="417">
        <f t="shared" si="2119"/>
        <v>-1.5976158645390037</v>
      </c>
      <c r="M456" s="417">
        <f t="shared" si="2119"/>
        <v>0.13644183518733</v>
      </c>
      <c r="N456" s="417">
        <f t="shared" si="2119"/>
        <v>1.731869594145043</v>
      </c>
      <c r="O456" s="417">
        <f t="shared" si="2119"/>
        <v>1.4991202346041055</v>
      </c>
      <c r="P456" s="417">
        <f t="shared" si="2119"/>
        <v>1.4433443344334433</v>
      </c>
      <c r="Q456" s="417">
        <f t="shared" si="2119"/>
        <v>1.2821393523061824</v>
      </c>
      <c r="R456" s="417">
        <f t="shared" si="2119"/>
        <v>0.2738017071569272</v>
      </c>
      <c r="S456" s="417">
        <f t="shared" si="2119"/>
        <v>9.1573307355090172E-2</v>
      </c>
      <c r="T456" s="417">
        <f t="shared" si="2119"/>
        <v>6.8528514433231713E-2</v>
      </c>
      <c r="U456" s="417">
        <f t="shared" si="2119"/>
        <v>7.6091850517784776E-2</v>
      </c>
      <c r="V456" s="417">
        <f t="shared" si="2119"/>
        <v>6.6652332831649064E-2</v>
      </c>
      <c r="W456" s="417">
        <f t="shared" si="2119"/>
        <v>4.5933562428407848E-2</v>
      </c>
      <c r="X456" s="417">
        <f t="shared" si="2119"/>
        <v>9.1700133868808598E-2</v>
      </c>
      <c r="Y456" s="417">
        <f t="shared" si="2119"/>
        <v>0.14847353393367002</v>
      </c>
      <c r="Z456" s="417">
        <f t="shared" si="2119"/>
        <v>0.16610878661087858</v>
      </c>
      <c r="AA456" s="417">
        <f t="shared" si="2119"/>
        <v>6.2890546260834457E-2</v>
      </c>
      <c r="AB456" s="417">
        <f t="shared" si="2119"/>
        <v>0.1482312999671449</v>
      </c>
      <c r="AC456" s="417">
        <f t="shared" si="2119"/>
        <v>0.17678315961577762</v>
      </c>
      <c r="AD456" s="417">
        <f t="shared" si="2119"/>
        <v>0.15796519410977239</v>
      </c>
      <c r="AE456" s="417">
        <f t="shared" si="2119"/>
        <v>0.14603516325798349</v>
      </c>
      <c r="AF456" s="417">
        <f t="shared" si="2119"/>
        <v>0.21050635311966626</v>
      </c>
      <c r="AG456" s="417">
        <f t="shared" si="2119"/>
        <v>1.4163765558681929E-2</v>
      </c>
      <c r="AH456" s="417">
        <f t="shared" si="2119"/>
        <v>-4.3591524835012163E-2</v>
      </c>
      <c r="AI456" s="417">
        <f t="shared" si="2119"/>
        <v>-2.3121387283236983E-3</v>
      </c>
      <c r="AJ456" s="417">
        <f t="shared" si="2119"/>
        <v>-5.9799624295554188E-2</v>
      </c>
      <c r="AK456" s="417">
        <f t="shared" si="2119"/>
        <v>-7.4729750900830338E-2</v>
      </c>
      <c r="AL456" s="417">
        <f t="shared" si="2119"/>
        <v>0.10316937835041862</v>
      </c>
      <c r="AM456" s="417">
        <f t="shared" si="2119"/>
        <v>-4.7212638460141232E-3</v>
      </c>
      <c r="AN456" s="417">
        <f t="shared" si="2119"/>
        <v>-7.1180268167521987E-2</v>
      </c>
      <c r="AO456" s="417">
        <f t="shared" si="2119"/>
        <v>-2.9304029304029311E-2</v>
      </c>
      <c r="AP456" s="417">
        <f t="shared" si="2119"/>
        <v>1.1344395529969464E-2</v>
      </c>
      <c r="AQ456" s="417">
        <f>AQ455/AL455-1</f>
        <v>-2.4936061381074182E-2</v>
      </c>
      <c r="AR456" s="417">
        <f t="shared" ref="AR456:AU456" si="2120">AR455/AM455-1</f>
        <v>2.4630541871921263E-2</v>
      </c>
      <c r="AS456" s="417">
        <f t="shared" si="2120"/>
        <v>-6.6476563892354346E-2</v>
      </c>
      <c r="AT456" s="417">
        <f t="shared" si="2120"/>
        <v>-0.10291595197255576</v>
      </c>
      <c r="AU456" s="417">
        <f t="shared" si="2120"/>
        <v>-0.11970534069981587</v>
      </c>
      <c r="AV456" s="417">
        <f>AV455/AQ455-1</f>
        <v>-6.7016393442623001E-2</v>
      </c>
      <c r="AW456" s="417">
        <f t="shared" ref="AW456" si="2121">AW455/AR455-1</f>
        <v>-6.232193732193736E-2</v>
      </c>
      <c r="AX456" s="417">
        <f t="shared" ref="AX456" si="2122">AX455/AS455-1</f>
        <v>8.1901489117983894E-2</v>
      </c>
      <c r="AY456" s="417">
        <f t="shared" ref="AY456" si="2123">AY455/AT455-1</f>
        <v>0.14149139579349912</v>
      </c>
      <c r="AZ456" s="417">
        <f t="shared" ref="AZ456" si="2124">AZ455/AU455-1</f>
        <v>0.13579307721567146</v>
      </c>
      <c r="BA456" s="417">
        <f>BA455/AV455-1</f>
        <v>7.1830193983694057E-2</v>
      </c>
      <c r="BB456" s="417">
        <f t="shared" ref="BB456" si="2125">BB455/AW455-1</f>
        <v>4.4695214584124621E-2</v>
      </c>
      <c r="BC456" s="417">
        <f t="shared" ref="BC456" si="2126">BC455/AX455-1</f>
        <v>-2.1585142050467687E-2</v>
      </c>
      <c r="BD456" s="417">
        <f t="shared" ref="BD456" si="2127">BD455/AY455-1</f>
        <v>-2.0742043551088774E-2</v>
      </c>
      <c r="BE456" s="417">
        <f t="shared" ref="BE456" si="2128">BE455/AZ455-1</f>
        <v>1.249162759544542E-2</v>
      </c>
      <c r="BF456" s="417">
        <f>BF455/BA455-1</f>
        <v>2.7895956284154089E-3</v>
      </c>
      <c r="BG456" s="417">
        <f t="shared" ref="BG456:BV456" si="2129">BG455/BB455-1</f>
        <v>8.468062017335698E-2</v>
      </c>
      <c r="BH456" s="417">
        <f t="shared" si="2129"/>
        <v>0.13435011633680372</v>
      </c>
      <c r="BI456" s="417">
        <f t="shared" si="2129"/>
        <v>0.10562864234190927</v>
      </c>
      <c r="BJ456" s="417">
        <f t="shared" si="2129"/>
        <v>6.0485231369695303E-2</v>
      </c>
      <c r="BK456" s="417">
        <f>BK455/BF455-1</f>
        <v>9.5647499094547506E-2</v>
      </c>
      <c r="BL456" s="417">
        <f t="shared" si="2129"/>
        <v>8.8806285803918028E-2</v>
      </c>
      <c r="BM456" s="417">
        <f t="shared" si="2129"/>
        <v>4.6967019391519926E-2</v>
      </c>
      <c r="BN456" s="417">
        <f t="shared" si="2129"/>
        <v>1.7064238663562659E-2</v>
      </c>
      <c r="BO456" s="417">
        <f t="shared" si="2129"/>
        <v>-9.2612201804957994E-3</v>
      </c>
      <c r="BP456" s="417">
        <f>BP455/BK455-1</f>
        <v>3.4864447536634424E-2</v>
      </c>
      <c r="BQ456" s="417">
        <f t="shared" si="2129"/>
        <v>-3.8445774155471901E-2</v>
      </c>
      <c r="BR456" s="417">
        <f t="shared" si="2129"/>
        <v>2.1537859705279105E-2</v>
      </c>
      <c r="BS456" s="417">
        <f t="shared" si="2129"/>
        <v>3.8333335108003519E-2</v>
      </c>
      <c r="BT456" s="417">
        <f t="shared" si="2129"/>
        <v>9.4588115368244852E-2</v>
      </c>
      <c r="BU456" s="417">
        <f>BU455/BP455-1</f>
        <v>2.8642096159055219E-2</v>
      </c>
      <c r="BV456" s="417">
        <f t="shared" si="2129"/>
        <v>7.9184769638005692E-2</v>
      </c>
      <c r="BW456" s="417">
        <f t="shared" ref="BW456:BY456" si="2130">BW455/BR455-1</f>
        <v>9.0072806888706447E-2</v>
      </c>
      <c r="BX456" s="417">
        <f t="shared" si="2130"/>
        <v>0.10175895261554624</v>
      </c>
      <c r="BY456" s="417">
        <f t="shared" si="2130"/>
        <v>8.5238594926527522E-2</v>
      </c>
      <c r="BZ456" s="417">
        <f>BZ455/BU455-1</f>
        <v>0.1873341793111698</v>
      </c>
      <c r="CA456" s="417">
        <f t="shared" ref="CA456:CM456" si="2131">CA455/BV455-1</f>
        <v>0.1194390319040517</v>
      </c>
      <c r="CB456" s="417">
        <f t="shared" si="2131"/>
        <v>0.12061819720620193</v>
      </c>
      <c r="CC456" s="417">
        <f t="shared" si="2131"/>
        <v>7.7477461904634781E-2</v>
      </c>
      <c r="CD456" s="417">
        <f t="shared" si="2131"/>
        <v>0.12035270480961402</v>
      </c>
      <c r="CE456" s="417">
        <f>CE455/BZ455-1</f>
        <v>0.10992303783435342</v>
      </c>
      <c r="CF456" s="417">
        <f t="shared" si="2131"/>
        <v>0.11804992074011933</v>
      </c>
      <c r="CG456" s="417">
        <f t="shared" si="2131"/>
        <v>4.8204845371350835E-2</v>
      </c>
      <c r="CH456" s="417">
        <f t="shared" si="2131"/>
        <v>2.548808340132025E-2</v>
      </c>
      <c r="CI456" s="417">
        <f t="shared" si="2131"/>
        <v>6.8048422401966624E-2</v>
      </c>
      <c r="CJ456" s="417">
        <f>CJ455/CE455-1</f>
        <v>-0.91632943881119333</v>
      </c>
      <c r="CK456" s="417">
        <f t="shared" si="2131"/>
        <v>1.9303922538762341E-2</v>
      </c>
      <c r="CL456" s="417">
        <f t="shared" si="2131"/>
        <v>0.21831381470913835</v>
      </c>
      <c r="CM456" s="417">
        <f t="shared" si="2131"/>
        <v>0.37819799576741442</v>
      </c>
      <c r="CN456" s="417"/>
      <c r="CO456" s="417">
        <f>CO455/CJ455-1</f>
        <v>1.0062199135537409E-2</v>
      </c>
      <c r="CP456" s="417">
        <f t="shared" ref="CP456:CR456" si="2132">CP455/CO455-1</f>
        <v>1.006157951024278E-2</v>
      </c>
      <c r="CQ456" s="417">
        <f t="shared" si="2132"/>
        <v>1.0060966095030155E-2</v>
      </c>
      <c r="CR456" s="417">
        <f t="shared" si="2132"/>
        <v>1.0060358826919025E-2</v>
      </c>
      <c r="CS456" s="417">
        <f t="shared" ref="CS456" si="2133">CS455/CR455-1</f>
        <v>1.0059757643581912E-2</v>
      </c>
      <c r="CT456" s="417">
        <f t="shared" ref="CT456" si="2134">CT455/CS455-1</f>
        <v>1.0059162483337936E-2</v>
      </c>
      <c r="CU456" s="347"/>
      <c r="CV456" s="1363"/>
      <c r="CW456" s="347"/>
      <c r="CX456" s="347"/>
      <c r="CY456" s="347"/>
      <c r="CZ456" s="347"/>
      <c r="DA456" s="347"/>
      <c r="DC456" s="407" t="s">
        <v>68</v>
      </c>
      <c r="DD456" s="417">
        <v>9.1954022988505857E-2</v>
      </c>
      <c r="DE456" s="417">
        <v>0.16415204678362572</v>
      </c>
      <c r="DF456" s="417">
        <v>3.5665982739420565E-2</v>
      </c>
      <c r="DG456" s="417">
        <v>7.0293932006036286E-2</v>
      </c>
      <c r="DH456" s="417">
        <v>6.0428378239079095E-2</v>
      </c>
      <c r="DI456" s="417">
        <v>5.5600070689618919E-2</v>
      </c>
      <c r="DJ456" s="417">
        <f>DJ455/DI455-1</f>
        <v>-1</v>
      </c>
      <c r="DK456" s="417" t="e">
        <f>DK455/DJ455-1</f>
        <v>#DIV/0!</v>
      </c>
      <c r="DL456" s="417" t="e">
        <f>DL455/DK455-1</f>
        <v>#DIV/0!</v>
      </c>
    </row>
    <row r="457" spans="1:146" hidden="1" outlineLevel="1">
      <c r="B457" s="618"/>
      <c r="C457" s="519"/>
      <c r="D457" s="519"/>
      <c r="E457" s="519"/>
      <c r="F457" s="519"/>
      <c r="G457" s="519"/>
      <c r="H457" s="519"/>
      <c r="I457" s="519"/>
      <c r="J457" s="519"/>
      <c r="K457" s="519"/>
      <c r="L457" s="519"/>
      <c r="M457" s="519"/>
      <c r="N457" s="519"/>
      <c r="O457" s="519"/>
      <c r="P457" s="519"/>
      <c r="Q457" s="519"/>
      <c r="R457" s="519"/>
      <c r="S457" s="519"/>
      <c r="T457" s="519"/>
      <c r="U457" s="519"/>
      <c r="V457" s="519"/>
      <c r="W457" s="519"/>
      <c r="X457" s="519"/>
      <c r="Y457" s="519"/>
      <c r="Z457" s="519"/>
      <c r="AA457" s="519"/>
      <c r="AB457" s="519"/>
      <c r="AC457" s="519"/>
      <c r="AD457" s="519"/>
      <c r="AE457" s="519"/>
      <c r="AF457" s="519"/>
      <c r="AG457" s="519"/>
      <c r="AH457" s="519"/>
      <c r="AI457" s="519"/>
      <c r="AJ457" s="519"/>
      <c r="AK457" s="519"/>
      <c r="AL457" s="519"/>
      <c r="AM457" s="519"/>
      <c r="AN457" s="519"/>
      <c r="AO457" s="519"/>
      <c r="AP457" s="519"/>
      <c r="AQ457" s="519"/>
      <c r="AR457" s="519"/>
      <c r="AS457" s="519"/>
      <c r="AT457" s="519"/>
      <c r="AU457" s="519"/>
      <c r="AV457" s="519"/>
      <c r="AW457" s="519"/>
      <c r="AX457" s="519"/>
      <c r="AY457" s="519"/>
      <c r="AZ457" s="519"/>
      <c r="BA457" s="519"/>
      <c r="BB457" s="519"/>
      <c r="BC457" s="519"/>
      <c r="BD457" s="519"/>
      <c r="BE457" s="519"/>
      <c r="BF457" s="519"/>
      <c r="BG457" s="519"/>
      <c r="BH457" s="519"/>
      <c r="BI457" s="519"/>
      <c r="BJ457" s="519"/>
      <c r="BK457" s="519"/>
      <c r="BL457" s="519"/>
      <c r="BM457" s="519"/>
      <c r="BN457" s="519"/>
      <c r="BO457" s="519"/>
      <c r="BP457" s="519"/>
      <c r="BQ457" s="519"/>
      <c r="BR457" s="519"/>
      <c r="BS457" s="519"/>
      <c r="BT457" s="519"/>
      <c r="BU457" s="519"/>
      <c r="BV457" s="519"/>
      <c r="BW457" s="519"/>
      <c r="BX457" s="519"/>
      <c r="BY457" s="519"/>
      <c r="BZ457" s="519"/>
      <c r="CA457" s="519"/>
      <c r="CB457" s="519"/>
      <c r="CC457" s="519"/>
      <c r="CD457" s="519"/>
      <c r="CE457" s="519"/>
      <c r="CF457" s="519"/>
      <c r="CG457" s="519"/>
      <c r="CH457" s="519"/>
      <c r="CI457" s="519"/>
      <c r="CJ457" s="519"/>
      <c r="CK457" s="519"/>
      <c r="CL457" s="519"/>
      <c r="CM457" s="519"/>
      <c r="CN457" s="519"/>
      <c r="CO457" s="519"/>
      <c r="CP457" s="519"/>
      <c r="CQ457" s="519"/>
      <c r="CR457" s="519"/>
      <c r="CS457" s="519"/>
      <c r="CT457" s="519"/>
      <c r="CU457" s="347"/>
      <c r="CV457" s="1363"/>
      <c r="CW457" s="347"/>
      <c r="CX457" s="347"/>
      <c r="CY457" s="347"/>
      <c r="CZ457" s="347"/>
      <c r="DA457" s="347"/>
      <c r="DC457" s="407"/>
      <c r="DD457" s="417"/>
      <c r="DE457" s="417"/>
      <c r="DF457" s="417"/>
      <c r="DG457" s="417"/>
      <c r="DH457" s="417"/>
      <c r="DI457" s="417"/>
      <c r="DJ457" s="417"/>
      <c r="DK457" s="417"/>
      <c r="DL457" s="417"/>
    </row>
    <row r="458" spans="1:146" hidden="1" outlineLevel="1">
      <c r="B458" s="620" t="s">
        <v>502</v>
      </c>
      <c r="C458" s="389">
        <f t="shared" ref="C458:AH458" si="2135">C4</f>
        <v>2007</v>
      </c>
      <c r="D458" s="389" t="str">
        <f t="shared" si="2135"/>
        <v>Q1</v>
      </c>
      <c r="E458" s="389" t="str">
        <f t="shared" si="2135"/>
        <v>Q2</v>
      </c>
      <c r="F458" s="389" t="str">
        <f t="shared" si="2135"/>
        <v>Q3</v>
      </c>
      <c r="G458" s="389" t="str">
        <f t="shared" si="2135"/>
        <v>Q4</v>
      </c>
      <c r="H458" s="389">
        <f t="shared" si="2135"/>
        <v>2008</v>
      </c>
      <c r="I458" s="389" t="str">
        <f t="shared" si="2135"/>
        <v>Q1</v>
      </c>
      <c r="J458" s="389" t="str">
        <f t="shared" si="2135"/>
        <v>Q2</v>
      </c>
      <c r="K458" s="389" t="str">
        <f t="shared" si="2135"/>
        <v>Q3</v>
      </c>
      <c r="L458" s="389" t="str">
        <f t="shared" si="2135"/>
        <v>Q4</v>
      </c>
      <c r="M458" s="389">
        <f t="shared" si="2135"/>
        <v>2009</v>
      </c>
      <c r="N458" s="389" t="str">
        <f t="shared" si="2135"/>
        <v>Q1</v>
      </c>
      <c r="O458" s="389" t="str">
        <f t="shared" si="2135"/>
        <v>Q2</v>
      </c>
      <c r="P458" s="389" t="str">
        <f t="shared" si="2135"/>
        <v>Q3</v>
      </c>
      <c r="Q458" s="389" t="str">
        <f t="shared" si="2135"/>
        <v>Q4</v>
      </c>
      <c r="R458" s="389">
        <f t="shared" si="2135"/>
        <v>2010</v>
      </c>
      <c r="S458" s="389" t="str">
        <f t="shared" si="2135"/>
        <v>Q1</v>
      </c>
      <c r="T458" s="389" t="str">
        <f t="shared" si="2135"/>
        <v>Q2</v>
      </c>
      <c r="U458" s="389" t="str">
        <f t="shared" si="2135"/>
        <v>Q3</v>
      </c>
      <c r="V458" s="389" t="str">
        <f t="shared" si="2135"/>
        <v>Q4</v>
      </c>
      <c r="W458" s="389">
        <f t="shared" si="2135"/>
        <v>2011</v>
      </c>
      <c r="X458" s="389" t="str">
        <f t="shared" si="2135"/>
        <v>Q1</v>
      </c>
      <c r="Y458" s="389" t="str">
        <f t="shared" si="2135"/>
        <v>Q2</v>
      </c>
      <c r="Z458" s="389" t="str">
        <f t="shared" si="2135"/>
        <v>Q3</v>
      </c>
      <c r="AA458" s="389" t="str">
        <f t="shared" si="2135"/>
        <v>Q4</v>
      </c>
      <c r="AB458" s="389">
        <f t="shared" si="2135"/>
        <v>2012</v>
      </c>
      <c r="AC458" s="389" t="str">
        <f t="shared" si="2135"/>
        <v>Q1</v>
      </c>
      <c r="AD458" s="389" t="str">
        <f t="shared" si="2135"/>
        <v>Q2</v>
      </c>
      <c r="AE458" s="389" t="str">
        <f t="shared" si="2135"/>
        <v>Q3</v>
      </c>
      <c r="AF458" s="389" t="str">
        <f t="shared" si="2135"/>
        <v>Q4</v>
      </c>
      <c r="AG458" s="389">
        <f t="shared" si="2135"/>
        <v>2013</v>
      </c>
      <c r="AH458" s="389" t="str">
        <f t="shared" si="2135"/>
        <v>Q1</v>
      </c>
      <c r="AI458" s="389" t="str">
        <f t="shared" ref="AI458:BN458" si="2136">AI4</f>
        <v>Q2</v>
      </c>
      <c r="AJ458" s="389" t="str">
        <f t="shared" si="2136"/>
        <v>Q3</v>
      </c>
      <c r="AK458" s="389" t="str">
        <f t="shared" si="2136"/>
        <v>Q4</v>
      </c>
      <c r="AL458" s="389">
        <f t="shared" si="2136"/>
        <v>2014</v>
      </c>
      <c r="AM458" s="389" t="str">
        <f t="shared" si="2136"/>
        <v>Q1</v>
      </c>
      <c r="AN458" s="389" t="str">
        <f t="shared" si="2136"/>
        <v>Q2</v>
      </c>
      <c r="AO458" s="389" t="str">
        <f t="shared" si="2136"/>
        <v>Q3</v>
      </c>
      <c r="AP458" s="389" t="str">
        <f t="shared" si="2136"/>
        <v>Q4</v>
      </c>
      <c r="AQ458" s="389">
        <f t="shared" si="2136"/>
        <v>2015</v>
      </c>
      <c r="AR458" s="389" t="str">
        <f t="shared" si="2136"/>
        <v>Q1</v>
      </c>
      <c r="AS458" s="389" t="str">
        <f t="shared" si="2136"/>
        <v>Q2</v>
      </c>
      <c r="AT458" s="389" t="str">
        <f t="shared" si="2136"/>
        <v>Q3</v>
      </c>
      <c r="AU458" s="389" t="str">
        <f t="shared" si="2136"/>
        <v>Q4</v>
      </c>
      <c r="AV458" s="389">
        <f t="shared" si="2136"/>
        <v>2016</v>
      </c>
      <c r="AW458" s="389" t="str">
        <f t="shared" si="2136"/>
        <v>Q1</v>
      </c>
      <c r="AX458" s="389" t="str">
        <f t="shared" si="2136"/>
        <v>Q2</v>
      </c>
      <c r="AY458" s="389" t="str">
        <f t="shared" si="2136"/>
        <v>Q3</v>
      </c>
      <c r="AZ458" s="389" t="str">
        <f t="shared" si="2136"/>
        <v>Q4</v>
      </c>
      <c r="BA458" s="389">
        <f t="shared" si="2136"/>
        <v>2017</v>
      </c>
      <c r="BB458" s="389" t="str">
        <f t="shared" si="2136"/>
        <v>Q1</v>
      </c>
      <c r="BC458" s="389" t="str">
        <f t="shared" si="2136"/>
        <v>Q2</v>
      </c>
      <c r="BD458" s="389" t="str">
        <f t="shared" si="2136"/>
        <v>Q3</v>
      </c>
      <c r="BE458" s="389" t="str">
        <f t="shared" si="2136"/>
        <v>Q4</v>
      </c>
      <c r="BF458" s="389">
        <f t="shared" si="2136"/>
        <v>2018</v>
      </c>
      <c r="BG458" s="389" t="str">
        <f t="shared" si="2136"/>
        <v>Q1</v>
      </c>
      <c r="BH458" s="389" t="str">
        <f t="shared" si="2136"/>
        <v>Q2</v>
      </c>
      <c r="BI458" s="389" t="str">
        <f t="shared" si="2136"/>
        <v>Q3</v>
      </c>
      <c r="BJ458" s="389" t="str">
        <f t="shared" si="2136"/>
        <v>Q4</v>
      </c>
      <c r="BK458" s="389">
        <f t="shared" si="2136"/>
        <v>2019</v>
      </c>
      <c r="BL458" s="389" t="str">
        <f t="shared" si="2136"/>
        <v>Q1</v>
      </c>
      <c r="BM458" s="389" t="str">
        <f t="shared" si="2136"/>
        <v>Q2</v>
      </c>
      <c r="BN458" s="389" t="str">
        <f t="shared" si="2136"/>
        <v>Q3</v>
      </c>
      <c r="BO458" s="389" t="str">
        <f t="shared" ref="BO458:CL458" si="2137">BO4</f>
        <v>Q4</v>
      </c>
      <c r="BP458" s="389">
        <f t="shared" si="2137"/>
        <v>2020</v>
      </c>
      <c r="BQ458" s="389" t="str">
        <f t="shared" si="2137"/>
        <v>Q1</v>
      </c>
      <c r="BR458" s="389" t="str">
        <f t="shared" si="2137"/>
        <v>Q2</v>
      </c>
      <c r="BS458" s="389" t="str">
        <f t="shared" si="2137"/>
        <v>Q3</v>
      </c>
      <c r="BT458" s="389" t="str">
        <f t="shared" si="2137"/>
        <v>Q4</v>
      </c>
      <c r="BU458" s="389">
        <f t="shared" si="2137"/>
        <v>2021</v>
      </c>
      <c r="BV458" s="389" t="str">
        <f t="shared" si="2137"/>
        <v>Q1</v>
      </c>
      <c r="BW458" s="389" t="str">
        <f t="shared" si="2137"/>
        <v>Q2</v>
      </c>
      <c r="BX458" s="389" t="str">
        <f t="shared" si="2137"/>
        <v>Q3</v>
      </c>
      <c r="BY458" s="389" t="str">
        <f t="shared" si="2137"/>
        <v>Q4</v>
      </c>
      <c r="BZ458" s="389">
        <f t="shared" si="2137"/>
        <v>2022</v>
      </c>
      <c r="CA458" s="389" t="str">
        <f t="shared" si="2137"/>
        <v>Q1</v>
      </c>
      <c r="CB458" s="389" t="str">
        <f t="shared" si="2137"/>
        <v>Q2</v>
      </c>
      <c r="CC458" s="389" t="str">
        <f t="shared" si="2137"/>
        <v>Q3</v>
      </c>
      <c r="CD458" s="389" t="str">
        <f t="shared" si="2137"/>
        <v>Q4</v>
      </c>
      <c r="CE458" s="389">
        <f t="shared" si="2137"/>
        <v>2023</v>
      </c>
      <c r="CF458" s="389" t="str">
        <f t="shared" si="2137"/>
        <v>Q1</v>
      </c>
      <c r="CG458" s="389" t="str">
        <f t="shared" si="2137"/>
        <v>Q2</v>
      </c>
      <c r="CH458" s="389" t="str">
        <f t="shared" si="2137"/>
        <v>Q3</v>
      </c>
      <c r="CI458" s="389" t="str">
        <f t="shared" si="2137"/>
        <v>Q4</v>
      </c>
      <c r="CJ458" s="389">
        <f t="shared" si="2137"/>
        <v>2024</v>
      </c>
      <c r="CK458" s="389" t="str">
        <f t="shared" si="2137"/>
        <v>Q1</v>
      </c>
      <c r="CL458" s="389" t="str">
        <f t="shared" si="2137"/>
        <v>Q2</v>
      </c>
      <c r="CM458" s="389" t="str">
        <f t="shared" ref="CM458" si="2138">CM4</f>
        <v>Q3</v>
      </c>
      <c r="CN458" s="389"/>
      <c r="CO458" s="389">
        <f t="shared" ref="CO458:CT458" si="2139">CO4</f>
        <v>2025</v>
      </c>
      <c r="CP458" s="389">
        <f t="shared" si="2139"/>
        <v>2026</v>
      </c>
      <c r="CQ458" s="389">
        <f t="shared" si="2139"/>
        <v>2027</v>
      </c>
      <c r="CR458" s="389">
        <f t="shared" si="2139"/>
        <v>2028</v>
      </c>
      <c r="CS458" s="389">
        <f t="shared" si="2139"/>
        <v>2029</v>
      </c>
      <c r="CT458" s="389">
        <f t="shared" si="2139"/>
        <v>2030</v>
      </c>
      <c r="CU458" s="347"/>
      <c r="CV458" s="1363"/>
      <c r="CW458" s="347"/>
      <c r="CX458" s="347"/>
      <c r="CY458" s="347"/>
      <c r="CZ458" s="347"/>
      <c r="DA458" s="347"/>
      <c r="DL458" s="385"/>
      <c r="DM458" s="385"/>
    </row>
    <row r="459" spans="1:146" hidden="1" outlineLevel="1">
      <c r="B459" s="622" t="s">
        <v>5</v>
      </c>
      <c r="C459" s="415">
        <f t="shared" ref="C459:AH459" si="2140">C455</f>
        <v>7990</v>
      </c>
      <c r="D459" s="415">
        <f t="shared" si="2140"/>
        <v>-3836.3353801500161</v>
      </c>
      <c r="E459" s="415">
        <f t="shared" si="2140"/>
        <v>-4230.5224755666186</v>
      </c>
      <c r="F459" s="415">
        <f t="shared" si="2140"/>
        <v>-4642.4199282496902</v>
      </c>
      <c r="G459" s="415">
        <f t="shared" si="2140"/>
        <v>-3410.2173669236472</v>
      </c>
      <c r="H459" s="415">
        <f t="shared" si="2140"/>
        <v>12061.33</v>
      </c>
      <c r="I459" s="415">
        <f t="shared" si="2140"/>
        <v>1503</v>
      </c>
      <c r="J459" s="415">
        <f t="shared" si="2140"/>
        <v>1705</v>
      </c>
      <c r="K459" s="415">
        <f t="shared" si="2140"/>
        <v>1818</v>
      </c>
      <c r="L459" s="415">
        <f t="shared" si="2140"/>
        <v>2038</v>
      </c>
      <c r="M459" s="415">
        <f t="shared" si="2140"/>
        <v>13707</v>
      </c>
      <c r="N459" s="415">
        <f t="shared" si="2140"/>
        <v>4106</v>
      </c>
      <c r="O459" s="415">
        <f t="shared" si="2140"/>
        <v>4261</v>
      </c>
      <c r="P459" s="415">
        <f t="shared" si="2140"/>
        <v>4442</v>
      </c>
      <c r="Q459" s="415">
        <f t="shared" si="2140"/>
        <v>4651</v>
      </c>
      <c r="R459" s="415">
        <f t="shared" si="2140"/>
        <v>17460</v>
      </c>
      <c r="S459" s="415">
        <f t="shared" si="2140"/>
        <v>4482</v>
      </c>
      <c r="T459" s="415">
        <f t="shared" si="2140"/>
        <v>4553</v>
      </c>
      <c r="U459" s="415">
        <f t="shared" si="2140"/>
        <v>4780</v>
      </c>
      <c r="V459" s="415">
        <f t="shared" si="2140"/>
        <v>4961</v>
      </c>
      <c r="W459" s="415">
        <f t="shared" si="2140"/>
        <v>18262</v>
      </c>
      <c r="X459" s="415">
        <f t="shared" si="2140"/>
        <v>4893</v>
      </c>
      <c r="Y459" s="415">
        <f t="shared" si="2140"/>
        <v>5229</v>
      </c>
      <c r="Z459" s="415">
        <f t="shared" si="2140"/>
        <v>5574</v>
      </c>
      <c r="AA459" s="415">
        <f t="shared" si="2140"/>
        <v>5273</v>
      </c>
      <c r="AB459" s="415">
        <f t="shared" si="2140"/>
        <v>20969</v>
      </c>
      <c r="AC459" s="415">
        <f t="shared" si="2140"/>
        <v>5758</v>
      </c>
      <c r="AD459" s="415">
        <f t="shared" si="2140"/>
        <v>6055</v>
      </c>
      <c r="AE459" s="415">
        <f t="shared" si="2140"/>
        <v>6388</v>
      </c>
      <c r="AF459" s="415">
        <f t="shared" si="2140"/>
        <v>6383</v>
      </c>
      <c r="AG459" s="415">
        <f t="shared" si="2140"/>
        <v>21266</v>
      </c>
      <c r="AH459" s="415">
        <f t="shared" si="2140"/>
        <v>5507</v>
      </c>
      <c r="AI459" s="415">
        <f t="shared" ref="AI459:AY459" si="2141">AI455</f>
        <v>6041</v>
      </c>
      <c r="AJ459" s="415">
        <f t="shared" si="2141"/>
        <v>6006</v>
      </c>
      <c r="AK459" s="415">
        <f t="shared" si="2141"/>
        <v>5906</v>
      </c>
      <c r="AL459" s="415">
        <f t="shared" si="2141"/>
        <v>23460</v>
      </c>
      <c r="AM459" s="415">
        <f t="shared" si="2141"/>
        <v>5481</v>
      </c>
      <c r="AN459" s="415">
        <f t="shared" si="2141"/>
        <v>5611</v>
      </c>
      <c r="AO459" s="415">
        <f t="shared" si="2141"/>
        <v>5830</v>
      </c>
      <c r="AP459" s="415">
        <f t="shared" si="2141"/>
        <v>5973</v>
      </c>
      <c r="AQ459" s="415">
        <f t="shared" si="2141"/>
        <v>22875</v>
      </c>
      <c r="AR459" s="415">
        <f t="shared" si="2141"/>
        <v>5616</v>
      </c>
      <c r="AS459" s="415">
        <f t="shared" si="2141"/>
        <v>5238</v>
      </c>
      <c r="AT459" s="415">
        <f t="shared" si="2141"/>
        <v>5230</v>
      </c>
      <c r="AU459" s="415">
        <f t="shared" si="2141"/>
        <v>5258</v>
      </c>
      <c r="AV459" s="415">
        <f t="shared" si="2141"/>
        <v>21342</v>
      </c>
      <c r="AW459" s="415">
        <f t="shared" si="2141"/>
        <v>5266</v>
      </c>
      <c r="AX459" s="415">
        <f t="shared" si="2141"/>
        <v>5667</v>
      </c>
      <c r="AY459" s="415">
        <f t="shared" si="2141"/>
        <v>5970</v>
      </c>
      <c r="AZ459" s="415">
        <f>BA459-AY459-AX459-AW459</f>
        <v>5972</v>
      </c>
      <c r="BA459" s="415">
        <f>BA455</f>
        <v>22875</v>
      </c>
      <c r="BB459" s="415">
        <f>BB455</f>
        <v>5501.3649999999998</v>
      </c>
      <c r="BC459" s="415">
        <f>BC455</f>
        <v>5544.6769999999997</v>
      </c>
      <c r="BD459" s="415">
        <f>BD455</f>
        <v>5846.17</v>
      </c>
      <c r="BE459" s="415">
        <f>BF459-BD459-BC459-BB459</f>
        <v>6046.6</v>
      </c>
      <c r="BF459" s="415">
        <f t="shared" ref="BF459:CR459" si="2142">BF455</f>
        <v>22938.812000000002</v>
      </c>
      <c r="BG459" s="415">
        <f t="shared" si="2142"/>
        <v>5967.2240000000002</v>
      </c>
      <c r="BH459" s="415">
        <f t="shared" si="2142"/>
        <v>6289.6049999999996</v>
      </c>
      <c r="BI459" s="415">
        <f t="shared" si="2142"/>
        <v>6463.6930000000002</v>
      </c>
      <c r="BJ459" s="415">
        <f t="shared" si="2142"/>
        <v>6412.33</v>
      </c>
      <c r="BK459" s="415">
        <f t="shared" si="2142"/>
        <v>25132.851999999999</v>
      </c>
      <c r="BL459" s="415">
        <f t="shared" si="2142"/>
        <v>6497.1509999999989</v>
      </c>
      <c r="BM459" s="415">
        <f t="shared" si="2142"/>
        <v>6585.009</v>
      </c>
      <c r="BN459" s="415">
        <f t="shared" ref="BN459:BP459" si="2143">BN455</f>
        <v>6573.991</v>
      </c>
      <c r="BO459" s="415">
        <f t="shared" si="2143"/>
        <v>6352.9440000000013</v>
      </c>
      <c r="BP459" s="415">
        <f t="shared" si="2143"/>
        <v>26009.094999999998</v>
      </c>
      <c r="BQ459" s="415">
        <f t="shared" si="2142"/>
        <v>6247.3630000000003</v>
      </c>
      <c r="BR459" s="415">
        <f t="shared" ref="BR459:BS459" si="2144">BR455</f>
        <v>6726.8360000000002</v>
      </c>
      <c r="BS459" s="415">
        <f t="shared" si="2144"/>
        <v>6825.9939999999997</v>
      </c>
      <c r="BT459" s="415">
        <f t="shared" ref="BT459:BU459" si="2145">BT455</f>
        <v>6953.857</v>
      </c>
      <c r="BU459" s="415">
        <f t="shared" si="2145"/>
        <v>26754.05</v>
      </c>
      <c r="BV459" s="415">
        <f t="shared" ref="BV459:BW459" si="2146">BV455</f>
        <v>6742.0590000000002</v>
      </c>
      <c r="BW459" s="415">
        <f t="shared" si="2146"/>
        <v>7332.7409999999991</v>
      </c>
      <c r="BX459" s="415">
        <f t="shared" ref="BX459" si="2147">BX455</f>
        <v>7520.6000000000031</v>
      </c>
      <c r="BY459" s="415">
        <f t="shared" ref="BY459:CA459" si="2148">BY455</f>
        <v>7546.5939999999982</v>
      </c>
      <c r="BZ459" s="415">
        <f t="shared" si="2148"/>
        <v>31765.998</v>
      </c>
      <c r="CA459" s="415">
        <f t="shared" si="2148"/>
        <v>7547.3239999999996</v>
      </c>
      <c r="CB459" s="415">
        <f t="shared" ref="CB459:CC459" si="2149">CB455</f>
        <v>8217.2030000000013</v>
      </c>
      <c r="CC459" s="415">
        <f t="shared" si="2149"/>
        <v>8103.2769999999991</v>
      </c>
      <c r="CD459" s="415">
        <f t="shared" ref="CD459:CE459" si="2150">CD455</f>
        <v>8454.8470000000016</v>
      </c>
      <c r="CE459" s="415">
        <f t="shared" si="2150"/>
        <v>35257.812999999995</v>
      </c>
      <c r="CF459" s="415">
        <f t="shared" ref="CF459:CG459" si="2151">CF455</f>
        <v>8438.2849999999999</v>
      </c>
      <c r="CG459" s="415">
        <f t="shared" si="2151"/>
        <v>8613.3120000000017</v>
      </c>
      <c r="CH459" s="415">
        <f t="shared" ref="CH459:CI459" si="2152">CH455</f>
        <v>8309.8139999999985</v>
      </c>
      <c r="CI459" s="415">
        <f t="shared" si="2152"/>
        <v>9030.1860000000015</v>
      </c>
      <c r="CJ459" s="415">
        <f t="shared" si="2142"/>
        <v>2950.0410000000015</v>
      </c>
      <c r="CK459" s="415">
        <f t="shared" si="2142"/>
        <v>8601.1769999999997</v>
      </c>
      <c r="CL459" s="415">
        <f t="shared" ref="CL459" si="2153">CL455</f>
        <v>10493.717000000001</v>
      </c>
      <c r="CM459" s="415">
        <f t="shared" ref="CM459" si="2154">CM455</f>
        <v>11452.569</v>
      </c>
      <c r="CN459" s="415"/>
      <c r="CO459" s="415">
        <f t="shared" si="2142"/>
        <v>2979.7249000000015</v>
      </c>
      <c r="CP459" s="415">
        <f t="shared" si="2142"/>
        <v>3009.7056390000016</v>
      </c>
      <c r="CQ459" s="415">
        <f t="shared" si="2142"/>
        <v>3039.9861853900015</v>
      </c>
      <c r="CR459" s="415">
        <f t="shared" si="2142"/>
        <v>3070.5695372439018</v>
      </c>
      <c r="CS459" s="415">
        <f t="shared" ref="CS459:CT459" si="2155">CS455</f>
        <v>3101.4587226163408</v>
      </c>
      <c r="CT459" s="415">
        <f t="shared" si="2155"/>
        <v>3132.6567998425044</v>
      </c>
      <c r="CU459" s="347"/>
      <c r="CV459" s="1363"/>
      <c r="CW459" s="347"/>
      <c r="CX459" s="347"/>
      <c r="CY459" s="347"/>
      <c r="CZ459" s="367"/>
      <c r="DA459" s="367"/>
      <c r="DB459" s="367"/>
      <c r="DC459" s="367"/>
      <c r="DL459" s="347"/>
      <c r="DM459" s="378"/>
    </row>
    <row r="460" spans="1:146" hidden="1" outlineLevel="1">
      <c r="B460" s="623" t="s">
        <v>0</v>
      </c>
      <c r="C460" s="379"/>
      <c r="D460" s="379"/>
      <c r="E460" s="379"/>
      <c r="F460" s="379"/>
      <c r="G460" s="379"/>
      <c r="H460" s="379">
        <f t="shared" ref="H460:AZ460" si="2156">H459/C459-1</f>
        <v>0.50955319148936162</v>
      </c>
      <c r="I460" s="379">
        <f t="shared" si="2156"/>
        <v>-1.3917801367880476</v>
      </c>
      <c r="J460" s="379">
        <f t="shared" si="2156"/>
        <v>-1.403023505925622</v>
      </c>
      <c r="K460" s="379">
        <f t="shared" si="2156"/>
        <v>-1.391606108042327</v>
      </c>
      <c r="L460" s="379">
        <f t="shared" si="2156"/>
        <v>-1.5976158645390037</v>
      </c>
      <c r="M460" s="379">
        <f t="shared" si="2156"/>
        <v>0.13644183518733</v>
      </c>
      <c r="N460" s="379">
        <f t="shared" si="2156"/>
        <v>1.731869594145043</v>
      </c>
      <c r="O460" s="379">
        <f t="shared" si="2156"/>
        <v>1.4991202346041055</v>
      </c>
      <c r="P460" s="379">
        <f t="shared" si="2156"/>
        <v>1.4433443344334433</v>
      </c>
      <c r="Q460" s="379">
        <f t="shared" si="2156"/>
        <v>1.2821393523061824</v>
      </c>
      <c r="R460" s="379">
        <f t="shared" si="2156"/>
        <v>0.2738017071569272</v>
      </c>
      <c r="S460" s="379">
        <f t="shared" si="2156"/>
        <v>9.1573307355090172E-2</v>
      </c>
      <c r="T460" s="379">
        <f t="shared" si="2156"/>
        <v>6.8528514433231713E-2</v>
      </c>
      <c r="U460" s="379">
        <f t="shared" si="2156"/>
        <v>7.6091850517784776E-2</v>
      </c>
      <c r="V460" s="379">
        <f t="shared" si="2156"/>
        <v>6.6652332831649064E-2</v>
      </c>
      <c r="W460" s="379">
        <f t="shared" si="2156"/>
        <v>4.5933562428407848E-2</v>
      </c>
      <c r="X460" s="379">
        <f t="shared" si="2156"/>
        <v>9.1700133868808598E-2</v>
      </c>
      <c r="Y460" s="379">
        <f t="shared" si="2156"/>
        <v>0.14847353393367002</v>
      </c>
      <c r="Z460" s="379">
        <f t="shared" si="2156"/>
        <v>0.16610878661087858</v>
      </c>
      <c r="AA460" s="379">
        <f t="shared" si="2156"/>
        <v>6.2890546260834457E-2</v>
      </c>
      <c r="AB460" s="379">
        <f t="shared" si="2156"/>
        <v>0.1482312999671449</v>
      </c>
      <c r="AC460" s="379">
        <f t="shared" si="2156"/>
        <v>0.17678315961577762</v>
      </c>
      <c r="AD460" s="379">
        <f t="shared" si="2156"/>
        <v>0.15796519410977239</v>
      </c>
      <c r="AE460" s="379">
        <f t="shared" si="2156"/>
        <v>0.14603516325798349</v>
      </c>
      <c r="AF460" s="379">
        <f t="shared" si="2156"/>
        <v>0.21050635311966626</v>
      </c>
      <c r="AG460" s="379">
        <f t="shared" si="2156"/>
        <v>1.4163765558681929E-2</v>
      </c>
      <c r="AH460" s="379">
        <f t="shared" si="2156"/>
        <v>-4.3591524835012163E-2</v>
      </c>
      <c r="AI460" s="379">
        <f t="shared" si="2156"/>
        <v>-2.3121387283236983E-3</v>
      </c>
      <c r="AJ460" s="379">
        <f t="shared" si="2156"/>
        <v>-5.9799624295554188E-2</v>
      </c>
      <c r="AK460" s="379">
        <f t="shared" si="2156"/>
        <v>-7.4729750900830338E-2</v>
      </c>
      <c r="AL460" s="379">
        <f t="shared" si="2156"/>
        <v>0.10316937835041862</v>
      </c>
      <c r="AM460" s="379">
        <f t="shared" si="2156"/>
        <v>-4.7212638460141232E-3</v>
      </c>
      <c r="AN460" s="379">
        <f t="shared" si="2156"/>
        <v>-7.1180268167521987E-2</v>
      </c>
      <c r="AO460" s="379">
        <f t="shared" si="2156"/>
        <v>-2.9304029304029311E-2</v>
      </c>
      <c r="AP460" s="379">
        <f t="shared" si="2156"/>
        <v>1.1344395529969464E-2</v>
      </c>
      <c r="AQ460" s="379">
        <f t="shared" si="2156"/>
        <v>-2.4936061381074182E-2</v>
      </c>
      <c r="AR460" s="379">
        <f t="shared" si="2156"/>
        <v>2.4630541871921263E-2</v>
      </c>
      <c r="AS460" s="379">
        <f t="shared" si="2156"/>
        <v>-6.6476563892354346E-2</v>
      </c>
      <c r="AT460" s="379">
        <f t="shared" si="2156"/>
        <v>-0.10291595197255576</v>
      </c>
      <c r="AU460" s="379">
        <f t="shared" si="2156"/>
        <v>-0.11970534069981587</v>
      </c>
      <c r="AV460" s="379">
        <f>AV459/AQ459-1</f>
        <v>-6.7016393442623001E-2</v>
      </c>
      <c r="AW460" s="379">
        <f t="shared" si="2156"/>
        <v>-6.232193732193736E-2</v>
      </c>
      <c r="AX460" s="379">
        <f t="shared" si="2156"/>
        <v>8.1901489117983894E-2</v>
      </c>
      <c r="AY460" s="379">
        <f t="shared" si="2156"/>
        <v>0.14149139579349912</v>
      </c>
      <c r="AZ460" s="379">
        <f t="shared" si="2156"/>
        <v>0.13579307721567146</v>
      </c>
      <c r="BA460" s="379">
        <f t="shared" ref="BA460:BF460" si="2157">BA459/AV459-1</f>
        <v>7.1830193983694057E-2</v>
      </c>
      <c r="BB460" s="379">
        <f t="shared" si="2157"/>
        <v>4.4695214584124621E-2</v>
      </c>
      <c r="BC460" s="379">
        <f t="shared" si="2157"/>
        <v>-2.1585142050467687E-2</v>
      </c>
      <c r="BD460" s="379">
        <f t="shared" si="2157"/>
        <v>-2.0742043551088774E-2</v>
      </c>
      <c r="BE460" s="379">
        <f t="shared" si="2157"/>
        <v>1.249162759544542E-2</v>
      </c>
      <c r="BF460" s="379">
        <f t="shared" si="2157"/>
        <v>2.7895956284154089E-3</v>
      </c>
      <c r="BG460" s="379">
        <f t="shared" ref="BG460:BH460" si="2158">BG459/BB459-1</f>
        <v>8.468062017335698E-2</v>
      </c>
      <c r="BH460" s="379">
        <f t="shared" si="2158"/>
        <v>0.13435011633680372</v>
      </c>
      <c r="BI460" s="379">
        <f t="shared" ref="BI460" si="2159">BI459/BD459-1</f>
        <v>0.10562864234190927</v>
      </c>
      <c r="BJ460" s="379">
        <f t="shared" ref="BJ460:BV460" si="2160">BJ459/BE459-1</f>
        <v>6.0485231369695303E-2</v>
      </c>
      <c r="BK460" s="379">
        <f t="shared" si="2160"/>
        <v>9.5647499094547506E-2</v>
      </c>
      <c r="BL460" s="379">
        <f t="shared" si="2160"/>
        <v>8.8806285803918028E-2</v>
      </c>
      <c r="BM460" s="379">
        <f t="shared" si="2160"/>
        <v>4.6967019391519926E-2</v>
      </c>
      <c r="BN460" s="379">
        <f t="shared" si="2160"/>
        <v>1.7064238663562659E-2</v>
      </c>
      <c r="BO460" s="379">
        <f t="shared" si="2160"/>
        <v>-9.2612201804957994E-3</v>
      </c>
      <c r="BP460" s="379">
        <f t="shared" si="2160"/>
        <v>3.4864447536634424E-2</v>
      </c>
      <c r="BQ460" s="379">
        <f t="shared" si="2160"/>
        <v>-3.8445774155471901E-2</v>
      </c>
      <c r="BR460" s="379">
        <f t="shared" si="2160"/>
        <v>2.1537859705279105E-2</v>
      </c>
      <c r="BS460" s="379">
        <f t="shared" si="2160"/>
        <v>3.8333335108003519E-2</v>
      </c>
      <c r="BT460" s="379">
        <f t="shared" si="2160"/>
        <v>9.4588115368244852E-2</v>
      </c>
      <c r="BU460" s="379">
        <f t="shared" si="2160"/>
        <v>2.8642096159055219E-2</v>
      </c>
      <c r="BV460" s="379">
        <f t="shared" si="2160"/>
        <v>7.9184769638005692E-2</v>
      </c>
      <c r="BW460" s="379">
        <f t="shared" ref="BW460:CM460" si="2161">BW459/BR459-1</f>
        <v>9.0072806888706447E-2</v>
      </c>
      <c r="BX460" s="379">
        <f t="shared" si="2161"/>
        <v>0.10175895261554624</v>
      </c>
      <c r="BY460" s="379">
        <f t="shared" si="2161"/>
        <v>8.5238594926527522E-2</v>
      </c>
      <c r="BZ460" s="379">
        <f t="shared" si="2161"/>
        <v>0.1873341793111698</v>
      </c>
      <c r="CA460" s="379">
        <f t="shared" si="2161"/>
        <v>0.1194390319040517</v>
      </c>
      <c r="CB460" s="379">
        <f t="shared" si="2161"/>
        <v>0.12061819720620193</v>
      </c>
      <c r="CC460" s="379">
        <f t="shared" si="2161"/>
        <v>7.7477461904634781E-2</v>
      </c>
      <c r="CD460" s="379">
        <f t="shared" si="2161"/>
        <v>0.12035270480961402</v>
      </c>
      <c r="CE460" s="379">
        <f t="shared" si="2161"/>
        <v>0.10992303783435342</v>
      </c>
      <c r="CF460" s="379">
        <f t="shared" si="2161"/>
        <v>0.11804992074011933</v>
      </c>
      <c r="CG460" s="379">
        <f t="shared" si="2161"/>
        <v>4.8204845371350835E-2</v>
      </c>
      <c r="CH460" s="379">
        <f t="shared" si="2161"/>
        <v>2.548808340132025E-2</v>
      </c>
      <c r="CI460" s="379">
        <f t="shared" si="2161"/>
        <v>6.8048422401966624E-2</v>
      </c>
      <c r="CJ460" s="379">
        <f>CJ459/CE459-1</f>
        <v>-0.91632943881119333</v>
      </c>
      <c r="CK460" s="379">
        <f t="shared" si="2161"/>
        <v>1.9303922538762341E-2</v>
      </c>
      <c r="CL460" s="379">
        <f t="shared" si="2161"/>
        <v>0.21831381470913835</v>
      </c>
      <c r="CM460" s="379">
        <f t="shared" si="2161"/>
        <v>0.37819799576741442</v>
      </c>
      <c r="CN460" s="379"/>
      <c r="CO460" s="379">
        <f>CO459/CJ459-1</f>
        <v>1.0062199135537409E-2</v>
      </c>
      <c r="CP460" s="379">
        <f t="shared" ref="CP460:CR460" si="2162">CP459/CO459-1</f>
        <v>1.006157951024278E-2</v>
      </c>
      <c r="CQ460" s="379">
        <f t="shared" si="2162"/>
        <v>1.0060966095030155E-2</v>
      </c>
      <c r="CR460" s="379">
        <f t="shared" si="2162"/>
        <v>1.0060358826919025E-2</v>
      </c>
      <c r="CS460" s="379">
        <f t="shared" ref="CS460" si="2163">CS459/CR459-1</f>
        <v>1.0059757643581912E-2</v>
      </c>
      <c r="CT460" s="379">
        <f t="shared" ref="CT460" si="2164">CT459/CS459-1</f>
        <v>1.0059162483337936E-2</v>
      </c>
      <c r="CU460" s="347"/>
      <c r="CV460" s="1363"/>
      <c r="CW460" s="347"/>
      <c r="CX460" s="347"/>
      <c r="CY460" s="347"/>
      <c r="CZ460" s="367"/>
      <c r="DA460" s="367"/>
      <c r="DB460" s="367"/>
      <c r="DC460" s="367"/>
      <c r="DL460" s="347"/>
      <c r="DM460" s="378"/>
    </row>
    <row r="461" spans="1:146" hidden="1" outlineLevel="1">
      <c r="B461" s="618"/>
      <c r="C461" s="519"/>
      <c r="D461" s="519"/>
      <c r="E461" s="519"/>
      <c r="F461" s="519"/>
      <c r="G461" s="519"/>
      <c r="H461" s="519"/>
      <c r="I461" s="519"/>
      <c r="J461" s="519"/>
      <c r="K461" s="519"/>
      <c r="L461" s="519"/>
      <c r="M461" s="519"/>
      <c r="N461" s="519"/>
      <c r="O461" s="519"/>
      <c r="P461" s="519"/>
      <c r="Q461" s="519"/>
      <c r="R461" s="519"/>
      <c r="S461" s="519"/>
      <c r="T461" s="519"/>
      <c r="U461" s="519"/>
      <c r="V461" s="519"/>
      <c r="W461" s="519"/>
      <c r="X461" s="519"/>
      <c r="Y461" s="519"/>
      <c r="Z461" s="519"/>
      <c r="AA461" s="519"/>
      <c r="AB461" s="519"/>
      <c r="AC461" s="519"/>
      <c r="AD461" s="519"/>
      <c r="AE461" s="519"/>
      <c r="AF461" s="519"/>
      <c r="AG461" s="519"/>
      <c r="AH461" s="519"/>
      <c r="AI461" s="519"/>
      <c r="AJ461" s="519"/>
      <c r="AK461" s="519"/>
      <c r="AL461" s="519"/>
      <c r="AM461" s="519"/>
      <c r="AN461" s="519"/>
      <c r="AO461" s="519"/>
      <c r="AP461" s="519"/>
      <c r="AQ461" s="519"/>
      <c r="AR461" s="519"/>
      <c r="AS461" s="519"/>
      <c r="AT461" s="519"/>
      <c r="AU461" s="519"/>
      <c r="AV461" s="519"/>
      <c r="AW461" s="519"/>
      <c r="AX461" s="519"/>
      <c r="AY461" s="519"/>
      <c r="AZ461" s="519"/>
      <c r="BA461" s="519"/>
      <c r="BB461" s="519"/>
      <c r="BC461" s="519"/>
      <c r="BD461" s="519"/>
      <c r="BE461" s="519"/>
      <c r="BF461" s="519"/>
      <c r="BG461" s="519"/>
      <c r="BH461" s="519"/>
      <c r="BI461" s="519"/>
      <c r="BJ461" s="519"/>
      <c r="BK461" s="519"/>
      <c r="BL461" s="519"/>
      <c r="BM461" s="519"/>
      <c r="BN461" s="519"/>
      <c r="BO461" s="519"/>
      <c r="BP461" s="519"/>
      <c r="BQ461" s="519"/>
      <c r="BR461" s="519"/>
      <c r="BS461" s="519"/>
      <c r="BT461" s="519"/>
      <c r="BU461" s="519"/>
      <c r="BV461" s="519"/>
      <c r="BW461" s="519"/>
      <c r="BX461" s="519"/>
      <c r="BY461" s="519"/>
      <c r="BZ461" s="519"/>
      <c r="CA461" s="519"/>
      <c r="CB461" s="519"/>
      <c r="CC461" s="519"/>
      <c r="CD461" s="519"/>
      <c r="CE461" s="519"/>
      <c r="CF461" s="519"/>
      <c r="CG461" s="519"/>
      <c r="CH461" s="519"/>
      <c r="CI461" s="519"/>
      <c r="CJ461" s="519"/>
      <c r="CK461" s="519"/>
      <c r="CL461" s="519"/>
      <c r="CM461" s="519"/>
      <c r="CN461" s="519"/>
      <c r="CO461" s="519"/>
      <c r="CP461" s="519"/>
      <c r="CQ461" s="519"/>
      <c r="CR461" s="519"/>
      <c r="CS461" s="519"/>
      <c r="CT461" s="519"/>
      <c r="CU461" s="347"/>
      <c r="CV461" s="1363"/>
      <c r="CW461" s="347"/>
      <c r="CX461" s="347"/>
      <c r="CY461" s="347"/>
      <c r="CZ461" s="347"/>
      <c r="DA461" s="347"/>
      <c r="DC461" s="407"/>
      <c r="DD461" s="417"/>
      <c r="DE461" s="417"/>
      <c r="DF461" s="417"/>
      <c r="DG461" s="417"/>
      <c r="DH461" s="417"/>
      <c r="DI461" s="417"/>
      <c r="DJ461" s="417"/>
      <c r="DK461" s="417"/>
      <c r="DL461" s="417"/>
    </row>
    <row r="462" spans="1:146" hidden="1" outlineLevel="1">
      <c r="B462" s="562" t="s">
        <v>79</v>
      </c>
      <c r="C462" s="367"/>
      <c r="D462" s="367"/>
      <c r="E462" s="367"/>
      <c r="F462" s="367"/>
      <c r="G462" s="367"/>
      <c r="H462" s="367"/>
      <c r="I462" s="367"/>
      <c r="J462" s="367"/>
      <c r="K462" s="367"/>
      <c r="L462" s="367"/>
      <c r="M462" s="367"/>
      <c r="N462" s="367"/>
      <c r="O462" s="367"/>
      <c r="P462" s="367"/>
      <c r="Q462" s="367"/>
      <c r="R462" s="367">
        <v>0.3</v>
      </c>
      <c r="S462" s="367"/>
      <c r="T462" s="367"/>
      <c r="U462" s="367"/>
      <c r="V462" s="367"/>
      <c r="W462" s="367">
        <f>R462+3%</f>
        <v>0.32999999999999996</v>
      </c>
      <c r="X462" s="367"/>
      <c r="Y462" s="367"/>
      <c r="Z462" s="367"/>
      <c r="AA462" s="367"/>
      <c r="AB462" s="367">
        <f>W462+3%</f>
        <v>0.36</v>
      </c>
      <c r="AC462" s="367"/>
      <c r="AD462" s="367"/>
      <c r="AE462" s="367"/>
      <c r="AF462" s="367"/>
      <c r="AG462" s="367">
        <f>AB462+2%</f>
        <v>0.38</v>
      </c>
      <c r="AH462" s="367"/>
      <c r="AI462" s="367"/>
      <c r="AJ462" s="367"/>
      <c r="AK462" s="367"/>
      <c r="AL462" s="367">
        <f>AG462+2%</f>
        <v>0.4</v>
      </c>
      <c r="AM462" s="367"/>
      <c r="AN462" s="367"/>
      <c r="AO462" s="367"/>
      <c r="AP462" s="367"/>
      <c r="AQ462" s="367">
        <f>AL462+2%</f>
        <v>0.42000000000000004</v>
      </c>
      <c r="AR462" s="367"/>
      <c r="AS462" s="367"/>
      <c r="AT462" s="367"/>
      <c r="AU462" s="367"/>
      <c r="AV462" s="367">
        <f>AQ462+2%</f>
        <v>0.44000000000000006</v>
      </c>
      <c r="AW462" s="367"/>
      <c r="AX462" s="367"/>
      <c r="AY462" s="367"/>
      <c r="AZ462" s="367"/>
      <c r="BA462" s="367">
        <f>AV462+2%</f>
        <v>0.46000000000000008</v>
      </c>
      <c r="BB462" s="367"/>
      <c r="BC462" s="367"/>
      <c r="BD462" s="367"/>
      <c r="BE462" s="367"/>
      <c r="BF462" s="367">
        <f>BA462+2%</f>
        <v>0.48000000000000009</v>
      </c>
      <c r="BG462" s="367"/>
      <c r="BH462" s="367"/>
      <c r="BI462" s="367"/>
      <c r="BJ462" s="367"/>
      <c r="BK462" s="367">
        <f>BF462+2%</f>
        <v>0.50000000000000011</v>
      </c>
      <c r="BL462" s="367"/>
      <c r="BM462" s="367"/>
      <c r="BN462" s="367"/>
      <c r="BO462" s="367"/>
      <c r="BP462" s="367">
        <f>BK462+2%</f>
        <v>0.52000000000000013</v>
      </c>
      <c r="BQ462" s="367"/>
      <c r="BR462" s="367"/>
      <c r="BS462" s="367"/>
      <c r="BT462" s="367"/>
      <c r="BU462" s="367">
        <f>BP462+2%</f>
        <v>0.54000000000000015</v>
      </c>
      <c r="BV462" s="367"/>
      <c r="BW462" s="367"/>
      <c r="BX462" s="367"/>
      <c r="BY462" s="367"/>
      <c r="BZ462" s="367">
        <f>BU462+2%</f>
        <v>0.56000000000000016</v>
      </c>
      <c r="CA462" s="367"/>
      <c r="CB462" s="367"/>
      <c r="CC462" s="367"/>
      <c r="CD462" s="367"/>
      <c r="CE462" s="367">
        <f>BZ462+2%</f>
        <v>0.58000000000000018</v>
      </c>
      <c r="CF462" s="367"/>
      <c r="CG462" s="367"/>
      <c r="CH462" s="367"/>
      <c r="CI462" s="367"/>
      <c r="CJ462" s="367">
        <f>CE462+2%</f>
        <v>0.6000000000000002</v>
      </c>
      <c r="CK462" s="367"/>
      <c r="CL462" s="367"/>
      <c r="CM462" s="367"/>
      <c r="CN462" s="367"/>
      <c r="CO462" s="367">
        <f>CJ462+2%</f>
        <v>0.62000000000000022</v>
      </c>
      <c r="CP462" s="367">
        <f t="shared" ref="CP462:CR462" si="2165">CO462+2%</f>
        <v>0.64000000000000024</v>
      </c>
      <c r="CQ462" s="367">
        <f t="shared" si="2165"/>
        <v>0.66000000000000025</v>
      </c>
      <c r="CR462" s="367">
        <f t="shared" si="2165"/>
        <v>0.68000000000000027</v>
      </c>
      <c r="CS462" s="367">
        <f t="shared" ref="CS462" si="2166">CR462+2%</f>
        <v>0.70000000000000029</v>
      </c>
      <c r="CT462" s="367">
        <f t="shared" ref="CT462" si="2167">CS462+2%</f>
        <v>0.72000000000000031</v>
      </c>
      <c r="CU462" s="347"/>
      <c r="CV462" s="1363"/>
      <c r="CW462" s="347"/>
      <c r="CX462" s="347"/>
      <c r="CY462" s="347"/>
      <c r="CZ462" s="347"/>
      <c r="DA462" s="347"/>
      <c r="EM462" s="399"/>
    </row>
    <row r="463" spans="1:146" hidden="1" outlineLevel="1">
      <c r="B463" s="562" t="s">
        <v>80</v>
      </c>
      <c r="C463" s="347"/>
      <c r="D463" s="347"/>
      <c r="E463" s="347"/>
      <c r="F463" s="347"/>
      <c r="G463" s="347"/>
      <c r="H463" s="478"/>
      <c r="I463" s="478"/>
      <c r="J463" s="478"/>
      <c r="K463" s="478"/>
      <c r="L463" s="478"/>
      <c r="M463" s="478"/>
      <c r="N463" s="478"/>
      <c r="O463" s="478"/>
      <c r="P463" s="478"/>
      <c r="Q463" s="478"/>
      <c r="R463" s="478">
        <f>R462*R447</f>
        <v>5238</v>
      </c>
      <c r="S463" s="478"/>
      <c r="T463" s="478"/>
      <c r="U463" s="478"/>
      <c r="V463" s="478"/>
      <c r="W463" s="478">
        <f>W462*W447</f>
        <v>6026.4599999999991</v>
      </c>
      <c r="X463" s="478"/>
      <c r="Y463" s="478"/>
      <c r="Z463" s="478"/>
      <c r="AA463" s="478"/>
      <c r="AB463" s="478">
        <f>AB462*AB447</f>
        <v>7548.84</v>
      </c>
      <c r="AC463" s="478"/>
      <c r="AD463" s="478"/>
      <c r="AE463" s="478"/>
      <c r="AF463" s="478"/>
      <c r="AG463" s="478">
        <f>AG462*AG447</f>
        <v>8081.08</v>
      </c>
      <c r="AH463" s="478"/>
      <c r="AI463" s="478"/>
      <c r="AJ463" s="478"/>
      <c r="AK463" s="478"/>
      <c r="AL463" s="478">
        <f>AL462*AL447</f>
        <v>9384</v>
      </c>
      <c r="AM463" s="478"/>
      <c r="AN463" s="478"/>
      <c r="AO463" s="478"/>
      <c r="AP463" s="478"/>
      <c r="AQ463" s="478">
        <f>AQ462*AQ447</f>
        <v>9607.5000000000018</v>
      </c>
      <c r="AR463" s="478"/>
      <c r="AS463" s="478"/>
      <c r="AT463" s="478"/>
      <c r="AU463" s="478"/>
      <c r="AV463" s="478">
        <f>AV462*AV447</f>
        <v>9390.4800000000014</v>
      </c>
      <c r="AW463" s="478"/>
      <c r="AX463" s="478"/>
      <c r="AY463" s="478"/>
      <c r="AZ463" s="478"/>
      <c r="BA463" s="478">
        <f>BA462*BA447</f>
        <v>10522.500000000002</v>
      </c>
      <c r="BB463" s="478"/>
      <c r="BC463" s="478"/>
      <c r="BD463" s="478"/>
      <c r="BE463" s="478"/>
      <c r="BF463" s="478">
        <f>BF462*BF447</f>
        <v>11010.629760000003</v>
      </c>
      <c r="BG463" s="478"/>
      <c r="BH463" s="478"/>
      <c r="BI463" s="478"/>
      <c r="BJ463" s="478"/>
      <c r="BK463" s="478">
        <f>BK462*BK447</f>
        <v>12566.426000000003</v>
      </c>
      <c r="BL463" s="478"/>
      <c r="BM463" s="478"/>
      <c r="BN463" s="478"/>
      <c r="BO463" s="478"/>
      <c r="BP463" s="478">
        <f>BP462*BP447</f>
        <v>13524.729400000002</v>
      </c>
      <c r="BQ463" s="478"/>
      <c r="BR463" s="478"/>
      <c r="BS463" s="478"/>
      <c r="BT463" s="478"/>
      <c r="BU463" s="478">
        <f>BU462*BU447</f>
        <v>14447.187000000004</v>
      </c>
      <c r="BV463" s="478"/>
      <c r="BW463" s="478"/>
      <c r="BX463" s="478"/>
      <c r="BY463" s="478"/>
      <c r="BZ463" s="478">
        <f>BZ462*BZ447</f>
        <v>17788.958880000006</v>
      </c>
      <c r="CA463" s="478"/>
      <c r="CB463" s="478"/>
      <c r="CC463" s="478"/>
      <c r="CD463" s="478"/>
      <c r="CE463" s="478">
        <f>CE462*CE447</f>
        <v>20449.531540000004</v>
      </c>
      <c r="CF463" s="478"/>
      <c r="CG463" s="478"/>
      <c r="CH463" s="478"/>
      <c r="CI463" s="478"/>
      <c r="CJ463" s="478">
        <f t="shared" ref="CJ463:CR463" si="2168">CJ462*CJ447</f>
        <v>1770.0246000000016</v>
      </c>
      <c r="CK463" s="478"/>
      <c r="CL463" s="478"/>
      <c r="CM463" s="478"/>
      <c r="CN463" s="478"/>
      <c r="CO463" s="478">
        <f t="shared" si="2168"/>
        <v>1847.4294380000015</v>
      </c>
      <c r="CP463" s="478">
        <f t="shared" si="2168"/>
        <v>1926.2116089600017</v>
      </c>
      <c r="CQ463" s="478">
        <f t="shared" si="2168"/>
        <v>2006.3908823574018</v>
      </c>
      <c r="CR463" s="478">
        <f t="shared" si="2168"/>
        <v>2087.9872853258539</v>
      </c>
      <c r="CS463" s="478">
        <f t="shared" ref="CS463:CT463" si="2169">CS462*CS447</f>
        <v>2171.0211058314394</v>
      </c>
      <c r="CT463" s="478">
        <f t="shared" si="2169"/>
        <v>2255.5128958866039</v>
      </c>
      <c r="CU463" s="347"/>
      <c r="CV463" s="1363"/>
      <c r="CW463" s="347"/>
      <c r="CX463" s="347"/>
      <c r="CY463" s="347"/>
      <c r="CZ463" s="347"/>
      <c r="DA463" s="347"/>
      <c r="EA463" s="399"/>
      <c r="EB463" s="399"/>
      <c r="EN463" s="399"/>
      <c r="EO463" s="399"/>
      <c r="EP463" s="399"/>
    </row>
    <row r="464" spans="1:146" hidden="1" outlineLevel="1">
      <c r="B464" s="559" t="s">
        <v>77</v>
      </c>
      <c r="C464" s="364">
        <f t="shared" ref="C464:AH464" si="2170">C428-C437-C438</f>
        <v>1760</v>
      </c>
      <c r="D464" s="364">
        <f t="shared" si="2170"/>
        <v>497</v>
      </c>
      <c r="E464" s="364">
        <f t="shared" si="2170"/>
        <v>803</v>
      </c>
      <c r="F464" s="364">
        <f t="shared" si="2170"/>
        <v>751</v>
      </c>
      <c r="G464" s="364">
        <f t="shared" si="2170"/>
        <v>-298</v>
      </c>
      <c r="H464" s="364">
        <f t="shared" si="2170"/>
        <v>1753</v>
      </c>
      <c r="I464" s="364">
        <f t="shared" si="2170"/>
        <v>225</v>
      </c>
      <c r="J464" s="364">
        <f t="shared" si="2170"/>
        <v>524</v>
      </c>
      <c r="K464" s="364">
        <f t="shared" si="2170"/>
        <v>745</v>
      </c>
      <c r="L464" s="364">
        <f t="shared" si="2170"/>
        <v>970</v>
      </c>
      <c r="M464" s="364">
        <f t="shared" si="2170"/>
        <v>2464</v>
      </c>
      <c r="N464" s="364">
        <f t="shared" si="2170"/>
        <v>1169</v>
      </c>
      <c r="O464" s="364">
        <f t="shared" si="2170"/>
        <v>1311</v>
      </c>
      <c r="P464" s="364">
        <f t="shared" si="2170"/>
        <v>1359</v>
      </c>
      <c r="Q464" s="364">
        <f t="shared" si="2170"/>
        <v>1326</v>
      </c>
      <c r="R464" s="364">
        <f t="shared" si="2170"/>
        <v>5165</v>
      </c>
      <c r="S464" s="364">
        <f t="shared" si="2170"/>
        <v>1176</v>
      </c>
      <c r="T464" s="364">
        <f t="shared" si="2170"/>
        <v>1230</v>
      </c>
      <c r="U464" s="364">
        <f t="shared" si="2170"/>
        <v>1100</v>
      </c>
      <c r="V464" s="364">
        <f t="shared" si="2170"/>
        <v>1159</v>
      </c>
      <c r="W464" s="364">
        <f t="shared" si="2170"/>
        <v>4665</v>
      </c>
      <c r="X464" s="364">
        <f t="shared" si="2170"/>
        <v>1178</v>
      </c>
      <c r="Y464" s="364">
        <f t="shared" si="2170"/>
        <v>1289</v>
      </c>
      <c r="Z464" s="364">
        <f t="shared" si="2170"/>
        <v>1217</v>
      </c>
      <c r="AA464" s="364">
        <f t="shared" si="2170"/>
        <v>995</v>
      </c>
      <c r="AB464" s="364">
        <f t="shared" si="2170"/>
        <v>4679</v>
      </c>
      <c r="AC464" s="364">
        <f t="shared" si="2170"/>
        <v>699</v>
      </c>
      <c r="AD464" s="364">
        <f t="shared" si="2170"/>
        <v>753</v>
      </c>
      <c r="AE464" s="364">
        <f t="shared" si="2170"/>
        <v>682</v>
      </c>
      <c r="AF464" s="364">
        <f t="shared" si="2170"/>
        <v>766</v>
      </c>
      <c r="AG464" s="364">
        <f t="shared" si="2170"/>
        <v>2900</v>
      </c>
      <c r="AH464" s="364">
        <f t="shared" si="2170"/>
        <v>644</v>
      </c>
      <c r="AI464" s="364">
        <f t="shared" ref="AI464:BF464" si="2171">AI428-AI437-AI438</f>
        <v>351</v>
      </c>
      <c r="AJ464" s="364">
        <f t="shared" si="2171"/>
        <v>154</v>
      </c>
      <c r="AK464" s="364">
        <f t="shared" si="2171"/>
        <v>516</v>
      </c>
      <c r="AL464" s="364">
        <f t="shared" si="2171"/>
        <v>1665</v>
      </c>
      <c r="AM464" s="364">
        <f t="shared" si="2171"/>
        <v>86</v>
      </c>
      <c r="AN464" s="364">
        <f t="shared" si="2171"/>
        <v>218</v>
      </c>
      <c r="AO464" s="364">
        <f t="shared" si="2171"/>
        <v>515</v>
      </c>
      <c r="AP464" s="364">
        <f t="shared" si="2171"/>
        <v>439</v>
      </c>
      <c r="AQ464" s="364">
        <f t="shared" si="2171"/>
        <v>1258</v>
      </c>
      <c r="AR464" s="364">
        <f t="shared" si="2171"/>
        <v>321</v>
      </c>
      <c r="AS464" s="364">
        <f t="shared" si="2171"/>
        <v>-26</v>
      </c>
      <c r="AT464" s="364">
        <f t="shared" si="2171"/>
        <v>180</v>
      </c>
      <c r="AU464" s="364">
        <f t="shared" si="2171"/>
        <v>-464</v>
      </c>
      <c r="AV464" s="364">
        <f t="shared" si="2171"/>
        <v>11</v>
      </c>
      <c r="AW464" s="364">
        <f t="shared" si="2171"/>
        <v>169</v>
      </c>
      <c r="AX464" s="364">
        <f t="shared" si="2171"/>
        <v>371</v>
      </c>
      <c r="AY464" s="364">
        <f t="shared" si="2171"/>
        <v>576</v>
      </c>
      <c r="AZ464" s="364">
        <f t="shared" si="2171"/>
        <v>254</v>
      </c>
      <c r="BA464" s="364">
        <f t="shared" si="2171"/>
        <v>1370</v>
      </c>
      <c r="BB464" s="364">
        <f t="shared" si="2171"/>
        <v>138</v>
      </c>
      <c r="BC464" s="364">
        <f t="shared" si="2171"/>
        <v>146</v>
      </c>
      <c r="BD464" s="364">
        <f t="shared" si="2171"/>
        <v>252</v>
      </c>
      <c r="BE464" s="364">
        <f t="shared" si="2171"/>
        <v>-3644</v>
      </c>
      <c r="BF464" s="364">
        <f t="shared" si="2171"/>
        <v>-3108</v>
      </c>
      <c r="BG464" s="508">
        <f>'[16]Reported Group Highlights'!AB52</f>
        <v>669.4</v>
      </c>
      <c r="BH464" s="508">
        <f>'[16]Reported Group Highlights'!AC52</f>
        <v>548.6</v>
      </c>
      <c r="BI464" s="508">
        <f>'[16]Reported Group Highlights'!AD52</f>
        <v>730.99999999999989</v>
      </c>
      <c r="BJ464" s="508">
        <f>'[16]Reported Group Highlights'!AE52</f>
        <v>654.00000000000011</v>
      </c>
      <c r="BK464" s="364">
        <f>BK428-BK437-BK438</f>
        <v>2603</v>
      </c>
      <c r="BL464" s="508">
        <f>'[16]Reported Group Highlights'!AF52</f>
        <v>2172.7710000000002</v>
      </c>
      <c r="BM464" s="508">
        <f>'[16]Reported Group Highlights'!AG52</f>
        <v>982.85</v>
      </c>
      <c r="BN464" s="508">
        <f>'[16]Reported Group Highlights'!AH52</f>
        <v>1135.4669999999996</v>
      </c>
      <c r="BO464" s="508">
        <f>'[16]Reported Group Highlights'!AI52</f>
        <v>-1659.0029999999997</v>
      </c>
      <c r="BP464" s="364">
        <f>BP428-BP437-BP438</f>
        <v>605.3119999999999</v>
      </c>
      <c r="BQ464" s="508">
        <f>'[16]Reported Group Highlights'!AJ52</f>
        <v>699.0630000000001</v>
      </c>
      <c r="BR464" s="508">
        <f>'[16]Reported Group Highlights'!AK52</f>
        <v>869.41299999999956</v>
      </c>
      <c r="BS464" s="508">
        <f>'[16]Reported Group Highlights'!AL52</f>
        <v>917.92300000000068</v>
      </c>
      <c r="BT464" s="508">
        <f>'[16]Reported Group Highlights'!AM52</f>
        <v>844.37399999999889</v>
      </c>
      <c r="BU464" s="364">
        <f>BU428-BU437-BU438</f>
        <v>3330.7729999999992</v>
      </c>
      <c r="BV464" s="508">
        <f>'[16]Reported Group Highlights'!AN52</f>
        <v>613.13299999999981</v>
      </c>
      <c r="BW464" s="508">
        <f>'[16]Reported Group Highlights'!AO52</f>
        <v>1024.2880000000005</v>
      </c>
      <c r="BX464" s="508">
        <f>'[16]Reported Group Highlights'!AP52</f>
        <v>1062.5379999999996</v>
      </c>
      <c r="BY464" s="508">
        <f>'[16]Reported Group Highlights'!AQ52</f>
        <v>970.74499999999989</v>
      </c>
      <c r="BZ464" s="364">
        <f>BZ428-BZ437-BZ438</f>
        <v>3670.7039999999997</v>
      </c>
      <c r="CA464" s="508">
        <f>'[16]Reported Group Highlights'!AR52</f>
        <v>845.00500000000011</v>
      </c>
      <c r="CB464" s="508">
        <f>'[16]Reported Group Highlights'!AS52</f>
        <v>1238.8609999999999</v>
      </c>
      <c r="CC464" s="508">
        <f>'[16]Reported Group Highlights'!AT52</f>
        <v>1146.2529999999988</v>
      </c>
      <c r="CD464" s="508">
        <f>'[16]Reported Group Highlights'!AU52</f>
        <v>1307.1230000000014</v>
      </c>
      <c r="CE464" s="364">
        <f>CE428-CE437-CE438</f>
        <v>4537.2420000000002</v>
      </c>
      <c r="CF464" s="508">
        <f>'[16]Reported Group Highlights'!AV52</f>
        <v>1446.7809999999999</v>
      </c>
      <c r="CG464" s="508">
        <f>'[16]Reported Group Highlights'!AW52</f>
        <v>1336.3810000000003</v>
      </c>
      <c r="CH464" s="508">
        <f>'[16]Reported Group Highlights'!AX52</f>
        <v>1438.9719999999998</v>
      </c>
      <c r="CI464" s="508">
        <f>'[16]Reported Group Highlights'!AY52</f>
        <v>1582.5310000000009</v>
      </c>
      <c r="CJ464" s="364">
        <f t="shared" ref="CJ464:CR464" si="2172">CJ442+CJ445</f>
        <v>-13561.718000000001</v>
      </c>
      <c r="CK464" s="508">
        <f>'[16]Reported Group Highlights'!AZ52</f>
        <v>1449.6759999999999</v>
      </c>
      <c r="CL464" s="508">
        <f>'[16]Reported Group Highlights'!BA52</f>
        <v>-154.33600000000115</v>
      </c>
      <c r="CM464" s="508">
        <f>'[16]Reported Group Highlights'!BB52</f>
        <v>-313.61699999999837</v>
      </c>
      <c r="CN464" s="508"/>
      <c r="CO464" s="364">
        <f t="shared" si="2172"/>
        <v>-19446.602979278239</v>
      </c>
      <c r="CP464" s="364">
        <f t="shared" si="2172"/>
        <v>-21245.716906476824</v>
      </c>
      <c r="CQ464" s="364">
        <f t="shared" si="2172"/>
        <v>-21286.024440034791</v>
      </c>
      <c r="CR464" s="364">
        <f t="shared" si="2172"/>
        <v>-21799.595395214303</v>
      </c>
      <c r="CS464" s="364">
        <f t="shared" ref="CS464:CT464" si="2173">CS442+CS445</f>
        <v>-22688.842783325228</v>
      </c>
      <c r="CT464" s="364">
        <f t="shared" si="2173"/>
        <v>-23609.367412861164</v>
      </c>
      <c r="CU464" s="416"/>
      <c r="CV464" s="1363"/>
      <c r="CW464" s="347"/>
      <c r="CX464" s="347"/>
      <c r="CY464" s="347"/>
      <c r="CZ464" s="347"/>
      <c r="DA464" s="347"/>
      <c r="DC464" s="407" t="s">
        <v>94</v>
      </c>
      <c r="DD464" s="470">
        <v>0</v>
      </c>
      <c r="DE464" s="470">
        <v>0</v>
      </c>
      <c r="DF464" s="470">
        <v>0</v>
      </c>
      <c r="DG464" s="470">
        <v>0</v>
      </c>
      <c r="DH464" s="470">
        <v>0</v>
      </c>
      <c r="DI464" s="470">
        <v>0</v>
      </c>
      <c r="DJ464" s="470">
        <v>0</v>
      </c>
      <c r="DK464" s="470">
        <v>0</v>
      </c>
      <c r="DL464" s="470">
        <v>0</v>
      </c>
    </row>
    <row r="465" spans="2:116" hidden="1" outlineLevel="1">
      <c r="B465" s="562" t="s">
        <v>583</v>
      </c>
      <c r="C465" s="353">
        <f t="shared" ref="C465:AH465" si="2174">C464/(C455-C451)</f>
        <v>0.22027534418022529</v>
      </c>
      <c r="D465" s="353">
        <f t="shared" si="2174"/>
        <v>-0.12955071722133046</v>
      </c>
      <c r="E465" s="353">
        <f t="shared" si="2174"/>
        <v>-0.18981107053271229</v>
      </c>
      <c r="F465" s="353">
        <f t="shared" si="2174"/>
        <v>-0.16176907983486663</v>
      </c>
      <c r="G465" s="353">
        <f t="shared" si="2174"/>
        <v>8.7384459093534386E-2</v>
      </c>
      <c r="H465" s="353">
        <f t="shared" si="2174"/>
        <v>0.14534052214805498</v>
      </c>
      <c r="I465" s="353">
        <f t="shared" si="2174"/>
        <v>0.1497005988023952</v>
      </c>
      <c r="J465" s="353">
        <f t="shared" si="2174"/>
        <v>0.30733137829912022</v>
      </c>
      <c r="K465" s="353">
        <f t="shared" si="2174"/>
        <v>0.40979097909790979</v>
      </c>
      <c r="L465" s="353">
        <f t="shared" si="2174"/>
        <v>0.4759568204121688</v>
      </c>
      <c r="M465" s="353">
        <f t="shared" si="2174"/>
        <v>0.17976216531699132</v>
      </c>
      <c r="N465" s="353">
        <f t="shared" si="2174"/>
        <v>0.28470530930345833</v>
      </c>
      <c r="O465" s="353">
        <f t="shared" si="2174"/>
        <v>0.30767425486974886</v>
      </c>
      <c r="P465" s="353">
        <f t="shared" si="2174"/>
        <v>0.30594326879783879</v>
      </c>
      <c r="Q465" s="353">
        <f t="shared" si="2174"/>
        <v>0.28509997849924745</v>
      </c>
      <c r="R465" s="353">
        <f t="shared" si="2174"/>
        <v>0.29581901489117984</v>
      </c>
      <c r="S465" s="353">
        <f t="shared" si="2174"/>
        <v>0.26238286479250333</v>
      </c>
      <c r="T465" s="353">
        <f t="shared" si="2174"/>
        <v>0.27015154842960687</v>
      </c>
      <c r="U465" s="353">
        <f t="shared" si="2174"/>
        <v>0.23012552301255229</v>
      </c>
      <c r="V465" s="353">
        <f t="shared" si="2174"/>
        <v>0.23362225357790767</v>
      </c>
      <c r="W465" s="353">
        <f t="shared" si="2174"/>
        <v>0.25544847223743294</v>
      </c>
      <c r="X465" s="353">
        <f t="shared" si="2174"/>
        <v>0.24075209482934803</v>
      </c>
      <c r="Y465" s="353">
        <f t="shared" si="2174"/>
        <v>0.24650984891948746</v>
      </c>
      <c r="Z465" s="353">
        <f t="shared" si="2174"/>
        <v>0.218335127377108</v>
      </c>
      <c r="AA465" s="353">
        <f t="shared" si="2174"/>
        <v>0.18869713635501612</v>
      </c>
      <c r="AB465" s="353">
        <f t="shared" si="2174"/>
        <v>0.22313891935714628</v>
      </c>
      <c r="AC465" s="353">
        <f t="shared" si="2174"/>
        <v>0.12139631816602987</v>
      </c>
      <c r="AD465" s="353">
        <f t="shared" si="2174"/>
        <v>0.12436003303055326</v>
      </c>
      <c r="AE465" s="353">
        <f t="shared" si="2174"/>
        <v>0.10676268002504696</v>
      </c>
      <c r="AF465" s="353">
        <f t="shared" si="2174"/>
        <v>0.12000626664577785</v>
      </c>
      <c r="AG465" s="353">
        <f t="shared" si="2174"/>
        <v>0.13636791121978745</v>
      </c>
      <c r="AH465" s="353">
        <f t="shared" si="2174"/>
        <v>0.11694207372435082</v>
      </c>
      <c r="AI465" s="353">
        <f t="shared" ref="AI465:BM465" si="2175">AI464/(AI455-AI451)</f>
        <v>5.8102963085581855E-2</v>
      </c>
      <c r="AJ465" s="353">
        <f t="shared" si="2175"/>
        <v>2.564102564102564E-2</v>
      </c>
      <c r="AK465" s="353">
        <f t="shared" si="2175"/>
        <v>8.7368777514392149E-2</v>
      </c>
      <c r="AL465" s="353">
        <f t="shared" si="2175"/>
        <v>7.0971867007672634E-2</v>
      </c>
      <c r="AM465" s="353">
        <f t="shared" si="2175"/>
        <v>1.5690567414705345E-2</v>
      </c>
      <c r="AN465" s="353">
        <f t="shared" si="2175"/>
        <v>3.8852254500089112E-2</v>
      </c>
      <c r="AO465" s="353">
        <f t="shared" si="2175"/>
        <v>8.8336192109777015E-2</v>
      </c>
      <c r="AP465" s="353">
        <f t="shared" si="2175"/>
        <v>7.3497404989117693E-2</v>
      </c>
      <c r="AQ465" s="353">
        <f t="shared" si="2175"/>
        <v>5.4994535519125684E-2</v>
      </c>
      <c r="AR465" s="353">
        <f t="shared" si="2175"/>
        <v>5.7158119658119656E-2</v>
      </c>
      <c r="AS465" s="353">
        <f t="shared" si="2175"/>
        <v>-4.9637266132111493E-3</v>
      </c>
      <c r="AT465" s="353">
        <f t="shared" si="2175"/>
        <v>3.4416826003824091E-2</v>
      </c>
      <c r="AU465" s="353">
        <f t="shared" si="2175"/>
        <v>-8.8246481551920886E-2</v>
      </c>
      <c r="AV465" s="353">
        <f t="shared" si="2175"/>
        <v>5.1541561240745946E-4</v>
      </c>
      <c r="AW465" s="353">
        <f t="shared" si="2175"/>
        <v>3.2092669958222561E-2</v>
      </c>
      <c r="AX465" s="353">
        <f t="shared" si="2175"/>
        <v>6.546673725074996E-2</v>
      </c>
      <c r="AY465" s="353">
        <f t="shared" si="2175"/>
        <v>9.6482412060301503E-2</v>
      </c>
      <c r="AZ465" s="353">
        <f t="shared" si="2175"/>
        <v>4.2531815137307437E-2</v>
      </c>
      <c r="BA465" s="353">
        <f t="shared" si="2175"/>
        <v>5.9890710382513659E-2</v>
      </c>
      <c r="BB465" s="353">
        <f t="shared" si="2175"/>
        <v>2.5084683528542463E-2</v>
      </c>
      <c r="BC465" s="353">
        <f t="shared" si="2175"/>
        <v>2.6331560882626708E-2</v>
      </c>
      <c r="BD465" s="353">
        <f t="shared" si="2175"/>
        <v>4.3105144051575645E-2</v>
      </c>
      <c r="BE465" s="353">
        <f t="shared" si="2175"/>
        <v>-0.60265273046009327</v>
      </c>
      <c r="BF465" s="353">
        <f t="shared" si="2175"/>
        <v>-0.13549088767107903</v>
      </c>
      <c r="BG465" s="353">
        <f t="shared" si="2175"/>
        <v>0.11217946569460104</v>
      </c>
      <c r="BH465" s="353">
        <f t="shared" si="2175"/>
        <v>8.7223283497135359E-2</v>
      </c>
      <c r="BI465" s="353">
        <f t="shared" si="2175"/>
        <v>0.11309324251631379</v>
      </c>
      <c r="BJ465" s="353">
        <f t="shared" si="2175"/>
        <v>0.10199100794874875</v>
      </c>
      <c r="BK465" s="353">
        <f t="shared" si="2175"/>
        <v>0.10356962273919411</v>
      </c>
      <c r="BL465" s="353">
        <f t="shared" si="2175"/>
        <v>0.33441903997613731</v>
      </c>
      <c r="BM465" s="353">
        <f t="shared" si="2175"/>
        <v>0.14925568059208424</v>
      </c>
      <c r="BN465" s="353">
        <f t="shared" ref="BN465:BP465" si="2176">BN464/(BN455-BN451)</f>
        <v>0.17272110655460277</v>
      </c>
      <c r="BO465" s="353">
        <f t="shared" si="2176"/>
        <v>-0.26113924504922431</v>
      </c>
      <c r="BP465" s="353">
        <f t="shared" si="2176"/>
        <v>2.3273089663442728E-2</v>
      </c>
      <c r="BQ465" s="353">
        <f t="shared" ref="BQ465:CR465" si="2177">BQ464/(BQ455-BQ451)</f>
        <v>0.11189729170531632</v>
      </c>
      <c r="BR465" s="353">
        <f t="shared" ref="BR465:BS465" si="2178">BR464/(BR455-BR451)</f>
        <v>0.12924545804297882</v>
      </c>
      <c r="BS465" s="353">
        <f t="shared" si="2178"/>
        <v>0.13447462743155073</v>
      </c>
      <c r="BT465" s="353">
        <f t="shared" ref="BT465" si="2179">BT464/(BT455-BT451)</f>
        <v>0.12142527521057722</v>
      </c>
      <c r="BU465" s="353">
        <f>BU464/(BU455-BU451)</f>
        <v>0.12449602957309265</v>
      </c>
      <c r="BV465" s="353">
        <f t="shared" ref="BV465:BW465" si="2180">BV464/(BV455-BV451)</f>
        <v>9.0941506148195947E-2</v>
      </c>
      <c r="BW465" s="353">
        <f t="shared" si="2180"/>
        <v>0.13968691925706916</v>
      </c>
      <c r="BX465" s="353">
        <f t="shared" ref="BX465" si="2181">BX464/(BX455-BX451)</f>
        <v>0.14128367417493273</v>
      </c>
      <c r="BY465" s="353">
        <f t="shared" ref="BY465" si="2182">BY464/(BY455-BY451)</f>
        <v>0.12863352659491156</v>
      </c>
      <c r="BZ465" s="353">
        <f>BZ464/(BZ455-BZ451)</f>
        <v>0.11555449949974812</v>
      </c>
      <c r="CA465" s="353">
        <f t="shared" ref="CA465:CB465" si="2183">CA464/(CA455-CA451)</f>
        <v>0.11196087513932092</v>
      </c>
      <c r="CB465" s="353">
        <f t="shared" si="2183"/>
        <v>0.15076431725004233</v>
      </c>
      <c r="CC465" s="353">
        <f t="shared" ref="CC465:CD465" si="2184">CC464/(CC455-CC451)</f>
        <v>0.14145548769960584</v>
      </c>
      <c r="CD465" s="353">
        <f t="shared" si="2184"/>
        <v>0.15460043215447911</v>
      </c>
      <c r="CE465" s="353">
        <f>CE464/(CE455-CE451)</f>
        <v>0.12868756210148374</v>
      </c>
      <c r="CF465" s="353">
        <f t="shared" ref="CF465:CG465" si="2185">CF464/(CF455-CF451)</f>
        <v>0.17145438913238886</v>
      </c>
      <c r="CG465" s="353">
        <f t="shared" si="2185"/>
        <v>0.15515297715907655</v>
      </c>
      <c r="CH465" s="353">
        <f t="shared" ref="CH465:CI465" si="2186">CH464/(CH455-CH451)</f>
        <v>0.17316536808164418</v>
      </c>
      <c r="CI465" s="353">
        <f t="shared" si="2186"/>
        <v>0.17524899265640825</v>
      </c>
      <c r="CJ465" s="353">
        <f t="shared" si="2177"/>
        <v>-4.597128650076387</v>
      </c>
      <c r="CK465" s="353">
        <f t="shared" si="2177"/>
        <v>0.16854390974630565</v>
      </c>
      <c r="CL465" s="353">
        <f t="shared" ref="CL465" si="2187">CL464/(CL455-CL451)</f>
        <v>-1.470746733497779E-2</v>
      </c>
      <c r="CM465" s="353">
        <f t="shared" ref="CM465" si="2188">CM464/(CM455-CM451)</f>
        <v>-2.7383986946509415E-2</v>
      </c>
      <c r="CN465" s="353"/>
      <c r="CO465" s="353">
        <f t="shared" si="2177"/>
        <v>-6.5263081767307547</v>
      </c>
      <c r="CP465" s="353">
        <f t="shared" si="2177"/>
        <v>-7.0590680467794451</v>
      </c>
      <c r="CQ465" s="353">
        <f t="shared" si="2177"/>
        <v>-7.0020135428029899</v>
      </c>
      <c r="CR465" s="353">
        <f t="shared" si="2177"/>
        <v>-7.0995283222868482</v>
      </c>
      <c r="CS465" s="353">
        <f t="shared" ref="CS465:CT465" si="2189">CS464/(CS455-CS451)</f>
        <v>-7.3155391744776423</v>
      </c>
      <c r="CT465" s="353">
        <f t="shared" si="2189"/>
        <v>-7.5365317432947441</v>
      </c>
      <c r="CU465" s="347"/>
      <c r="CV465" s="1363"/>
      <c r="CW465" s="347"/>
      <c r="CX465" s="347"/>
      <c r="CY465" s="347"/>
      <c r="CZ465" s="347"/>
      <c r="DA465" s="347"/>
      <c r="DC465" s="527" t="s">
        <v>89</v>
      </c>
      <c r="DD465" s="511">
        <v>2013.6</v>
      </c>
      <c r="DE465" s="511">
        <v>2127.54</v>
      </c>
      <c r="DF465" s="511">
        <v>2109.2259618044286</v>
      </c>
      <c r="DG465" s="511">
        <v>2149.865535098193</v>
      </c>
      <c r="DH465" s="511">
        <v>2147.8438414678644</v>
      </c>
      <c r="DI465" s="511">
        <v>2167.9511203068755</v>
      </c>
      <c r="DJ465" s="511" t="e">
        <f>DJ437+DJ464</f>
        <v>#REF!</v>
      </c>
      <c r="DK465" s="511" t="e">
        <f>DK437+DK464</f>
        <v>#REF!</v>
      </c>
      <c r="DL465" s="511" t="e">
        <f>DL437+DL464</f>
        <v>#REF!</v>
      </c>
    </row>
    <row r="466" spans="2:116" hidden="1" outlineLevel="1">
      <c r="B466" s="618" t="s">
        <v>95</v>
      </c>
      <c r="C466" s="528">
        <f>C437/'Balance Sheet and Cflow'!C73</f>
        <v>0.25465928945835759</v>
      </c>
      <c r="D466" s="528"/>
      <c r="E466" s="528"/>
      <c r="F466" s="528"/>
      <c r="G466" s="528"/>
      <c r="H466" s="528">
        <f>H437/'Balance Sheet and Cflow'!D73</f>
        <v>0.29687225443683007</v>
      </c>
      <c r="I466" s="528"/>
      <c r="J466" s="528"/>
      <c r="K466" s="528"/>
      <c r="L466" s="528"/>
      <c r="M466" s="528">
        <f>M437/'Balance Sheet and Cflow'!E73</f>
        <v>0.70816059969333867</v>
      </c>
      <c r="N466" s="528"/>
      <c r="O466" s="528"/>
      <c r="P466" s="528"/>
      <c r="Q466" s="528"/>
      <c r="R466" s="528">
        <f>R437/'Balance Sheet and Cflow'!F73</f>
        <v>0.85024752475247523</v>
      </c>
      <c r="S466" s="528"/>
      <c r="T466" s="528"/>
      <c r="U466" s="528"/>
      <c r="V466" s="528"/>
      <c r="W466" s="528">
        <f>W437/'Balance Sheet and Cflow'!G73</f>
        <v>0.71803127874885009</v>
      </c>
      <c r="X466" s="528"/>
      <c r="Y466" s="528"/>
      <c r="Z466" s="528"/>
      <c r="AA466" s="528"/>
      <c r="AB466" s="528">
        <f>AB437/'Balance Sheet and Cflow'!H73</f>
        <v>0.49783805031446543</v>
      </c>
      <c r="AC466" s="528"/>
      <c r="AD466" s="528"/>
      <c r="AE466" s="528"/>
      <c r="AF466" s="528"/>
      <c r="AG466" s="528">
        <f>AG437/'Balance Sheet and Cflow'!I73</f>
        <v>0.7788747633216121</v>
      </c>
      <c r="AH466" s="528"/>
      <c r="AI466" s="528"/>
      <c r="AJ466" s="528"/>
      <c r="AK466" s="528"/>
      <c r="AL466" s="528">
        <f>AL437/'Balance Sheet and Cflow'!J73</f>
        <v>0.98069062720225508</v>
      </c>
      <c r="AM466" s="528"/>
      <c r="AN466" s="528"/>
      <c r="AO466" s="528"/>
      <c r="AP466" s="528"/>
      <c r="AQ466" s="528">
        <f>AQ437/'Balance Sheet and Cflow'!K73</f>
        <v>1.720935841775205</v>
      </c>
      <c r="AR466" s="528"/>
      <c r="AS466" s="528"/>
      <c r="AT466" s="528"/>
      <c r="AU466" s="529"/>
      <c r="AV466" s="528">
        <f>AV437/'Balance Sheet and Cflow'!L73</f>
        <v>1.4409025787965617</v>
      </c>
      <c r="AW466" s="528"/>
      <c r="AX466" s="528"/>
      <c r="AY466" s="529"/>
      <c r="AZ466" s="529"/>
      <c r="BA466" s="528">
        <f>BA437/'Balance Sheet and Cflow'!M73</f>
        <v>1.0379274301926236</v>
      </c>
      <c r="BB466" s="528"/>
      <c r="BC466" s="528"/>
      <c r="BD466" s="528"/>
      <c r="BE466" s="529"/>
      <c r="BF466" s="528">
        <f>BF437/'Balance Sheet and Cflow'!N73</f>
        <v>1.8523202937699332</v>
      </c>
      <c r="BG466" s="528"/>
      <c r="BH466" s="528"/>
      <c r="BI466" s="528"/>
      <c r="BJ466" s="528"/>
      <c r="BK466" s="528">
        <f>BK437/'Balance Sheet and Cflow'!O73</f>
        <v>0.76768852535972132</v>
      </c>
      <c r="BL466" s="528"/>
      <c r="BM466" s="528"/>
      <c r="BN466" s="528"/>
      <c r="BO466" s="528"/>
      <c r="BP466" s="528">
        <f>BP437/'Balance Sheet and Cflow'!T73</f>
        <v>1.6356933080465998</v>
      </c>
      <c r="BQ466" s="528"/>
      <c r="BR466" s="528"/>
      <c r="BS466" s="528"/>
      <c r="BT466" s="528"/>
      <c r="BU466" s="528" t="e">
        <f>BU437/'Balance Sheet and Cflow'!AB73</f>
        <v>#DIV/0!</v>
      </c>
      <c r="BV466" s="528"/>
      <c r="BW466" s="528"/>
      <c r="BX466" s="528"/>
      <c r="BY466" s="528"/>
      <c r="BZ466" s="528" t="e">
        <f>BZ437/'Balance Sheet and Cflow'!AG73</f>
        <v>#DIV/0!</v>
      </c>
      <c r="CA466" s="528"/>
      <c r="CB466" s="528"/>
      <c r="CC466" s="528"/>
      <c r="CD466" s="528"/>
      <c r="CE466" s="528" t="e">
        <f>CE437/'Balance Sheet and Cflow'!AL73</f>
        <v>#DIV/0!</v>
      </c>
      <c r="CF466" s="528"/>
      <c r="CG466" s="528"/>
      <c r="CH466" s="528"/>
      <c r="CI466" s="528"/>
      <c r="CJ466" s="528">
        <f>CJ437/'Balance Sheet and Cflow'!T73</f>
        <v>1.6356454890273637</v>
      </c>
      <c r="CK466" s="528"/>
      <c r="CL466" s="528"/>
      <c r="CM466" s="528"/>
      <c r="CN466" s="528"/>
      <c r="CO466" s="528">
        <f>CO437/'Balance Sheet and Cflow'!V73</f>
        <v>0.55108678621788487</v>
      </c>
      <c r="CP466" s="528">
        <f>CP437/'Balance Sheet and Cflow'!W73</f>
        <v>1.2472917409580244</v>
      </c>
      <c r="CQ466" s="528">
        <f>CQ437/'Balance Sheet and Cflow'!X73</f>
        <v>1.2049332313362893</v>
      </c>
      <c r="CR466" s="528">
        <f>CR437/'Balance Sheet and Cflow'!Y73</f>
        <v>1.1173506036469767</v>
      </c>
      <c r="CS466" s="528">
        <f>CS437/'Balance Sheet and Cflow'!Z73</f>
        <v>1.0494261555260624</v>
      </c>
      <c r="CT466" s="528">
        <f>CT437/'Balance Sheet and Cflow'!AA73</f>
        <v>0.97357216922175627</v>
      </c>
      <c r="CU466" s="347"/>
      <c r="CV466" s="1363"/>
      <c r="CW466" s="347"/>
      <c r="CX466" s="347"/>
      <c r="CY466" s="347"/>
      <c r="CZ466" s="429"/>
      <c r="DA466" s="429"/>
      <c r="DC466" s="456" t="s">
        <v>88</v>
      </c>
      <c r="DD466" s="519"/>
      <c r="DE466" s="519">
        <v>5.658522050059589E-2</v>
      </c>
      <c r="DF466" s="519">
        <v>-8.6080817261114939E-3</v>
      </c>
      <c r="DG466" s="519">
        <v>1.926752943008414E-2</v>
      </c>
      <c r="DH466" s="519">
        <v>-9.4038143191887968E-4</v>
      </c>
      <c r="DI466" s="519">
        <v>9.3616111426748638E-3</v>
      </c>
      <c r="DJ466" s="519" t="e">
        <f>DJ465/DI465-1</f>
        <v>#REF!</v>
      </c>
      <c r="DK466" s="519" t="e">
        <f>DK465/DJ465-1</f>
        <v>#REF!</v>
      </c>
      <c r="DL466" s="519" t="e">
        <f>DL465/DK465-1</f>
        <v>#REF!</v>
      </c>
    </row>
    <row r="467" spans="2:116" hidden="1" outlineLevel="1">
      <c r="B467" s="407"/>
      <c r="C467" s="353"/>
      <c r="D467" s="353"/>
      <c r="E467" s="353"/>
      <c r="F467" s="353"/>
      <c r="G467" s="353"/>
      <c r="H467" s="353"/>
      <c r="I467" s="353"/>
      <c r="J467" s="353"/>
      <c r="K467" s="353"/>
      <c r="L467" s="353"/>
      <c r="M467" s="353"/>
      <c r="N467" s="353"/>
      <c r="O467" s="353"/>
      <c r="P467" s="353"/>
      <c r="Q467" s="353"/>
      <c r="R467" s="353"/>
      <c r="S467" s="353"/>
      <c r="T467" s="353"/>
      <c r="U467" s="353"/>
      <c r="V467" s="353"/>
      <c r="W467" s="353"/>
      <c r="X467" s="353"/>
      <c r="Y467" s="353"/>
      <c r="Z467" s="353"/>
      <c r="AA467" s="353"/>
      <c r="AB467" s="353"/>
      <c r="AC467" s="353"/>
      <c r="AD467" s="353"/>
      <c r="AE467" s="353"/>
      <c r="AF467" s="353"/>
      <c r="AG467" s="353"/>
      <c r="AH467" s="353"/>
      <c r="AI467" s="353"/>
      <c r="AJ467" s="353"/>
      <c r="AK467" s="353"/>
      <c r="AL467" s="353"/>
      <c r="AM467" s="353"/>
      <c r="AN467" s="353"/>
      <c r="AO467" s="353"/>
      <c r="AP467" s="353"/>
      <c r="AQ467" s="353"/>
      <c r="AR467" s="353"/>
      <c r="AS467" s="353"/>
      <c r="AT467" s="353"/>
      <c r="AU467" s="426"/>
      <c r="AV467" s="353"/>
      <c r="AW467" s="353"/>
      <c r="AX467" s="353"/>
      <c r="AY467" s="426"/>
      <c r="AZ467" s="426"/>
      <c r="BA467" s="353"/>
      <c r="BB467" s="353"/>
      <c r="BC467" s="353"/>
      <c r="BD467" s="353"/>
      <c r="BE467" s="426"/>
      <c r="BF467" s="353"/>
      <c r="BG467" s="353"/>
      <c r="BH467" s="353"/>
      <c r="BI467" s="353"/>
      <c r="BJ467" s="353"/>
      <c r="BK467" s="353"/>
      <c r="BL467" s="353"/>
      <c r="BM467" s="353"/>
      <c r="BN467" s="353"/>
      <c r="BO467" s="353"/>
      <c r="BP467" s="353"/>
      <c r="BQ467" s="353"/>
      <c r="BR467" s="353"/>
      <c r="BS467" s="353"/>
      <c r="BT467" s="353"/>
      <c r="BU467" s="353"/>
      <c r="BV467" s="353"/>
      <c r="BW467" s="353"/>
      <c r="BX467" s="353"/>
      <c r="BY467" s="353"/>
      <c r="BZ467" s="353"/>
      <c r="CA467" s="353"/>
      <c r="CB467" s="353"/>
      <c r="CC467" s="353"/>
      <c r="CD467" s="353"/>
      <c r="CE467" s="353"/>
      <c r="CF467" s="353"/>
      <c r="CG467" s="353"/>
      <c r="CH467" s="353"/>
      <c r="CI467" s="353"/>
      <c r="CJ467" s="353"/>
      <c r="CK467" s="353"/>
      <c r="CL467" s="353"/>
      <c r="CM467" s="353"/>
      <c r="CN467" s="353"/>
      <c r="CO467" s="353"/>
      <c r="CP467" s="353"/>
      <c r="CQ467" s="353"/>
      <c r="CR467" s="353"/>
      <c r="CS467" s="353"/>
      <c r="CT467" s="353"/>
      <c r="CU467" s="347"/>
      <c r="CV467" s="1363"/>
      <c r="CW467" s="347"/>
      <c r="CX467" s="347"/>
      <c r="CY467" s="347"/>
      <c r="CZ467" s="429"/>
      <c r="DA467" s="429"/>
      <c r="DC467" s="407"/>
      <c r="DD467" s="417"/>
      <c r="DE467" s="417"/>
      <c r="DF467" s="417"/>
      <c r="DG467" s="417"/>
      <c r="DH467" s="417"/>
      <c r="DI467" s="417"/>
      <c r="DJ467" s="417"/>
      <c r="DK467" s="417"/>
      <c r="DL467" s="417"/>
    </row>
    <row r="468" spans="2:116" hidden="1" outlineLevel="1">
      <c r="B468" s="407"/>
      <c r="C468" s="353"/>
      <c r="D468" s="353"/>
      <c r="E468" s="353"/>
      <c r="F468" s="353"/>
      <c r="G468" s="353"/>
      <c r="H468" s="353"/>
      <c r="I468" s="353"/>
      <c r="J468" s="353"/>
      <c r="K468" s="353"/>
      <c r="L468" s="353"/>
      <c r="M468" s="353"/>
      <c r="N468" s="353"/>
      <c r="O468" s="353"/>
      <c r="P468" s="353"/>
      <c r="Q468" s="353"/>
      <c r="R468" s="353"/>
      <c r="S468" s="353"/>
      <c r="T468" s="353"/>
      <c r="U468" s="353"/>
      <c r="V468" s="353"/>
      <c r="W468" s="353"/>
      <c r="X468" s="353"/>
      <c r="Y468" s="353"/>
      <c r="Z468" s="353"/>
      <c r="AA468" s="353"/>
      <c r="AB468" s="353"/>
      <c r="AC468" s="353"/>
      <c r="AD468" s="353"/>
      <c r="AE468" s="353"/>
      <c r="AF468" s="353"/>
      <c r="AG468" s="353"/>
      <c r="AH468" s="353"/>
      <c r="AI468" s="353"/>
      <c r="AJ468" s="353"/>
      <c r="AK468" s="353"/>
      <c r="AL468" s="353"/>
      <c r="AM468" s="353"/>
      <c r="AN468" s="353"/>
      <c r="AO468" s="353"/>
      <c r="AP468" s="353"/>
      <c r="AQ468" s="353"/>
      <c r="AR468" s="353"/>
      <c r="AS468" s="353"/>
      <c r="AT468" s="353"/>
      <c r="AU468" s="426"/>
      <c r="AV468" s="353"/>
      <c r="AW468" s="353"/>
      <c r="AX468" s="353"/>
      <c r="AY468" s="426"/>
      <c r="AZ468" s="426"/>
      <c r="BA468" s="353"/>
      <c r="BB468" s="353"/>
      <c r="BC468" s="353"/>
      <c r="BD468" s="353"/>
      <c r="BE468" s="426"/>
      <c r="BF468" s="353"/>
      <c r="BG468" s="353"/>
      <c r="BH468" s="353"/>
      <c r="BI468" s="353"/>
      <c r="BJ468" s="353"/>
      <c r="BK468" s="353"/>
      <c r="BL468" s="353"/>
      <c r="BM468" s="353"/>
      <c r="BN468" s="353"/>
      <c r="BO468" s="353"/>
      <c r="BP468" s="353"/>
      <c r="BQ468" s="353"/>
      <c r="BR468" s="353"/>
      <c r="BS468" s="353"/>
      <c r="BT468" s="353"/>
      <c r="BU468" s="353"/>
      <c r="BV468" s="353"/>
      <c r="BW468" s="353"/>
      <c r="BX468" s="353"/>
      <c r="BY468" s="353"/>
      <c r="BZ468" s="353"/>
      <c r="CA468" s="353"/>
      <c r="CB468" s="353"/>
      <c r="CC468" s="353"/>
      <c r="CD468" s="353"/>
      <c r="CE468" s="353"/>
      <c r="CF468" s="353"/>
      <c r="CG468" s="353"/>
      <c r="CH468" s="353"/>
      <c r="CI468" s="353"/>
      <c r="CJ468" s="353"/>
      <c r="CK468" s="353"/>
      <c r="CL468" s="353"/>
      <c r="CM468" s="353"/>
      <c r="CN468" s="353"/>
      <c r="CO468" s="353"/>
      <c r="CP468" s="353"/>
      <c r="CQ468" s="353"/>
      <c r="CR468" s="353"/>
      <c r="CS468" s="353"/>
      <c r="CT468" s="353"/>
      <c r="CU468" s="347"/>
      <c r="CV468" s="1363"/>
      <c r="CW468" s="347"/>
      <c r="CX468" s="347"/>
      <c r="CY468" s="347"/>
      <c r="CZ468" s="429"/>
      <c r="DA468" s="429"/>
      <c r="DC468" s="407"/>
      <c r="DD468" s="417"/>
      <c r="DE468" s="417"/>
      <c r="DF468" s="417"/>
      <c r="DG468" s="417"/>
      <c r="DH468" s="417"/>
      <c r="DI468" s="417"/>
      <c r="DJ468" s="417"/>
      <c r="DK468" s="417"/>
      <c r="DL468" s="417"/>
    </row>
    <row r="469" spans="2:116" hidden="1" outlineLevel="1"/>
    <row r="470" spans="2:116" hidden="1" outlineLevel="1"/>
    <row r="471" spans="2:116" hidden="1" outlineLevel="1">
      <c r="C471" s="470"/>
      <c r="D471" s="470"/>
      <c r="E471" s="470"/>
      <c r="F471" s="470"/>
      <c r="G471" s="470"/>
      <c r="H471" s="470"/>
      <c r="I471" s="470"/>
      <c r="J471" s="470"/>
      <c r="K471" s="470"/>
      <c r="L471" s="470"/>
      <c r="M471" s="470"/>
      <c r="N471" s="470"/>
      <c r="O471" s="470"/>
      <c r="P471" s="470"/>
      <c r="Q471" s="470"/>
      <c r="R471" s="470"/>
      <c r="S471" s="470"/>
      <c r="T471" s="470"/>
      <c r="U471" s="470"/>
      <c r="V471" s="470"/>
      <c r="W471" s="470"/>
      <c r="X471" s="470"/>
      <c r="Y471" s="470"/>
      <c r="Z471" s="470"/>
      <c r="AA471" s="470"/>
      <c r="AB471" s="470"/>
      <c r="AC471" s="470"/>
      <c r="AD471" s="470"/>
      <c r="AE471" s="470"/>
      <c r="AF471" s="470"/>
      <c r="AG471" s="470"/>
      <c r="AH471" s="470"/>
      <c r="AI471" s="470"/>
      <c r="AJ471" s="470"/>
      <c r="AK471" s="470"/>
      <c r="AL471" s="470"/>
      <c r="AM471" s="470"/>
      <c r="AN471" s="470"/>
      <c r="AO471" s="470"/>
      <c r="AP471" s="470"/>
      <c r="AQ471" s="470"/>
      <c r="AR471" s="470"/>
      <c r="AS471" s="470"/>
      <c r="AT471" s="470"/>
    </row>
    <row r="472" spans="2:116" hidden="1" outlineLevel="1">
      <c r="B472" s="349" t="s">
        <v>586</v>
      </c>
      <c r="AX472" s="353"/>
    </row>
    <row r="473" spans="2:116" collapsed="1">
      <c r="AX473" s="353"/>
    </row>
    <row r="474" spans="2:116">
      <c r="AX474" s="353"/>
    </row>
    <row r="475" spans="2:116">
      <c r="AX475" s="353"/>
    </row>
    <row r="476" spans="2:116">
      <c r="AX476" s="353"/>
    </row>
    <row r="477" spans="2:116">
      <c r="AX477" s="353"/>
    </row>
    <row r="478" spans="2:116">
      <c r="AX478" s="353"/>
    </row>
    <row r="479" spans="2:116">
      <c r="R479" s="470"/>
    </row>
    <row r="480" spans="2:116">
      <c r="R480" s="470"/>
    </row>
    <row r="481" spans="18:67">
      <c r="R481" s="470"/>
    </row>
    <row r="482" spans="18:67">
      <c r="R482" s="470"/>
    </row>
    <row r="483" spans="18:67">
      <c r="R483" s="470"/>
    </row>
    <row r="484" spans="18:67">
      <c r="R484" s="470"/>
    </row>
    <row r="485" spans="18:67">
      <c r="R485" s="470"/>
    </row>
    <row r="486" spans="18:67">
      <c r="R486" s="470"/>
    </row>
    <row r="487" spans="18:67">
      <c r="BA487" s="351">
        <v>6579.6</v>
      </c>
      <c r="BB487" s="351"/>
      <c r="BC487" s="351"/>
      <c r="BD487" s="351"/>
      <c r="BE487" s="351"/>
      <c r="BF487" s="351">
        <v>6796.5</v>
      </c>
      <c r="BG487" s="351"/>
      <c r="BH487" s="351"/>
      <c r="BI487" s="351"/>
      <c r="BJ487" s="351"/>
      <c r="BK487" s="351">
        <v>6963</v>
      </c>
      <c r="BL487" s="351"/>
      <c r="BM487" s="351"/>
      <c r="BN487" s="351"/>
      <c r="BO487" s="351"/>
    </row>
    <row r="488" spans="18:67">
      <c r="AX488" s="353"/>
    </row>
    <row r="489" spans="18:67">
      <c r="BA489" s="351">
        <v>22467.306</v>
      </c>
      <c r="BB489" s="351"/>
      <c r="BC489" s="351"/>
      <c r="BD489" s="351"/>
      <c r="BE489" s="351"/>
    </row>
    <row r="490" spans="18:67">
      <c r="BA490" s="353">
        <f>BA489/AV455-1</f>
        <v>5.2727298285071722E-2</v>
      </c>
      <c r="BB490" s="353"/>
      <c r="BC490" s="353"/>
      <c r="BD490" s="353"/>
      <c r="BE490" s="353"/>
    </row>
    <row r="491" spans="18:67">
      <c r="BA491" s="351">
        <v>8647</v>
      </c>
      <c r="BB491" s="351"/>
      <c r="BC491" s="351"/>
      <c r="BD491" s="351"/>
      <c r="BE491" s="351"/>
    </row>
    <row r="492" spans="18:67">
      <c r="BA492" s="353">
        <f>BA491/BA489</f>
        <v>0.38487035339261411</v>
      </c>
      <c r="BB492" s="353"/>
      <c r="BC492" s="353"/>
      <c r="BD492" s="353"/>
      <c r="BE492" s="353"/>
    </row>
    <row r="493" spans="18:67">
      <c r="BA493" s="353">
        <f>BA491/AV428-1</f>
        <v>7.3228248727814416E-2</v>
      </c>
      <c r="BB493" s="353"/>
      <c r="BC493" s="353"/>
      <c r="BD493" s="353"/>
      <c r="BE493" s="353"/>
    </row>
    <row r="494" spans="18:67">
      <c r="BA494" s="351">
        <v>6734.3334999999997</v>
      </c>
      <c r="BB494" s="351"/>
      <c r="BC494" s="351"/>
      <c r="BD494" s="351"/>
      <c r="BE494" s="351"/>
    </row>
    <row r="495" spans="18:67">
      <c r="BA495" s="353">
        <f>BA494/BA489</f>
        <v>0.29973925222721404</v>
      </c>
      <c r="BB495" s="353"/>
      <c r="BC495" s="353"/>
      <c r="BD495" s="353"/>
      <c r="BE495" s="353"/>
    </row>
    <row r="496" spans="18:67">
      <c r="AU496" s="349" t="s">
        <v>527</v>
      </c>
    </row>
    <row r="497" spans="43:142">
      <c r="AV497" s="349" t="s">
        <v>525</v>
      </c>
      <c r="BA497" s="349">
        <v>2017</v>
      </c>
      <c r="BF497" s="349">
        <v>2018</v>
      </c>
    </row>
    <row r="498" spans="43:142">
      <c r="AV498" s="349" t="s">
        <v>523</v>
      </c>
      <c r="BA498" s="351">
        <v>47951.70978386722</v>
      </c>
      <c r="BB498" s="351"/>
      <c r="BC498" s="351"/>
      <c r="BD498" s="351"/>
      <c r="BE498" s="351"/>
      <c r="BF498" s="351">
        <v>54052.028828971786</v>
      </c>
      <c r="BG498" s="351"/>
      <c r="BH498" s="351"/>
      <c r="BI498" s="351"/>
      <c r="BJ498" s="351"/>
    </row>
    <row r="499" spans="43:142">
      <c r="AV499" s="349" t="s">
        <v>511</v>
      </c>
      <c r="BA499" s="351">
        <v>7467.7478537887782</v>
      </c>
      <c r="BB499" s="351"/>
      <c r="BC499" s="351"/>
      <c r="BD499" s="351"/>
      <c r="BE499" s="351"/>
      <c r="BF499" s="351">
        <v>7994.9768967297487</v>
      </c>
      <c r="BG499" s="351"/>
      <c r="BH499" s="351"/>
      <c r="BI499" s="351"/>
      <c r="BJ499" s="351"/>
    </row>
    <row r="500" spans="43:142">
      <c r="AV500" s="349" t="s">
        <v>524</v>
      </c>
      <c r="BA500" s="351">
        <v>2150.9470941978061</v>
      </c>
      <c r="BB500" s="351"/>
      <c r="BC500" s="351"/>
      <c r="BD500" s="351"/>
      <c r="BE500" s="351"/>
      <c r="BF500" s="351">
        <v>3433.0409263234096</v>
      </c>
      <c r="BG500" s="351"/>
      <c r="BH500" s="351"/>
      <c r="BI500" s="351"/>
      <c r="BJ500" s="351"/>
    </row>
    <row r="502" spans="43:142">
      <c r="AV502" s="349" t="s">
        <v>526</v>
      </c>
      <c r="BA502" s="349">
        <v>2017</v>
      </c>
      <c r="BF502" s="349">
        <v>2018</v>
      </c>
    </row>
    <row r="503" spans="43:142">
      <c r="AR503" s="349" t="s">
        <v>525</v>
      </c>
      <c r="AS503" s="349" t="s">
        <v>526</v>
      </c>
      <c r="AV503" s="349" t="s">
        <v>523</v>
      </c>
      <c r="BA503" s="351">
        <v>36010.6765529033</v>
      </c>
      <c r="BB503" s="351"/>
      <c r="BC503" s="351"/>
      <c r="BD503" s="351"/>
      <c r="BE503" s="351"/>
      <c r="BF503" s="351">
        <v>45803.836353250284</v>
      </c>
      <c r="BG503" s="351"/>
      <c r="BH503" s="351"/>
      <c r="BI503" s="351"/>
      <c r="BJ503" s="351"/>
    </row>
    <row r="504" spans="43:142">
      <c r="AQ504" s="349" t="s">
        <v>523</v>
      </c>
      <c r="AR504" s="351">
        <v>47951.70978386722</v>
      </c>
      <c r="AS504" s="351">
        <v>36010.6765529033</v>
      </c>
      <c r="AV504" s="349" t="s">
        <v>511</v>
      </c>
      <c r="BA504" s="351">
        <v>7622.4946848481022</v>
      </c>
      <c r="BB504" s="351"/>
      <c r="BC504" s="351"/>
      <c r="BD504" s="351"/>
      <c r="BE504" s="351"/>
      <c r="BF504" s="351">
        <v>8380.5922702251046</v>
      </c>
      <c r="BG504" s="351"/>
      <c r="BH504" s="351"/>
      <c r="BI504" s="351"/>
      <c r="BJ504" s="351"/>
    </row>
    <row r="505" spans="43:142">
      <c r="AQ505" s="349" t="s">
        <v>511</v>
      </c>
      <c r="AR505" s="351">
        <v>7467.7478537887782</v>
      </c>
      <c r="AS505" s="351">
        <v>7622.4946848481022</v>
      </c>
      <c r="AV505" s="349" t="s">
        <v>524</v>
      </c>
      <c r="BA505" s="351">
        <v>1961.5450186827848</v>
      </c>
      <c r="BB505" s="351"/>
      <c r="BC505" s="351"/>
      <c r="BD505" s="351"/>
      <c r="BE505" s="351"/>
      <c r="BF505" s="351">
        <v>3407.4113563946366</v>
      </c>
      <c r="BG505" s="351"/>
      <c r="BH505" s="351"/>
      <c r="BI505" s="351"/>
      <c r="BJ505" s="351"/>
    </row>
    <row r="506" spans="43:142">
      <c r="AQ506" s="349" t="s">
        <v>524</v>
      </c>
      <c r="AR506" s="351">
        <v>2150.9470941978061</v>
      </c>
      <c r="AS506" s="351">
        <v>1961.5450186827848</v>
      </c>
    </row>
    <row r="507" spans="43:142">
      <c r="BA507" s="532">
        <f>BA503/BA498-1</f>
        <v>-0.24902205332793659</v>
      </c>
      <c r="BB507" s="532"/>
      <c r="BC507" s="532"/>
      <c r="BD507" s="532"/>
      <c r="BE507" s="532"/>
      <c r="BF507" s="532">
        <f>BF503/BF498-1</f>
        <v>-0.15259727811179746</v>
      </c>
      <c r="BG507" s="532"/>
      <c r="BH507" s="532"/>
      <c r="BI507" s="532"/>
      <c r="BJ507" s="532"/>
    </row>
    <row r="508" spans="43:142">
      <c r="BA508" s="532">
        <f>BA504/BA499-1</f>
        <v>2.0722021429903092E-2</v>
      </c>
      <c r="BB508" s="532"/>
      <c r="BC508" s="532"/>
      <c r="BD508" s="532"/>
      <c r="BE508" s="532"/>
      <c r="BF508" s="532">
        <f>BF504/BF499-1</f>
        <v>4.8232206105947251E-2</v>
      </c>
      <c r="BG508" s="532"/>
      <c r="BH508" s="532"/>
      <c r="BI508" s="532"/>
      <c r="BJ508" s="532"/>
      <c r="EA508" s="349">
        <v>2004</v>
      </c>
      <c r="EB508" s="349">
        <v>2005</v>
      </c>
      <c r="EC508" s="349">
        <v>2006</v>
      </c>
      <c r="ED508" s="349">
        <v>2007</v>
      </c>
      <c r="EE508" s="349">
        <v>2008</v>
      </c>
      <c r="EF508" s="349">
        <v>2009</v>
      </c>
      <c r="EG508" s="349" t="s">
        <v>24</v>
      </c>
      <c r="EH508" s="349" t="s">
        <v>25</v>
      </c>
      <c r="EI508" s="349" t="s">
        <v>26</v>
      </c>
      <c r="EJ508" s="349" t="s">
        <v>27</v>
      </c>
      <c r="EK508" s="349" t="s">
        <v>28</v>
      </c>
      <c r="EL508" s="349" t="s">
        <v>29</v>
      </c>
    </row>
    <row r="509" spans="43:142">
      <c r="BA509" s="532">
        <f>BA505/BA500-1</f>
        <v>-8.8055199509990079E-2</v>
      </c>
      <c r="BB509" s="532"/>
      <c r="BC509" s="532"/>
      <c r="BD509" s="532"/>
      <c r="BE509" s="532"/>
      <c r="BF509" s="532">
        <f>BF505/BF500-1</f>
        <v>-7.4655591001708821E-3</v>
      </c>
      <c r="BG509" s="532"/>
      <c r="BH509" s="532"/>
      <c r="BI509" s="532"/>
      <c r="BJ509" s="532"/>
      <c r="EA509" s="532">
        <v>0.87357630979498857</v>
      </c>
      <c r="EB509" s="532">
        <v>0.97242152466367715</v>
      </c>
      <c r="EC509" s="532">
        <v>1.0263274336283186</v>
      </c>
      <c r="ED509" s="532">
        <v>1.2275109170305676</v>
      </c>
      <c r="EE509" s="532">
        <v>1.3656526293554965</v>
      </c>
      <c r="EF509" s="532">
        <v>1.4436526293554965</v>
      </c>
      <c r="EG509" s="532">
        <v>1.4736526293554966</v>
      </c>
      <c r="EH509" s="532">
        <v>1.4936526293554966</v>
      </c>
      <c r="EI509" s="532">
        <v>1.5036526293554966</v>
      </c>
      <c r="EJ509" s="532">
        <v>1.5136526293554966</v>
      </c>
      <c r="EK509" s="532">
        <v>1.5136526293554966</v>
      </c>
      <c r="EL509" s="532">
        <v>1.5136526293554966</v>
      </c>
    </row>
    <row r="513" spans="148:149">
      <c r="ER513" s="486">
        <v>39951</v>
      </c>
      <c r="ES513" s="487">
        <v>0.96440000000000003</v>
      </c>
    </row>
    <row r="514" spans="148:149">
      <c r="ER514" s="486">
        <v>39952</v>
      </c>
      <c r="ES514" s="487">
        <v>0.9768</v>
      </c>
    </row>
    <row r="515" spans="148:149">
      <c r="ER515" s="486">
        <v>39953</v>
      </c>
      <c r="ES515" s="487">
        <v>0.97109999999999996</v>
      </c>
    </row>
    <row r="516" spans="148:149">
      <c r="ER516" s="486">
        <v>39953</v>
      </c>
      <c r="ES516" s="487">
        <v>0.97109999999999996</v>
      </c>
    </row>
    <row r="519" spans="148:149">
      <c r="ER519" s="486">
        <v>39980</v>
      </c>
      <c r="ES519" s="487">
        <v>1.0106999999999999</v>
      </c>
    </row>
    <row r="520" spans="148:149">
      <c r="ER520" s="486">
        <v>39981</v>
      </c>
      <c r="ES520" s="487">
        <v>1.0142</v>
      </c>
    </row>
    <row r="521" spans="148:149">
      <c r="ER521" s="486">
        <v>39982</v>
      </c>
      <c r="ES521" s="487">
        <v>1.0107999999999999</v>
      </c>
    </row>
    <row r="522" spans="148:149">
      <c r="ER522" s="486">
        <v>39983</v>
      </c>
      <c r="ES522" s="487">
        <v>1.0241</v>
      </c>
    </row>
    <row r="523" spans="148:149">
      <c r="ER523" s="486"/>
      <c r="ES523" s="487"/>
    </row>
    <row r="524" spans="148:149">
      <c r="ER524" s="486">
        <v>39984</v>
      </c>
      <c r="ES524" s="487">
        <v>1.0392999999999999</v>
      </c>
    </row>
    <row r="525" spans="148:149">
      <c r="ER525" s="486">
        <v>39972</v>
      </c>
      <c r="ES525" s="487">
        <v>0.98309999999999997</v>
      </c>
    </row>
    <row r="526" spans="148:149">
      <c r="ER526" s="486">
        <v>39973</v>
      </c>
      <c r="ES526" s="487">
        <v>0.99850000000000005</v>
      </c>
    </row>
    <row r="527" spans="148:149">
      <c r="ER527" s="486">
        <v>39974</v>
      </c>
      <c r="ES527" s="487">
        <v>0.996</v>
      </c>
    </row>
    <row r="528" spans="148:149">
      <c r="ER528" s="486">
        <v>39975</v>
      </c>
      <c r="ES528" s="487">
        <v>0.98899999999999999</v>
      </c>
    </row>
    <row r="530" spans="148:149">
      <c r="ER530" s="486">
        <v>39957</v>
      </c>
      <c r="ES530" s="487">
        <v>0.98850000000000005</v>
      </c>
    </row>
    <row r="531" spans="148:149">
      <c r="ER531" s="486">
        <v>39958</v>
      </c>
      <c r="ES531" s="487">
        <v>0.99239999999999995</v>
      </c>
    </row>
    <row r="532" spans="148:149">
      <c r="ER532" s="486">
        <v>39959</v>
      </c>
      <c r="ES532" s="487">
        <v>0.99229999999999996</v>
      </c>
    </row>
    <row r="533" spans="148:149">
      <c r="ER533" s="486">
        <v>39964</v>
      </c>
      <c r="ES533" s="487">
        <v>0.98219999999999996</v>
      </c>
    </row>
    <row r="534" spans="148:149">
      <c r="ER534" s="486">
        <v>39965</v>
      </c>
      <c r="ES534" s="487">
        <v>0.98909999999999998</v>
      </c>
    </row>
    <row r="535" spans="148:149">
      <c r="ER535" s="486">
        <v>39966</v>
      </c>
      <c r="ES535" s="487">
        <v>0.98850000000000005</v>
      </c>
    </row>
    <row r="536" spans="148:149">
      <c r="ER536" s="486"/>
      <c r="ES536" s="487"/>
    </row>
    <row r="537" spans="148:149">
      <c r="ER537" s="486"/>
      <c r="ES537" s="487"/>
    </row>
    <row r="538" spans="148:149">
      <c r="ER538" s="486">
        <v>39960</v>
      </c>
      <c r="ES538" s="487">
        <v>0.98629999999999995</v>
      </c>
    </row>
    <row r="539" spans="148:149">
      <c r="ER539" s="486">
        <v>39961</v>
      </c>
      <c r="ES539" s="487">
        <v>0.97919999999999996</v>
      </c>
    </row>
    <row r="540" spans="148:149">
      <c r="ER540" s="486">
        <v>39962</v>
      </c>
      <c r="ES540" s="487">
        <v>0.9768</v>
      </c>
    </row>
    <row r="541" spans="148:149">
      <c r="ER541" s="486">
        <v>39963</v>
      </c>
      <c r="ES541" s="487">
        <v>0.9829</v>
      </c>
    </row>
    <row r="542" spans="148:149">
      <c r="ER542" s="486">
        <v>39967</v>
      </c>
      <c r="ES542" s="487">
        <v>0.996</v>
      </c>
    </row>
    <row r="543" spans="148:149">
      <c r="ER543" s="486">
        <v>39968</v>
      </c>
      <c r="ES543" s="487">
        <v>0.99750000000000005</v>
      </c>
    </row>
    <row r="544" spans="148:149">
      <c r="ER544" s="486">
        <v>39969</v>
      </c>
      <c r="ES544" s="487">
        <v>0.99460000000000004</v>
      </c>
    </row>
    <row r="545" spans="148:149">
      <c r="ER545" s="486">
        <v>39970</v>
      </c>
      <c r="ES545" s="487">
        <v>0.98329999999999995</v>
      </c>
    </row>
    <row r="546" spans="148:149">
      <c r="ER546" s="486">
        <v>39971</v>
      </c>
      <c r="ES546" s="487">
        <v>0.99080000000000001</v>
      </c>
    </row>
    <row r="547" spans="148:149">
      <c r="ER547" s="486">
        <v>39972</v>
      </c>
      <c r="ES547" s="487">
        <v>0.98309999999999997</v>
      </c>
    </row>
    <row r="548" spans="148:149">
      <c r="ER548" s="486">
        <v>39973</v>
      </c>
      <c r="ES548" s="487">
        <v>0.99850000000000005</v>
      </c>
    </row>
    <row r="549" spans="148:149">
      <c r="ER549" s="486">
        <v>39974</v>
      </c>
      <c r="ES549" s="487">
        <v>0.996</v>
      </c>
    </row>
    <row r="550" spans="148:149">
      <c r="ER550" s="486">
        <v>39975</v>
      </c>
      <c r="ES550" s="487">
        <v>0.98899999999999999</v>
      </c>
    </row>
    <row r="551" spans="148:149">
      <c r="ER551" s="486">
        <v>39976</v>
      </c>
      <c r="ES551" s="487">
        <v>0.9849</v>
      </c>
    </row>
    <row r="552" spans="148:149">
      <c r="ER552" s="486">
        <v>39977</v>
      </c>
      <c r="ES552" s="487">
        <v>0.98850000000000005</v>
      </c>
    </row>
    <row r="557" spans="148:149">
      <c r="ER557" s="486">
        <v>39978</v>
      </c>
      <c r="ES557" s="487">
        <v>0.99129999999999996</v>
      </c>
    </row>
    <row r="558" spans="148:149">
      <c r="ER558" s="486">
        <v>39990</v>
      </c>
      <c r="ES558" s="487">
        <v>1.0397000000000001</v>
      </c>
    </row>
    <row r="561" spans="148:149">
      <c r="ER561" s="486">
        <v>39991</v>
      </c>
      <c r="ES561" s="487">
        <v>1.0441</v>
      </c>
    </row>
    <row r="562" spans="148:149">
      <c r="ER562" s="486">
        <v>39992</v>
      </c>
      <c r="ES562" s="487">
        <v>1.0481</v>
      </c>
    </row>
    <row r="563" spans="148:149">
      <c r="ER563" s="486">
        <v>39995</v>
      </c>
      <c r="ES563" s="487">
        <v>1.0772999999999999</v>
      </c>
    </row>
    <row r="564" spans="148:149">
      <c r="ER564" s="486"/>
      <c r="ES564" s="487"/>
    </row>
    <row r="565" spans="148:149">
      <c r="ER565" s="486"/>
      <c r="ES565" s="487"/>
    </row>
    <row r="566" spans="148:149">
      <c r="ER566" s="486">
        <v>39996</v>
      </c>
      <c r="ES566" s="487">
        <v>1.075</v>
      </c>
    </row>
    <row r="567" spans="148:149">
      <c r="ER567" s="486"/>
      <c r="ES567" s="487"/>
    </row>
    <row r="568" spans="148:149">
      <c r="ER568" s="486"/>
      <c r="ES568" s="487"/>
    </row>
    <row r="569" spans="148:149">
      <c r="ER569" s="486"/>
      <c r="ES569" s="487"/>
    </row>
    <row r="571" spans="148:149">
      <c r="ER571" s="486">
        <v>39997</v>
      </c>
      <c r="ES571" s="487">
        <v>1.0735999999999999</v>
      </c>
    </row>
    <row r="572" spans="148:149">
      <c r="ER572" s="486">
        <v>39998</v>
      </c>
      <c r="ES572" s="487">
        <v>1.0765</v>
      </c>
    </row>
    <row r="573" spans="148:149">
      <c r="ER573" s="486">
        <v>39999</v>
      </c>
      <c r="ES573" s="487">
        <v>1.0926</v>
      </c>
    </row>
    <row r="574" spans="148:149">
      <c r="ER574" s="486"/>
      <c r="ES574" s="487"/>
    </row>
    <row r="575" spans="148:149">
      <c r="ER575" s="486"/>
      <c r="ES575" s="487"/>
    </row>
    <row r="576" spans="148:149">
      <c r="ER576" s="486"/>
      <c r="ES576" s="487"/>
    </row>
    <row r="577" spans="148:149">
      <c r="ER577" s="486"/>
      <c r="ES577" s="487"/>
    </row>
    <row r="578" spans="148:149">
      <c r="ER578" s="486"/>
      <c r="ES578" s="487"/>
    </row>
    <row r="579" spans="148:149">
      <c r="ER579" s="486">
        <v>40024</v>
      </c>
      <c r="ES579" s="487">
        <v>1.1215999999999999</v>
      </c>
    </row>
    <row r="580" spans="148:149">
      <c r="ER580" s="486">
        <v>40025</v>
      </c>
      <c r="ES580" s="487">
        <v>1.1272</v>
      </c>
    </row>
    <row r="581" spans="148:149">
      <c r="ER581" s="486"/>
      <c r="ES581" s="487"/>
    </row>
    <row r="582" spans="148:149">
      <c r="ER582" s="486">
        <v>40026</v>
      </c>
      <c r="ES582" s="487">
        <v>1.1294</v>
      </c>
    </row>
    <row r="583" spans="148:149">
      <c r="ER583" s="486"/>
      <c r="ES583" s="487"/>
    </row>
    <row r="584" spans="148:149">
      <c r="ER584" s="486"/>
      <c r="ES584" s="487"/>
    </row>
    <row r="585" spans="148:149">
      <c r="ER585" s="486"/>
      <c r="ES585" s="487"/>
    </row>
    <row r="586" spans="148:149">
      <c r="ER586" s="486">
        <v>40027</v>
      </c>
      <c r="ES586" s="487">
        <v>1.1259000000000001</v>
      </c>
    </row>
    <row r="587" spans="148:149">
      <c r="ER587" s="486"/>
      <c r="ES587" s="487"/>
    </row>
    <row r="588" spans="148:149">
      <c r="ER588" s="486"/>
      <c r="ES588" s="487"/>
    </row>
    <row r="589" spans="148:149">
      <c r="ER589" s="486"/>
      <c r="ES589" s="487"/>
    </row>
    <row r="590" spans="148:149">
      <c r="ER590" s="486"/>
      <c r="ES590" s="487"/>
    </row>
    <row r="591" spans="148:149">
      <c r="ER591" s="486"/>
      <c r="ES591" s="487"/>
    </row>
    <row r="592" spans="148:149">
      <c r="ER592" s="486">
        <v>40000</v>
      </c>
      <c r="ES592" s="487">
        <v>1.0791999999999999</v>
      </c>
    </row>
    <row r="593" spans="148:149">
      <c r="ER593" s="486">
        <v>40001</v>
      </c>
      <c r="ES593" s="487">
        <v>1.0871</v>
      </c>
    </row>
    <row r="594" spans="148:149">
      <c r="ER594" s="486">
        <v>40002</v>
      </c>
      <c r="ES594" s="487">
        <v>1.0792999999999999</v>
      </c>
    </row>
    <row r="595" spans="148:149">
      <c r="ER595" s="486">
        <v>40003</v>
      </c>
      <c r="ES595" s="487">
        <v>1.0831</v>
      </c>
    </row>
    <row r="596" spans="148:149">
      <c r="ER596" s="486">
        <v>40004</v>
      </c>
      <c r="ES596" s="487">
        <v>1.0596000000000001</v>
      </c>
    </row>
    <row r="597" spans="148:149">
      <c r="ER597" s="488">
        <v>40005</v>
      </c>
      <c r="ES597" s="489">
        <v>1.0631999999999999</v>
      </c>
    </row>
    <row r="598" spans="148:149">
      <c r="ER598" s="486">
        <v>40006</v>
      </c>
      <c r="ES598" s="487">
        <v>1.0662</v>
      </c>
    </row>
    <row r="599" spans="148:149">
      <c r="ER599" s="486">
        <v>40007</v>
      </c>
      <c r="ES599" s="487">
        <v>1.0652999999999999</v>
      </c>
    </row>
    <row r="600" spans="148:149">
      <c r="ER600" s="486">
        <v>40008</v>
      </c>
      <c r="ES600" s="487">
        <v>1.0652999999999999</v>
      </c>
    </row>
    <row r="601" spans="148:149">
      <c r="ER601" s="488">
        <v>40009</v>
      </c>
      <c r="ES601" s="489">
        <v>1.0531999999999999</v>
      </c>
    </row>
    <row r="602" spans="148:149">
      <c r="ER602" s="486">
        <v>40012</v>
      </c>
      <c r="ES602" s="487">
        <v>1.0767</v>
      </c>
    </row>
    <row r="603" spans="148:149">
      <c r="ER603" s="488">
        <v>40013</v>
      </c>
      <c r="ES603" s="489">
        <v>1.0857000000000001</v>
      </c>
    </row>
    <row r="604" spans="148:149">
      <c r="ER604" s="486">
        <v>40014</v>
      </c>
      <c r="ES604" s="487">
        <v>1.0925</v>
      </c>
    </row>
    <row r="605" spans="148:149">
      <c r="ER605" s="486">
        <v>40019</v>
      </c>
      <c r="ES605" s="487">
        <v>1.1101000000000001</v>
      </c>
    </row>
    <row r="606" spans="148:149">
      <c r="ER606" s="486">
        <v>40020</v>
      </c>
      <c r="ES606" s="487">
        <v>1.1200000000000001</v>
      </c>
    </row>
    <row r="607" spans="148:149">
      <c r="ER607" s="486"/>
      <c r="ES607" s="487"/>
    </row>
    <row r="610" spans="148:149">
      <c r="ER610" s="486"/>
      <c r="ES610" s="487"/>
    </row>
    <row r="611" spans="148:149">
      <c r="ER611" s="486"/>
      <c r="ES611" s="487"/>
    </row>
    <row r="612" spans="148:149">
      <c r="ER612" s="486">
        <v>40028</v>
      </c>
      <c r="ES612" s="487">
        <v>1.1289</v>
      </c>
    </row>
    <row r="613" spans="148:149">
      <c r="ER613" s="486"/>
      <c r="ES613" s="487"/>
    </row>
    <row r="614" spans="148:149">
      <c r="ER614" s="486"/>
      <c r="ES614" s="487"/>
    </row>
    <row r="615" spans="148:149">
      <c r="ER615" s="486">
        <v>40029</v>
      </c>
      <c r="ES615" s="487">
        <v>1.1313</v>
      </c>
    </row>
    <row r="616" spans="148:149">
      <c r="ER616" s="486">
        <v>40030</v>
      </c>
      <c r="ES616" s="487">
        <v>1.1368</v>
      </c>
    </row>
    <row r="617" spans="148:149">
      <c r="ER617" s="486"/>
      <c r="ES617" s="487"/>
    </row>
    <row r="618" spans="148:149">
      <c r="ER618" s="486"/>
      <c r="ES618" s="487"/>
    </row>
    <row r="619" spans="148:149">
      <c r="ER619" s="486">
        <v>40031</v>
      </c>
      <c r="ES619" s="487">
        <v>1.1320000000000001</v>
      </c>
    </row>
    <row r="620" spans="148:149">
      <c r="ER620" s="486"/>
      <c r="ES620" s="487"/>
    </row>
    <row r="621" spans="148:149">
      <c r="ER621" s="486">
        <v>40032</v>
      </c>
      <c r="ES621" s="487">
        <v>1.1461000000000001</v>
      </c>
    </row>
    <row r="622" spans="148:149">
      <c r="ER622" s="486"/>
      <c r="ES622" s="487"/>
    </row>
    <row r="623" spans="148:149">
      <c r="ER623" s="486"/>
      <c r="ES623" s="487"/>
    </row>
    <row r="624" spans="148:149">
      <c r="ER624" s="486"/>
      <c r="ES624" s="487"/>
    </row>
    <row r="625" spans="148:149">
      <c r="ER625" s="486">
        <v>40033</v>
      </c>
      <c r="ES625" s="487">
        <v>1.1602000000000001</v>
      </c>
    </row>
    <row r="626" spans="148:149">
      <c r="ER626" s="486"/>
      <c r="ES626" s="487"/>
    </row>
    <row r="627" spans="148:149">
      <c r="ER627" s="486">
        <v>40034</v>
      </c>
      <c r="ES627" s="487">
        <v>1.1657999999999999</v>
      </c>
    </row>
    <row r="628" spans="148:149">
      <c r="ER628" s="486">
        <v>40035</v>
      </c>
      <c r="ES628" s="487">
        <v>1.1861999999999999</v>
      </c>
    </row>
    <row r="629" spans="148:149">
      <c r="ER629" s="486"/>
      <c r="ES629" s="487"/>
    </row>
    <row r="630" spans="148:149">
      <c r="ER630" s="486">
        <v>40036</v>
      </c>
      <c r="ES630" s="487">
        <v>1.1567000000000001</v>
      </c>
    </row>
    <row r="631" spans="148:149">
      <c r="ER631" s="486"/>
      <c r="ES631" s="487"/>
    </row>
    <row r="632" spans="148:149">
      <c r="ER632" s="486"/>
      <c r="ES632" s="487"/>
    </row>
    <row r="633" spans="148:149">
      <c r="ER633" s="486">
        <v>40037</v>
      </c>
      <c r="ES633" s="487">
        <v>1.1618999999999999</v>
      </c>
    </row>
    <row r="634" spans="148:149">
      <c r="ER634" s="486">
        <v>40037</v>
      </c>
      <c r="ES634" s="487">
        <v>1.1618999999999999</v>
      </c>
    </row>
    <row r="635" spans="148:149">
      <c r="ER635" s="486"/>
      <c r="ES635" s="487"/>
    </row>
    <row r="636" spans="148:149">
      <c r="ER636" s="486"/>
      <c r="ES636" s="487"/>
    </row>
    <row r="639" spans="148:149">
      <c r="ER639" s="486">
        <v>40038</v>
      </c>
      <c r="ES639" s="487">
        <v>1.1539999999999999</v>
      </c>
    </row>
    <row r="640" spans="148:149">
      <c r="ER640" s="486"/>
      <c r="ES640" s="487"/>
    </row>
    <row r="641" spans="148:149">
      <c r="ER641" s="486"/>
      <c r="ES641" s="487"/>
    </row>
    <row r="642" spans="148:149">
      <c r="ER642" s="411">
        <v>40039</v>
      </c>
      <c r="ES642" s="411">
        <v>1.1718</v>
      </c>
    </row>
    <row r="643" spans="148:149">
      <c r="ER643" s="486">
        <v>40040</v>
      </c>
      <c r="ES643" s="487">
        <v>1.1732</v>
      </c>
    </row>
  </sheetData>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sheetPr>
  <dimension ref="A1:BZ435"/>
  <sheetViews>
    <sheetView showGridLines="0" zoomScale="85" zoomScaleNormal="85" workbookViewId="0">
      <pane xSplit="2" ySplit="2" topLeftCell="C351" activePane="bottomRight" state="frozen"/>
      <selection activeCell="B7" sqref="B7"/>
      <selection pane="topRight" activeCell="B7" sqref="B7"/>
      <selection pane="bottomLeft" activeCell="B7" sqref="B7"/>
      <selection pane="bottomRight" activeCell="W390" sqref="W390"/>
    </sheetView>
  </sheetViews>
  <sheetFormatPr defaultColWidth="8.81640625" defaultRowHeight="14.5" outlineLevelRow="1"/>
  <cols>
    <col min="1" max="1" width="2.81640625" style="878" customWidth="1"/>
    <col min="2" max="2" width="38.81640625" style="662" customWidth="1"/>
    <col min="3" max="13" width="11.81640625" style="662" customWidth="1"/>
    <col min="14" max="14" width="11.6328125" style="662" customWidth="1"/>
    <col min="15" max="15" width="11.81640625" style="662" customWidth="1"/>
    <col min="16" max="17" width="12.08984375" style="662" customWidth="1"/>
    <col min="18" max="19" width="11.36328125" style="662" bestFit="1" customWidth="1"/>
    <col min="20" max="21" width="11.36328125" style="662" customWidth="1"/>
    <col min="22" max="22" width="11.36328125" style="662" bestFit="1" customWidth="1"/>
    <col min="23" max="23" width="11.6328125" style="662" bestFit="1" customWidth="1"/>
    <col min="24" max="24" width="11.1796875" style="662" bestFit="1" customWidth="1"/>
    <col min="25" max="27" width="11.6328125" style="662" bestFit="1" customWidth="1"/>
    <col min="28" max="28" width="8.81640625" style="662" bestFit="1" customWidth="1"/>
    <col min="29" max="29" width="8.81640625" style="662"/>
    <col min="30" max="30" width="8.81640625" style="789" bestFit="1" customWidth="1"/>
    <col min="31" max="31" width="8.81640625" style="789"/>
    <col min="32" max="45" width="8.81640625" style="789" bestFit="1" customWidth="1"/>
    <col min="46" max="76" width="8.81640625" style="789"/>
    <col min="77" max="77" width="11" style="789" bestFit="1" customWidth="1"/>
    <col min="78" max="78" width="8.81640625" style="789" bestFit="1" customWidth="1"/>
    <col min="79" max="16384" width="8.81640625" style="789"/>
  </cols>
  <sheetData>
    <row r="1" spans="1:78" s="349" customFormat="1" ht="13">
      <c r="A1" s="870"/>
      <c r="B1" s="624" t="s">
        <v>791</v>
      </c>
      <c r="C1" s="810"/>
      <c r="D1" s="810"/>
      <c r="E1" s="810"/>
      <c r="F1" s="810"/>
      <c r="G1" s="810"/>
      <c r="H1" s="810"/>
      <c r="I1" s="810"/>
      <c r="J1" s="810"/>
      <c r="K1" s="810"/>
      <c r="L1" s="810"/>
      <c r="M1" s="810"/>
      <c r="N1" s="810"/>
      <c r="O1" s="810"/>
      <c r="P1" s="810"/>
      <c r="Q1" s="810"/>
      <c r="R1" s="810"/>
      <c r="S1" s="810">
        <f>S44</f>
        <v>0</v>
      </c>
      <c r="T1" s="810">
        <f>T44</f>
        <v>0</v>
      </c>
      <c r="U1" s="1346" t="s">
        <v>1083</v>
      </c>
      <c r="V1" s="811">
        <f t="shared" ref="V1:AA1" si="0">V44</f>
        <v>8392</v>
      </c>
      <c r="W1" s="811">
        <f t="shared" si="0"/>
        <v>8392</v>
      </c>
      <c r="X1" s="811">
        <f t="shared" si="0"/>
        <v>8392</v>
      </c>
      <c r="Y1" s="811">
        <f t="shared" si="0"/>
        <v>8392</v>
      </c>
      <c r="Z1" s="811">
        <f t="shared" si="0"/>
        <v>8392</v>
      </c>
      <c r="AA1" s="811">
        <f t="shared" si="0"/>
        <v>8392</v>
      </c>
      <c r="AB1" s="752">
        <f>DCF!B32</f>
        <v>4509.6917769222537</v>
      </c>
      <c r="AD1" s="347"/>
      <c r="AE1" s="347"/>
      <c r="AF1" s="347"/>
      <c r="AG1" s="364"/>
      <c r="AH1" s="364"/>
      <c r="BY1" s="486"/>
      <c r="BZ1" s="487"/>
    </row>
    <row r="2" spans="1:78" s="349" customFormat="1" ht="13">
      <c r="A2" s="870"/>
      <c r="B2" s="624" t="s">
        <v>591</v>
      </c>
      <c r="C2" s="625">
        <v>2007</v>
      </c>
      <c r="D2" s="625">
        <f t="shared" ref="D2:T2" si="1">C2+1</f>
        <v>2008</v>
      </c>
      <c r="E2" s="625">
        <f t="shared" si="1"/>
        <v>2009</v>
      </c>
      <c r="F2" s="625">
        <f t="shared" si="1"/>
        <v>2010</v>
      </c>
      <c r="G2" s="625">
        <f t="shared" si="1"/>
        <v>2011</v>
      </c>
      <c r="H2" s="625">
        <f t="shared" si="1"/>
        <v>2012</v>
      </c>
      <c r="I2" s="625">
        <f t="shared" si="1"/>
        <v>2013</v>
      </c>
      <c r="J2" s="625">
        <f t="shared" si="1"/>
        <v>2014</v>
      </c>
      <c r="K2" s="625">
        <f t="shared" si="1"/>
        <v>2015</v>
      </c>
      <c r="L2" s="625">
        <f t="shared" si="1"/>
        <v>2016</v>
      </c>
      <c r="M2" s="625">
        <f t="shared" si="1"/>
        <v>2017</v>
      </c>
      <c r="N2" s="625">
        <f t="shared" si="1"/>
        <v>2018</v>
      </c>
      <c r="O2" s="625">
        <f t="shared" si="1"/>
        <v>2019</v>
      </c>
      <c r="P2" s="625">
        <f t="shared" si="1"/>
        <v>2020</v>
      </c>
      <c r="Q2" s="625">
        <f t="shared" si="1"/>
        <v>2021</v>
      </c>
      <c r="R2" s="625">
        <f t="shared" si="1"/>
        <v>2022</v>
      </c>
      <c r="S2" s="625">
        <f t="shared" si="1"/>
        <v>2023</v>
      </c>
      <c r="T2" s="625">
        <f t="shared" si="1"/>
        <v>2024</v>
      </c>
      <c r="U2" s="1347">
        <v>45838</v>
      </c>
      <c r="V2" s="626">
        <f>'Income Statement'!CO$2</f>
        <v>2025</v>
      </c>
      <c r="W2" s="626">
        <f>'Income Statement'!CP$2</f>
        <v>2026</v>
      </c>
      <c r="X2" s="626">
        <f>'Income Statement'!CQ$2</f>
        <v>2027</v>
      </c>
      <c r="Y2" s="626">
        <f>'Income Statement'!CR$2</f>
        <v>2028</v>
      </c>
      <c r="Z2" s="626">
        <f>'Income Statement'!CS$2</f>
        <v>2029</v>
      </c>
      <c r="AA2" s="626">
        <f>'Income Statement'!CT$2</f>
        <v>2030</v>
      </c>
      <c r="AB2" s="364"/>
      <c r="AC2" s="364"/>
      <c r="AD2" s="364"/>
      <c r="AE2" s="364"/>
      <c r="AF2" s="364"/>
      <c r="AG2" s="347"/>
      <c r="AH2" s="347"/>
      <c r="BY2" s="486"/>
      <c r="BZ2" s="487"/>
    </row>
    <row r="3" spans="1:78" s="349" customFormat="1" ht="13">
      <c r="A3" s="870"/>
      <c r="B3" s="407"/>
      <c r="I3" s="347"/>
      <c r="J3" s="347"/>
      <c r="K3" s="470"/>
      <c r="L3" s="470"/>
      <c r="M3" s="470"/>
      <c r="N3" s="347"/>
      <c r="O3" s="347"/>
      <c r="P3" s="347"/>
      <c r="Q3" s="347"/>
      <c r="R3" s="347"/>
      <c r="S3" s="347"/>
      <c r="T3" s="347"/>
      <c r="U3" s="347"/>
      <c r="V3" s="347"/>
      <c r="W3" s="347"/>
      <c r="X3" s="347"/>
      <c r="Y3" s="347"/>
      <c r="Z3" s="347"/>
      <c r="AA3" s="347"/>
      <c r="AB3" s="347"/>
      <c r="AC3" s="347"/>
      <c r="AD3" s="347"/>
      <c r="AE3" s="347"/>
      <c r="AF3" s="347"/>
      <c r="AG3" s="347"/>
      <c r="AH3" s="347"/>
      <c r="BY3" s="486"/>
      <c r="BZ3" s="487"/>
    </row>
    <row r="4" spans="1:78" s="349" customFormat="1" ht="13">
      <c r="A4" s="870" t="s">
        <v>615</v>
      </c>
      <c r="B4" s="492" t="s">
        <v>790</v>
      </c>
      <c r="C4" s="627">
        <f>C$2</f>
        <v>2007</v>
      </c>
      <c r="D4" s="627">
        <f t="shared" ref="D4:AA4" si="2">D$2</f>
        <v>2008</v>
      </c>
      <c r="E4" s="627">
        <f t="shared" si="2"/>
        <v>2009</v>
      </c>
      <c r="F4" s="627">
        <f t="shared" si="2"/>
        <v>2010</v>
      </c>
      <c r="G4" s="627">
        <f t="shared" si="2"/>
        <v>2011</v>
      </c>
      <c r="H4" s="627">
        <f t="shared" si="2"/>
        <v>2012</v>
      </c>
      <c r="I4" s="627">
        <f t="shared" si="2"/>
        <v>2013</v>
      </c>
      <c r="J4" s="627">
        <f t="shared" si="2"/>
        <v>2014</v>
      </c>
      <c r="K4" s="627">
        <f t="shared" si="2"/>
        <v>2015</v>
      </c>
      <c r="L4" s="627">
        <f t="shared" si="2"/>
        <v>2016</v>
      </c>
      <c r="M4" s="627">
        <f t="shared" si="2"/>
        <v>2017</v>
      </c>
      <c r="N4" s="627">
        <f t="shared" si="2"/>
        <v>2018</v>
      </c>
      <c r="O4" s="627">
        <f t="shared" si="2"/>
        <v>2019</v>
      </c>
      <c r="P4" s="627">
        <f t="shared" si="2"/>
        <v>2020</v>
      </c>
      <c r="Q4" s="627">
        <f t="shared" si="2"/>
        <v>2021</v>
      </c>
      <c r="R4" s="627">
        <f t="shared" si="2"/>
        <v>2022</v>
      </c>
      <c r="S4" s="627">
        <f t="shared" si="2"/>
        <v>2023</v>
      </c>
      <c r="T4" s="627">
        <f t="shared" si="2"/>
        <v>2024</v>
      </c>
      <c r="U4" s="627"/>
      <c r="V4" s="627">
        <f t="shared" si="2"/>
        <v>2025</v>
      </c>
      <c r="W4" s="627">
        <f t="shared" si="2"/>
        <v>2026</v>
      </c>
      <c r="X4" s="627">
        <f t="shared" si="2"/>
        <v>2027</v>
      </c>
      <c r="Y4" s="627">
        <f t="shared" si="2"/>
        <v>2028</v>
      </c>
      <c r="Z4" s="627">
        <f t="shared" si="2"/>
        <v>2029</v>
      </c>
      <c r="AA4" s="627">
        <f t="shared" si="2"/>
        <v>2030</v>
      </c>
      <c r="AB4" s="347"/>
      <c r="AC4" s="347"/>
      <c r="AD4" s="347"/>
      <c r="AE4" s="347"/>
      <c r="AF4" s="347"/>
      <c r="AG4" s="347"/>
      <c r="AH4" s="347"/>
      <c r="BY4" s="486"/>
      <c r="BZ4" s="487"/>
    </row>
    <row r="5" spans="1:78" s="349" customFormat="1" ht="13">
      <c r="A5" s="870"/>
      <c r="B5" s="407" t="s">
        <v>112</v>
      </c>
      <c r="C5" s="752">
        <f t="shared" ref="C5:AA5" si="3">C199</f>
        <v>806</v>
      </c>
      <c r="D5" s="752">
        <f t="shared" si="3"/>
        <v>1170</v>
      </c>
      <c r="E5" s="752">
        <f t="shared" si="3"/>
        <v>748</v>
      </c>
      <c r="F5" s="752">
        <f t="shared" si="3"/>
        <v>366</v>
      </c>
      <c r="G5" s="752">
        <f t="shared" si="3"/>
        <v>998</v>
      </c>
      <c r="H5" s="752">
        <f t="shared" si="3"/>
        <v>792</v>
      </c>
      <c r="I5" s="752">
        <f t="shared" si="3"/>
        <v>1318</v>
      </c>
      <c r="J5" s="752">
        <f t="shared" si="3"/>
        <v>6951</v>
      </c>
      <c r="K5" s="752">
        <f t="shared" si="3"/>
        <v>3312</v>
      </c>
      <c r="L5" s="752">
        <f t="shared" si="3"/>
        <v>1400</v>
      </c>
      <c r="M5" s="752">
        <f t="shared" si="3"/>
        <v>2455</v>
      </c>
      <c r="N5" s="752">
        <f t="shared" si="3"/>
        <v>1047.115</v>
      </c>
      <c r="O5" s="752">
        <f t="shared" si="3"/>
        <v>1603.4449999999999</v>
      </c>
      <c r="P5" s="752">
        <f t="shared" si="3"/>
        <v>2965.5889999999999</v>
      </c>
      <c r="Q5" s="752">
        <f t="shared" si="3"/>
        <v>2664.3870000000002</v>
      </c>
      <c r="R5" s="752">
        <f t="shared" si="3"/>
        <v>5184.1130000000003</v>
      </c>
      <c r="S5" s="752">
        <f t="shared" si="3"/>
        <v>966.02700000000004</v>
      </c>
      <c r="T5" s="752">
        <f t="shared" si="3"/>
        <v>1386.6369999999999</v>
      </c>
      <c r="U5" s="752">
        <f t="shared" si="3"/>
        <v>1198.549</v>
      </c>
      <c r="V5" s="752">
        <f t="shared" si="3"/>
        <v>1712.5161907578859</v>
      </c>
      <c r="W5" s="752">
        <f t="shared" si="3"/>
        <v>1906.3468491263427</v>
      </c>
      <c r="X5" s="752">
        <f t="shared" si="3"/>
        <v>1989.4563466812094</v>
      </c>
      <c r="Y5" s="752">
        <f t="shared" si="3"/>
        <v>2076.0699197453382</v>
      </c>
      <c r="Z5" s="752">
        <f t="shared" si="3"/>
        <v>2166.3350346218713</v>
      </c>
      <c r="AA5" s="752">
        <f t="shared" si="3"/>
        <v>2260.405419976335</v>
      </c>
      <c r="AB5" s="347"/>
      <c r="AC5" s="347"/>
      <c r="AD5" s="347"/>
      <c r="AE5" s="347"/>
      <c r="AF5" s="347"/>
      <c r="AG5" s="347"/>
      <c r="AH5" s="347"/>
      <c r="BY5" s="486"/>
      <c r="BZ5" s="487"/>
    </row>
    <row r="6" spans="1:78" s="349" customFormat="1" ht="13">
      <c r="A6" s="870"/>
      <c r="B6" s="407" t="s">
        <v>113</v>
      </c>
      <c r="C6" s="752">
        <f t="shared" ref="C6:Q6" si="4">C241</f>
        <v>59</v>
      </c>
      <c r="D6" s="752">
        <f t="shared" si="4"/>
        <v>128</v>
      </c>
      <c r="E6" s="752">
        <f t="shared" si="4"/>
        <v>20</v>
      </c>
      <c r="F6" s="752">
        <f t="shared" si="4"/>
        <v>61</v>
      </c>
      <c r="G6" s="752">
        <f t="shared" si="4"/>
        <v>66</v>
      </c>
      <c r="H6" s="752">
        <f t="shared" si="4"/>
        <v>50</v>
      </c>
      <c r="I6" s="752">
        <f t="shared" si="4"/>
        <v>50.705803805617819</v>
      </c>
      <c r="J6" s="752">
        <f t="shared" si="4"/>
        <v>77</v>
      </c>
      <c r="K6" s="752">
        <f t="shared" si="4"/>
        <v>79</v>
      </c>
      <c r="L6" s="752">
        <f t="shared" si="4"/>
        <v>161</v>
      </c>
      <c r="M6" s="752">
        <f t="shared" si="4"/>
        <v>143</v>
      </c>
      <c r="N6" s="752">
        <f t="shared" si="4"/>
        <v>189.06299999999999</v>
      </c>
      <c r="O6" s="752">
        <f t="shared" si="4"/>
        <v>74.608000000000004</v>
      </c>
      <c r="P6" s="752">
        <f t="shared" si="4"/>
        <v>143.37700000000001</v>
      </c>
      <c r="Q6" s="752">
        <f t="shared" si="4"/>
        <v>156.44</v>
      </c>
      <c r="R6" s="752">
        <f t="shared" ref="R6:Y6" si="5">R241</f>
        <v>408.178</v>
      </c>
      <c r="S6" s="752">
        <f t="shared" ref="S6" si="6">S241</f>
        <v>377.88400000000001</v>
      </c>
      <c r="T6" s="752">
        <f t="shared" si="5"/>
        <v>193.554</v>
      </c>
      <c r="U6" s="752"/>
      <c r="V6" s="752">
        <f t="shared" si="5"/>
        <v>239.0419113192219</v>
      </c>
      <c r="W6" s="752">
        <f t="shared" si="5"/>
        <v>266.09780211821851</v>
      </c>
      <c r="X6" s="752">
        <f t="shared" si="5"/>
        <v>277.69865777816028</v>
      </c>
      <c r="Y6" s="752">
        <f t="shared" si="5"/>
        <v>289.78863051136619</v>
      </c>
      <c r="Z6" s="752">
        <f t="shared" ref="Z6:AA6" si="7">Z241</f>
        <v>302.38830443093741</v>
      </c>
      <c r="AA6" s="752">
        <f t="shared" si="7"/>
        <v>315.51913778306766</v>
      </c>
      <c r="AB6" s="347"/>
      <c r="AC6" s="347"/>
      <c r="AD6" s="347"/>
      <c r="AE6" s="347"/>
      <c r="AF6" s="347"/>
      <c r="AG6" s="347"/>
      <c r="AH6" s="347"/>
      <c r="BY6" s="486"/>
      <c r="BZ6" s="487"/>
    </row>
    <row r="7" spans="1:78" s="349" customFormat="1" ht="13">
      <c r="A7" s="870"/>
      <c r="B7" s="407" t="s">
        <v>114</v>
      </c>
      <c r="C7" s="752">
        <f t="shared" ref="C7:Q7" si="8">C244</f>
        <v>814</v>
      </c>
      <c r="D7" s="752">
        <f t="shared" si="8"/>
        <v>1903</v>
      </c>
      <c r="E7" s="752">
        <f t="shared" si="8"/>
        <v>1239</v>
      </c>
      <c r="F7" s="752">
        <f t="shared" si="8"/>
        <v>1801</v>
      </c>
      <c r="G7" s="752">
        <f t="shared" si="8"/>
        <v>2323</v>
      </c>
      <c r="H7" s="752">
        <f t="shared" si="8"/>
        <v>2817</v>
      </c>
      <c r="I7" s="752">
        <f t="shared" si="8"/>
        <v>4475.2941961943825</v>
      </c>
      <c r="J7" s="752">
        <f t="shared" si="8"/>
        <v>6282</v>
      </c>
      <c r="K7" s="752">
        <f t="shared" si="8"/>
        <v>4861</v>
      </c>
      <c r="L7" s="752">
        <f t="shared" si="8"/>
        <v>4635</v>
      </c>
      <c r="M7" s="752">
        <f t="shared" si="8"/>
        <v>3994</v>
      </c>
      <c r="N7" s="752">
        <f t="shared" si="8"/>
        <v>4244.8180000000002</v>
      </c>
      <c r="O7" s="752">
        <f t="shared" si="8"/>
        <v>4377.5609999999997</v>
      </c>
      <c r="P7" s="752">
        <f t="shared" si="8"/>
        <v>3794.846</v>
      </c>
      <c r="Q7" s="752">
        <f t="shared" si="8"/>
        <v>4130.9859999999999</v>
      </c>
      <c r="R7" s="752">
        <f t="shared" ref="R7:Y7" si="9">R244</f>
        <v>4199.5780000000004</v>
      </c>
      <c r="S7" s="752">
        <f t="shared" ref="S7" si="10">S244</f>
        <v>4995.5749999999998</v>
      </c>
      <c r="T7" s="752">
        <f t="shared" si="9"/>
        <v>5336.09</v>
      </c>
      <c r="U7" s="752"/>
      <c r="V7" s="752">
        <f t="shared" si="9"/>
        <v>6590.1461740464501</v>
      </c>
      <c r="W7" s="752">
        <f t="shared" si="9"/>
        <v>7336.049995892643</v>
      </c>
      <c r="X7" s="752">
        <f t="shared" si="9"/>
        <v>7655.8739720360372</v>
      </c>
      <c r="Y7" s="752">
        <f t="shared" si="9"/>
        <v>7989.1824162011426</v>
      </c>
      <c r="Z7" s="752">
        <f t="shared" ref="Z7:AA7" si="11">Z244</f>
        <v>8336.5428117780084</v>
      </c>
      <c r="AA7" s="752">
        <f t="shared" si="11"/>
        <v>8698.5467411308964</v>
      </c>
      <c r="AB7" s="347"/>
      <c r="AC7" s="347"/>
      <c r="AD7" s="347"/>
      <c r="AE7" s="347"/>
      <c r="AF7" s="347"/>
      <c r="AG7" s="347"/>
      <c r="AH7" s="347"/>
      <c r="BY7" s="486"/>
      <c r="BZ7" s="487"/>
    </row>
    <row r="8" spans="1:78" s="349" customFormat="1" ht="13">
      <c r="A8" s="870"/>
      <c r="B8" s="407" t="s">
        <v>115</v>
      </c>
      <c r="C8" s="752">
        <f t="shared" ref="C8:Q8" si="12">C269</f>
        <v>0</v>
      </c>
      <c r="D8" s="752">
        <f t="shared" si="12"/>
        <v>0</v>
      </c>
      <c r="E8" s="752">
        <f t="shared" si="12"/>
        <v>0</v>
      </c>
      <c r="F8" s="752">
        <f t="shared" si="12"/>
        <v>0</v>
      </c>
      <c r="G8" s="752">
        <f t="shared" si="12"/>
        <v>0</v>
      </c>
      <c r="H8" s="752">
        <f t="shared" si="12"/>
        <v>0</v>
      </c>
      <c r="I8" s="752">
        <f t="shared" si="12"/>
        <v>0</v>
      </c>
      <c r="J8" s="752">
        <f t="shared" si="12"/>
        <v>0</v>
      </c>
      <c r="K8" s="752">
        <f t="shared" si="12"/>
        <v>0</v>
      </c>
      <c r="L8" s="752">
        <f t="shared" si="12"/>
        <v>0</v>
      </c>
      <c r="M8" s="752">
        <f t="shared" si="12"/>
        <v>0</v>
      </c>
      <c r="N8" s="752">
        <f t="shared" si="12"/>
        <v>0</v>
      </c>
      <c r="O8" s="752">
        <f t="shared" si="12"/>
        <v>0</v>
      </c>
      <c r="P8" s="752">
        <f t="shared" si="12"/>
        <v>0</v>
      </c>
      <c r="Q8" s="752">
        <f t="shared" si="12"/>
        <v>0</v>
      </c>
      <c r="R8" s="752">
        <f t="shared" ref="R8:Y8" si="13">R269</f>
        <v>0</v>
      </c>
      <c r="S8" s="752">
        <f t="shared" ref="S8" si="14">S269</f>
        <v>0</v>
      </c>
      <c r="T8" s="752">
        <f t="shared" si="13"/>
        <v>0</v>
      </c>
      <c r="U8" s="752"/>
      <c r="V8" s="752">
        <f t="shared" si="13"/>
        <v>0</v>
      </c>
      <c r="W8" s="752">
        <f t="shared" si="13"/>
        <v>0</v>
      </c>
      <c r="X8" s="752">
        <f t="shared" si="13"/>
        <v>0</v>
      </c>
      <c r="Y8" s="752">
        <f t="shared" si="13"/>
        <v>0</v>
      </c>
      <c r="Z8" s="752">
        <f t="shared" ref="Z8:AA8" si="15">Z269</f>
        <v>0</v>
      </c>
      <c r="AA8" s="752">
        <f t="shared" si="15"/>
        <v>0</v>
      </c>
      <c r="AB8" s="347"/>
      <c r="AC8" s="347"/>
      <c r="AD8" s="347"/>
      <c r="AE8" s="347"/>
      <c r="AF8" s="347"/>
      <c r="AG8" s="347"/>
      <c r="AH8" s="347"/>
      <c r="BY8" s="486"/>
      <c r="BZ8" s="487"/>
    </row>
    <row r="9" spans="1:78" s="349" customFormat="1" ht="13">
      <c r="A9" s="870"/>
      <c r="B9" s="407" t="s">
        <v>116</v>
      </c>
      <c r="C9" s="752">
        <f t="shared" ref="C9:Q9" si="16">C263</f>
        <v>0</v>
      </c>
      <c r="D9" s="752">
        <f t="shared" si="16"/>
        <v>0</v>
      </c>
      <c r="E9" s="752">
        <f t="shared" si="16"/>
        <v>0</v>
      </c>
      <c r="F9" s="752">
        <f t="shared" si="16"/>
        <v>0</v>
      </c>
      <c r="G9" s="752">
        <f t="shared" si="16"/>
        <v>0</v>
      </c>
      <c r="H9" s="752">
        <f t="shared" si="16"/>
        <v>0</v>
      </c>
      <c r="I9" s="752">
        <f t="shared" si="16"/>
        <v>0</v>
      </c>
      <c r="J9" s="752">
        <f t="shared" si="16"/>
        <v>0</v>
      </c>
      <c r="K9" s="752">
        <f t="shared" si="16"/>
        <v>1899</v>
      </c>
      <c r="L9" s="752">
        <f t="shared" si="16"/>
        <v>611</v>
      </c>
      <c r="M9" s="752">
        <f t="shared" si="16"/>
        <v>589</v>
      </c>
      <c r="N9" s="752">
        <f t="shared" si="16"/>
        <v>1577.6559999999999</v>
      </c>
      <c r="O9" s="752">
        <f t="shared" si="16"/>
        <v>1090.0339999999999</v>
      </c>
      <c r="P9" s="752">
        <f t="shared" si="16"/>
        <v>667.31099999999992</v>
      </c>
      <c r="Q9" s="752">
        <f t="shared" si="16"/>
        <v>781.3779999999997</v>
      </c>
      <c r="R9" s="752">
        <f t="shared" ref="R9:Y9" si="17">R263</f>
        <v>616.48899999999958</v>
      </c>
      <c r="S9" s="752">
        <f t="shared" ref="S9" si="18">S263</f>
        <v>834.02500000000055</v>
      </c>
      <c r="T9" s="752">
        <f t="shared" si="17"/>
        <v>1519.5320000000002</v>
      </c>
      <c r="U9" s="752"/>
      <c r="V9" s="752">
        <f t="shared" si="17"/>
        <v>1519.5320000000002</v>
      </c>
      <c r="W9" s="752">
        <f t="shared" si="17"/>
        <v>1519.5320000000002</v>
      </c>
      <c r="X9" s="752">
        <f t="shared" si="17"/>
        <v>1519.5320000000002</v>
      </c>
      <c r="Y9" s="752">
        <f t="shared" si="17"/>
        <v>1519.5320000000002</v>
      </c>
      <c r="Z9" s="752">
        <f t="shared" ref="Z9:AA9" si="19">Z263</f>
        <v>1519.5320000000002</v>
      </c>
      <c r="AA9" s="752">
        <f t="shared" si="19"/>
        <v>1519.5320000000002</v>
      </c>
      <c r="AB9" s="347"/>
      <c r="AC9" s="347"/>
      <c r="AD9" s="347"/>
      <c r="AE9" s="347"/>
      <c r="AF9" s="347"/>
      <c r="AG9" s="347"/>
      <c r="AH9" s="347"/>
      <c r="BY9" s="486"/>
      <c r="BZ9" s="487"/>
    </row>
    <row r="10" spans="1:78" s="349" customFormat="1" ht="13">
      <c r="A10" s="870"/>
      <c r="B10" s="407" t="s">
        <v>117</v>
      </c>
      <c r="C10" s="818"/>
      <c r="D10" s="818"/>
      <c r="E10" s="818"/>
      <c r="F10" s="818"/>
      <c r="G10" s="818"/>
      <c r="H10" s="818"/>
      <c r="I10" s="818"/>
      <c r="J10" s="818"/>
      <c r="K10" s="818"/>
      <c r="L10" s="818"/>
      <c r="M10" s="818"/>
      <c r="N10" s="818"/>
      <c r="O10" s="818"/>
      <c r="P10" s="818"/>
      <c r="Q10" s="818">
        <f t="shared" ref="Q10:T10" si="20">P10</f>
        <v>0</v>
      </c>
      <c r="R10" s="818">
        <f t="shared" si="20"/>
        <v>0</v>
      </c>
      <c r="S10" s="818">
        <f t="shared" si="20"/>
        <v>0</v>
      </c>
      <c r="T10" s="818">
        <f t="shared" si="20"/>
        <v>0</v>
      </c>
      <c r="U10" s="818"/>
      <c r="V10" s="814">
        <f>T10</f>
        <v>0</v>
      </c>
      <c r="W10" s="814">
        <f t="shared" ref="W10:Y10" si="21">V10</f>
        <v>0</v>
      </c>
      <c r="X10" s="814">
        <f t="shared" si="21"/>
        <v>0</v>
      </c>
      <c r="Y10" s="814">
        <f t="shared" si="21"/>
        <v>0</v>
      </c>
      <c r="Z10" s="814">
        <f t="shared" ref="Z10" si="22">Y10</f>
        <v>0</v>
      </c>
      <c r="AA10" s="814">
        <f t="shared" ref="AA10" si="23">Z10</f>
        <v>0</v>
      </c>
      <c r="AB10" s="347"/>
      <c r="AC10" s="347"/>
      <c r="AD10" s="347"/>
      <c r="AE10" s="347"/>
      <c r="AF10" s="347"/>
      <c r="AG10" s="364"/>
      <c r="AH10" s="364"/>
      <c r="BY10" s="486"/>
      <c r="BZ10" s="487"/>
    </row>
    <row r="11" spans="1:78" s="349" customFormat="1" ht="13">
      <c r="A11" s="870"/>
      <c r="B11" s="462" t="s">
        <v>118</v>
      </c>
      <c r="C11" s="755">
        <f t="shared" ref="C11:Q11" si="24">SUM(C5:C10)</f>
        <v>1679</v>
      </c>
      <c r="D11" s="755">
        <f t="shared" si="24"/>
        <v>3201</v>
      </c>
      <c r="E11" s="755">
        <f t="shared" si="24"/>
        <v>2007</v>
      </c>
      <c r="F11" s="755">
        <f t="shared" si="24"/>
        <v>2228</v>
      </c>
      <c r="G11" s="755">
        <f t="shared" si="24"/>
        <v>3387</v>
      </c>
      <c r="H11" s="755">
        <f t="shared" si="24"/>
        <v>3659</v>
      </c>
      <c r="I11" s="755">
        <f t="shared" si="24"/>
        <v>5844</v>
      </c>
      <c r="J11" s="755">
        <f t="shared" si="24"/>
        <v>13310</v>
      </c>
      <c r="K11" s="755">
        <f t="shared" si="24"/>
        <v>10151</v>
      </c>
      <c r="L11" s="755">
        <f t="shared" si="24"/>
        <v>6807</v>
      </c>
      <c r="M11" s="755">
        <f t="shared" si="24"/>
        <v>7181</v>
      </c>
      <c r="N11" s="755">
        <f t="shared" si="24"/>
        <v>7058.652</v>
      </c>
      <c r="O11" s="755">
        <f t="shared" si="24"/>
        <v>7145.6479999999992</v>
      </c>
      <c r="P11" s="755">
        <f t="shared" si="24"/>
        <v>7571.1229999999996</v>
      </c>
      <c r="Q11" s="755">
        <f t="shared" si="24"/>
        <v>7733.1909999999998</v>
      </c>
      <c r="R11" s="755">
        <f t="shared" ref="R11:Y11" si="25">SUM(R5:R10)</f>
        <v>10408.358</v>
      </c>
      <c r="S11" s="755">
        <f t="shared" ref="S11" si="26">SUM(S5:S10)</f>
        <v>7173.5110000000004</v>
      </c>
      <c r="T11" s="755">
        <f t="shared" si="25"/>
        <v>8435.8130000000001</v>
      </c>
      <c r="U11" s="755"/>
      <c r="V11" s="755">
        <f t="shared" si="25"/>
        <v>10061.236276123556</v>
      </c>
      <c r="W11" s="755">
        <f t="shared" si="25"/>
        <v>11028.026647137205</v>
      </c>
      <c r="X11" s="755">
        <f t="shared" si="25"/>
        <v>11442.560976495406</v>
      </c>
      <c r="Y11" s="755">
        <f t="shared" si="25"/>
        <v>11874.572966457847</v>
      </c>
      <c r="Z11" s="755">
        <f t="shared" ref="Z11:AA11" si="27">SUM(Z5:Z10)</f>
        <v>12324.798150830818</v>
      </c>
      <c r="AA11" s="755">
        <f t="shared" si="27"/>
        <v>12794.0032988903</v>
      </c>
      <c r="AB11" s="364"/>
      <c r="AC11" s="364"/>
      <c r="AD11" s="364"/>
      <c r="AE11" s="364"/>
      <c r="AF11" s="364"/>
      <c r="AG11" s="347"/>
      <c r="AH11" s="347"/>
      <c r="BY11" s="486"/>
      <c r="BZ11" s="487"/>
    </row>
    <row r="12" spans="1:78" s="349" customFormat="1" ht="13">
      <c r="A12" s="870"/>
      <c r="B12" s="407"/>
      <c r="C12" s="752"/>
      <c r="D12" s="752"/>
      <c r="E12" s="752"/>
      <c r="F12" s="752"/>
      <c r="G12" s="752"/>
      <c r="H12" s="752"/>
      <c r="I12" s="752"/>
      <c r="J12" s="752"/>
      <c r="K12" s="752"/>
      <c r="L12" s="752"/>
      <c r="M12" s="752"/>
      <c r="N12" s="752"/>
      <c r="O12" s="752"/>
      <c r="P12" s="752"/>
      <c r="Q12" s="752"/>
      <c r="R12" s="752"/>
      <c r="S12" s="752"/>
      <c r="T12" s="752"/>
      <c r="U12" s="752"/>
      <c r="V12" s="752"/>
      <c r="W12" s="752"/>
      <c r="X12" s="752"/>
      <c r="Y12" s="752"/>
      <c r="Z12" s="752"/>
      <c r="AA12" s="752"/>
      <c r="AB12" s="347"/>
      <c r="AC12" s="347"/>
      <c r="AD12" s="347"/>
      <c r="AE12" s="347"/>
      <c r="AF12" s="347"/>
      <c r="AG12" s="347"/>
      <c r="AH12" s="347"/>
      <c r="BY12" s="486"/>
      <c r="BZ12" s="487"/>
    </row>
    <row r="13" spans="1:78" s="349" customFormat="1" ht="13">
      <c r="A13" s="870"/>
      <c r="B13" s="407" t="s">
        <v>119</v>
      </c>
      <c r="C13" s="752">
        <f>C105</f>
        <v>15810</v>
      </c>
      <c r="D13" s="752">
        <f t="shared" ref="D13:AA13" si="28">D105</f>
        <v>23180</v>
      </c>
      <c r="E13" s="752">
        <f t="shared" si="28"/>
        <v>23616</v>
      </c>
      <c r="F13" s="752">
        <f t="shared" si="28"/>
        <v>23197</v>
      </c>
      <c r="G13" s="752">
        <f t="shared" si="28"/>
        <v>25615</v>
      </c>
      <c r="H13" s="752">
        <f t="shared" si="28"/>
        <v>29643</v>
      </c>
      <c r="I13" s="752">
        <f t="shared" si="28"/>
        <v>31278</v>
      </c>
      <c r="J13" s="752">
        <f t="shared" si="28"/>
        <v>35859</v>
      </c>
      <c r="K13" s="752">
        <f t="shared" si="28"/>
        <v>33426.699999999997</v>
      </c>
      <c r="L13" s="752">
        <f t="shared" si="28"/>
        <v>33182</v>
      </c>
      <c r="M13" s="752">
        <f t="shared" si="28"/>
        <v>34934</v>
      </c>
      <c r="N13" s="752">
        <f t="shared" si="28"/>
        <v>36759.529999999992</v>
      </c>
      <c r="O13" s="752">
        <f t="shared" si="28"/>
        <v>42081.680000000008</v>
      </c>
      <c r="P13" s="752">
        <f t="shared" si="28"/>
        <v>47162</v>
      </c>
      <c r="Q13" s="752">
        <f t="shared" si="28"/>
        <v>51912.214</v>
      </c>
      <c r="R13" s="752">
        <f t="shared" si="28"/>
        <v>60481.576999999997</v>
      </c>
      <c r="S13" s="752">
        <f t="shared" si="28"/>
        <v>63896.923999999999</v>
      </c>
      <c r="T13" s="752">
        <f t="shared" si="28"/>
        <v>61034.472000000002</v>
      </c>
      <c r="U13" s="752"/>
      <c r="V13" s="752">
        <f t="shared" si="28"/>
        <v>77825.552409787037</v>
      </c>
      <c r="W13" s="752">
        <f t="shared" si="28"/>
        <v>75456.21081224666</v>
      </c>
      <c r="X13" s="752">
        <f t="shared" si="28"/>
        <v>73647.197085498716</v>
      </c>
      <c r="Y13" s="752">
        <f t="shared" si="28"/>
        <v>72796.365067413702</v>
      </c>
      <c r="Z13" s="752">
        <f t="shared" si="28"/>
        <v>72724.358338197548</v>
      </c>
      <c r="AA13" s="752">
        <f t="shared" si="28"/>
        <v>73573.101008065583</v>
      </c>
      <c r="AB13" s="347"/>
      <c r="AC13" s="347"/>
      <c r="AD13" s="347"/>
      <c r="AE13" s="347"/>
      <c r="AF13" s="347"/>
      <c r="AG13" s="347"/>
      <c r="AH13" s="347"/>
      <c r="BY13" s="486"/>
      <c r="BZ13" s="487"/>
    </row>
    <row r="14" spans="1:78" s="349" customFormat="1" ht="13">
      <c r="A14" s="870"/>
      <c r="B14" s="407" t="s">
        <v>120</v>
      </c>
      <c r="C14" s="752">
        <f t="shared" ref="C14:Q14" si="29">C162</f>
        <v>0</v>
      </c>
      <c r="D14" s="752">
        <f t="shared" si="29"/>
        <v>0</v>
      </c>
      <c r="E14" s="752">
        <f t="shared" si="29"/>
        <v>0</v>
      </c>
      <c r="F14" s="752">
        <f t="shared" si="29"/>
        <v>0</v>
      </c>
      <c r="G14" s="752">
        <f t="shared" si="29"/>
        <v>0</v>
      </c>
      <c r="H14" s="752">
        <f t="shared" si="29"/>
        <v>0</v>
      </c>
      <c r="I14" s="752">
        <f t="shared" si="29"/>
        <v>0</v>
      </c>
      <c r="J14" s="752">
        <f t="shared" si="29"/>
        <v>0</v>
      </c>
      <c r="K14" s="752">
        <f t="shared" si="29"/>
        <v>6681</v>
      </c>
      <c r="L14" s="752">
        <f t="shared" si="29"/>
        <v>6681</v>
      </c>
      <c r="M14" s="752">
        <f t="shared" si="29"/>
        <v>6681.357</v>
      </c>
      <c r="N14" s="752">
        <f t="shared" si="29"/>
        <v>6681.357</v>
      </c>
      <c r="O14" s="752">
        <f t="shared" si="29"/>
        <v>6681.357</v>
      </c>
      <c r="P14" s="752">
        <f t="shared" si="29"/>
        <v>6681.357</v>
      </c>
      <c r="Q14" s="752">
        <f t="shared" si="29"/>
        <v>6681.357</v>
      </c>
      <c r="R14" s="752">
        <f t="shared" ref="R14:Y14" si="30">R162</f>
        <v>6681.357</v>
      </c>
      <c r="S14" s="752">
        <f t="shared" ref="S14" si="31">S162</f>
        <v>6681.357</v>
      </c>
      <c r="T14" s="752">
        <f t="shared" si="30"/>
        <v>6915.5919999999996</v>
      </c>
      <c r="U14" s="752"/>
      <c r="V14" s="752">
        <f t="shared" si="30"/>
        <v>6915.5919999999996</v>
      </c>
      <c r="W14" s="752">
        <f t="shared" si="30"/>
        <v>6915.5919999999996</v>
      </c>
      <c r="X14" s="752">
        <f t="shared" si="30"/>
        <v>6915.5919999999996</v>
      </c>
      <c r="Y14" s="752">
        <f t="shared" si="30"/>
        <v>6915.5919999999996</v>
      </c>
      <c r="Z14" s="752">
        <f t="shared" ref="Z14:AA14" si="32">Z162</f>
        <v>6915.5919999999996</v>
      </c>
      <c r="AA14" s="752">
        <f t="shared" si="32"/>
        <v>6915.5919999999996</v>
      </c>
      <c r="AB14" s="347"/>
      <c r="AC14" s="347"/>
      <c r="AD14" s="347"/>
      <c r="AE14" s="347"/>
      <c r="AF14" s="347"/>
      <c r="AG14" s="347"/>
      <c r="AH14" s="347"/>
      <c r="BY14" s="486"/>
      <c r="BZ14" s="487"/>
    </row>
    <row r="15" spans="1:78" s="349" customFormat="1" ht="13">
      <c r="A15" s="870"/>
      <c r="B15" s="407" t="s">
        <v>121</v>
      </c>
      <c r="C15" s="752">
        <f t="shared" ref="C15:Q15" si="33">C159</f>
        <v>0</v>
      </c>
      <c r="D15" s="752">
        <f t="shared" si="33"/>
        <v>0</v>
      </c>
      <c r="E15" s="752">
        <f t="shared" si="33"/>
        <v>0</v>
      </c>
      <c r="F15" s="752">
        <f t="shared" si="33"/>
        <v>0</v>
      </c>
      <c r="G15" s="752">
        <f t="shared" si="33"/>
        <v>0</v>
      </c>
      <c r="H15" s="752">
        <f t="shared" si="33"/>
        <v>0</v>
      </c>
      <c r="I15" s="752">
        <f t="shared" si="33"/>
        <v>0</v>
      </c>
      <c r="J15" s="752">
        <f t="shared" si="33"/>
        <v>0</v>
      </c>
      <c r="K15" s="752">
        <f t="shared" si="33"/>
        <v>6326</v>
      </c>
      <c r="L15" s="752">
        <f t="shared" si="33"/>
        <v>6108</v>
      </c>
      <c r="M15" s="752">
        <f t="shared" si="33"/>
        <v>5915</v>
      </c>
      <c r="N15" s="752">
        <f t="shared" si="33"/>
        <v>5766.9480000000003</v>
      </c>
      <c r="O15" s="752">
        <f t="shared" si="33"/>
        <v>5734.1850000000004</v>
      </c>
      <c r="P15" s="752">
        <f t="shared" si="33"/>
        <v>5716.4260000000004</v>
      </c>
      <c r="Q15" s="752">
        <f t="shared" si="33"/>
        <v>5712.558</v>
      </c>
      <c r="R15" s="752">
        <f t="shared" ref="R15:Y15" si="34">R159</f>
        <v>5988.4679999999998</v>
      </c>
      <c r="S15" s="752">
        <f t="shared" ref="S15" si="35">S159</f>
        <v>6453.8860000000004</v>
      </c>
      <c r="T15" s="752">
        <f t="shared" si="34"/>
        <v>6984.5599999999995</v>
      </c>
      <c r="U15" s="752"/>
      <c r="V15" s="752">
        <f t="shared" si="34"/>
        <v>6582.2341500000002</v>
      </c>
      <c r="W15" s="752">
        <f t="shared" si="34"/>
        <v>6922.1628454545453</v>
      </c>
      <c r="X15" s="752">
        <f t="shared" si="34"/>
        <v>7224.9788136363632</v>
      </c>
      <c r="Y15" s="752">
        <f t="shared" si="34"/>
        <v>7490.6820545454539</v>
      </c>
      <c r="Z15" s="752">
        <f t="shared" ref="Z15:AA15" si="36">Z159</f>
        <v>7719.2725681818174</v>
      </c>
      <c r="AA15" s="752">
        <f t="shared" si="36"/>
        <v>7910.7503545454538</v>
      </c>
      <c r="AB15" s="347"/>
      <c r="AC15" s="347"/>
      <c r="AD15" s="347"/>
      <c r="AE15" s="347"/>
      <c r="AF15" s="347"/>
      <c r="AG15" s="347"/>
      <c r="AH15" s="347"/>
      <c r="BY15" s="486"/>
      <c r="BZ15" s="487"/>
    </row>
    <row r="16" spans="1:78" s="349" customFormat="1" ht="13">
      <c r="A16" s="870"/>
      <c r="B16" s="407" t="s">
        <v>277</v>
      </c>
      <c r="C16" s="752">
        <f t="shared" ref="C16:Q16" si="37">C273</f>
        <v>0</v>
      </c>
      <c r="D16" s="752">
        <f t="shared" si="37"/>
        <v>0</v>
      </c>
      <c r="E16" s="752">
        <f t="shared" si="37"/>
        <v>0</v>
      </c>
      <c r="F16" s="752">
        <f t="shared" si="37"/>
        <v>0</v>
      </c>
      <c r="G16" s="752">
        <f t="shared" si="37"/>
        <v>0</v>
      </c>
      <c r="H16" s="752">
        <f t="shared" si="37"/>
        <v>0</v>
      </c>
      <c r="I16" s="752">
        <f t="shared" si="37"/>
        <v>0</v>
      </c>
      <c r="J16" s="752">
        <f t="shared" si="37"/>
        <v>0</v>
      </c>
      <c r="K16" s="752">
        <f t="shared" si="37"/>
        <v>0</v>
      </c>
      <c r="L16" s="752">
        <f t="shared" si="37"/>
        <v>0</v>
      </c>
      <c r="M16" s="752">
        <f t="shared" si="37"/>
        <v>0</v>
      </c>
      <c r="N16" s="752">
        <f t="shared" si="37"/>
        <v>0</v>
      </c>
      <c r="O16" s="752">
        <f t="shared" si="37"/>
        <v>0</v>
      </c>
      <c r="P16" s="752">
        <f t="shared" si="37"/>
        <v>0</v>
      </c>
      <c r="Q16" s="752">
        <f t="shared" si="37"/>
        <v>0</v>
      </c>
      <c r="R16" s="752">
        <f t="shared" ref="R16:Y16" si="38">R273</f>
        <v>0</v>
      </c>
      <c r="S16" s="752">
        <f t="shared" ref="S16" si="39">S273</f>
        <v>0</v>
      </c>
      <c r="T16" s="752">
        <f t="shared" si="38"/>
        <v>0</v>
      </c>
      <c r="U16" s="752"/>
      <c r="V16" s="752">
        <f t="shared" si="38"/>
        <v>0</v>
      </c>
      <c r="W16" s="752">
        <f t="shared" si="38"/>
        <v>0</v>
      </c>
      <c r="X16" s="752">
        <f t="shared" si="38"/>
        <v>0</v>
      </c>
      <c r="Y16" s="752">
        <f t="shared" si="38"/>
        <v>0</v>
      </c>
      <c r="Z16" s="752">
        <f t="shared" ref="Z16:AA16" si="40">Z273</f>
        <v>0</v>
      </c>
      <c r="AA16" s="752">
        <f t="shared" si="40"/>
        <v>0</v>
      </c>
      <c r="AB16" s="347"/>
      <c r="AC16" s="347"/>
      <c r="AD16" s="347"/>
      <c r="AE16" s="347"/>
      <c r="AF16" s="347"/>
      <c r="AG16" s="347"/>
      <c r="AH16" s="347"/>
      <c r="BY16" s="486"/>
      <c r="BZ16" s="487"/>
    </row>
    <row r="17" spans="1:78" s="349" customFormat="1" ht="13">
      <c r="A17" s="870"/>
      <c r="B17" s="407" t="s">
        <v>567</v>
      </c>
      <c r="C17" s="752"/>
      <c r="D17" s="752"/>
      <c r="E17" s="752"/>
      <c r="F17" s="752"/>
      <c r="G17" s="752"/>
      <c r="H17" s="752"/>
      <c r="I17" s="752"/>
      <c r="J17" s="752"/>
      <c r="K17" s="752"/>
      <c r="L17" s="752"/>
      <c r="M17" s="752"/>
      <c r="N17" s="818">
        <v>0</v>
      </c>
      <c r="O17" s="818">
        <v>143.48599999999999</v>
      </c>
      <c r="P17" s="818">
        <v>177.261</v>
      </c>
      <c r="Q17" s="818">
        <v>200.58500000000001</v>
      </c>
      <c r="R17" s="818">
        <v>3097.7710000000002</v>
      </c>
      <c r="S17" s="818"/>
      <c r="T17" s="818"/>
      <c r="U17" s="818"/>
      <c r="V17" s="814">
        <f>T17</f>
        <v>0</v>
      </c>
      <c r="W17" s="814">
        <f t="shared" ref="W17:Y17" si="41">V17</f>
        <v>0</v>
      </c>
      <c r="X17" s="814">
        <f t="shared" si="41"/>
        <v>0</v>
      </c>
      <c r="Y17" s="814">
        <f t="shared" si="41"/>
        <v>0</v>
      </c>
      <c r="Z17" s="814">
        <f t="shared" ref="Z17" si="42">Y17</f>
        <v>0</v>
      </c>
      <c r="AA17" s="814">
        <f t="shared" ref="AA17" si="43">Z17</f>
        <v>0</v>
      </c>
      <c r="AB17" s="347"/>
      <c r="AC17" s="347"/>
      <c r="AD17" s="347"/>
      <c r="AE17" s="347"/>
      <c r="AF17" s="347"/>
      <c r="AG17" s="347"/>
      <c r="AH17" s="347"/>
      <c r="BY17" s="486"/>
      <c r="BZ17" s="487"/>
    </row>
    <row r="18" spans="1:78" s="349" customFormat="1" ht="13">
      <c r="A18" s="870"/>
      <c r="B18" s="407" t="s">
        <v>592</v>
      </c>
      <c r="C18" s="752">
        <f t="shared" ref="C18:Q18" si="44">C276</f>
        <v>1311</v>
      </c>
      <c r="D18" s="752">
        <f t="shared" si="44"/>
        <v>2013</v>
      </c>
      <c r="E18" s="752">
        <f t="shared" si="44"/>
        <v>1756</v>
      </c>
      <c r="F18" s="752">
        <f t="shared" si="44"/>
        <v>1826</v>
      </c>
      <c r="G18" s="752">
        <f t="shared" si="44"/>
        <v>2168</v>
      </c>
      <c r="H18" s="752">
        <f t="shared" si="44"/>
        <v>2154</v>
      </c>
      <c r="I18" s="752">
        <f t="shared" si="44"/>
        <v>8835</v>
      </c>
      <c r="J18" s="752">
        <f t="shared" si="44"/>
        <v>14538</v>
      </c>
      <c r="K18" s="752">
        <f t="shared" si="44"/>
        <v>2259</v>
      </c>
      <c r="L18" s="752">
        <f t="shared" si="44"/>
        <v>2117</v>
      </c>
      <c r="M18" s="752">
        <f t="shared" si="44"/>
        <v>1610</v>
      </c>
      <c r="N18" s="752">
        <f t="shared" si="44"/>
        <v>1347.4669999999999</v>
      </c>
      <c r="O18" s="752">
        <f t="shared" si="44"/>
        <v>938.88599999999997</v>
      </c>
      <c r="P18" s="752">
        <f t="shared" si="44"/>
        <v>436.38</v>
      </c>
      <c r="Q18" s="752">
        <f t="shared" si="44"/>
        <v>513.37700000000768</v>
      </c>
      <c r="R18" s="752">
        <f t="shared" ref="R18:Y18" si="45">R276</f>
        <v>620.24900000002526</v>
      </c>
      <c r="S18" s="752">
        <f t="shared" ref="S18" si="46">S276</f>
        <v>3482.4060000000027</v>
      </c>
      <c r="T18" s="752">
        <f t="shared" si="45"/>
        <v>2808.127999999997</v>
      </c>
      <c r="U18" s="752"/>
      <c r="V18" s="752">
        <f t="shared" si="45"/>
        <v>2808.127999999997</v>
      </c>
      <c r="W18" s="752">
        <f t="shared" si="45"/>
        <v>2808.127999999997</v>
      </c>
      <c r="X18" s="752">
        <f t="shared" si="45"/>
        <v>2808.127999999997</v>
      </c>
      <c r="Y18" s="752">
        <f t="shared" si="45"/>
        <v>2808.127999999997</v>
      </c>
      <c r="Z18" s="752">
        <f t="shared" ref="Z18:AA18" si="47">Z276</f>
        <v>2808.127999999997</v>
      </c>
      <c r="AA18" s="752">
        <f t="shared" si="47"/>
        <v>2808.127999999997</v>
      </c>
      <c r="AB18" s="347"/>
      <c r="AC18" s="347"/>
      <c r="AD18" s="347"/>
      <c r="AE18" s="347"/>
      <c r="AF18" s="347"/>
      <c r="AG18" s="347"/>
      <c r="AH18" s="347"/>
      <c r="BY18" s="486"/>
      <c r="BZ18" s="487"/>
    </row>
    <row r="19" spans="1:78" s="349" customFormat="1" ht="13">
      <c r="A19" s="870"/>
      <c r="B19" s="462" t="s">
        <v>122</v>
      </c>
      <c r="C19" s="755">
        <f t="shared" ref="C19:R19" si="48">SUM(C13:C18)</f>
        <v>17121</v>
      </c>
      <c r="D19" s="755">
        <f t="shared" si="48"/>
        <v>25193</v>
      </c>
      <c r="E19" s="755">
        <f t="shared" si="48"/>
        <v>25372</v>
      </c>
      <c r="F19" s="755">
        <f t="shared" si="48"/>
        <v>25023</v>
      </c>
      <c r="G19" s="755">
        <f t="shared" si="48"/>
        <v>27783</v>
      </c>
      <c r="H19" s="755">
        <f t="shared" si="48"/>
        <v>31797</v>
      </c>
      <c r="I19" s="755">
        <f t="shared" si="48"/>
        <v>40113</v>
      </c>
      <c r="J19" s="755">
        <f t="shared" si="48"/>
        <v>50397</v>
      </c>
      <c r="K19" s="755">
        <f t="shared" si="48"/>
        <v>48692.7</v>
      </c>
      <c r="L19" s="755">
        <f>SUM(L13:L18)</f>
        <v>48088</v>
      </c>
      <c r="M19" s="755">
        <f>SUM(M13:M18)</f>
        <v>49140.357000000004</v>
      </c>
      <c r="N19" s="755">
        <f t="shared" si="48"/>
        <v>50555.301999999989</v>
      </c>
      <c r="O19" s="755">
        <f t="shared" si="48"/>
        <v>55579.594000000005</v>
      </c>
      <c r="P19" s="755">
        <f t="shared" si="48"/>
        <v>60173.423999999999</v>
      </c>
      <c r="Q19" s="755">
        <f t="shared" si="48"/>
        <v>65020.091</v>
      </c>
      <c r="R19" s="755">
        <f t="shared" si="48"/>
        <v>76869.422000000006</v>
      </c>
      <c r="S19" s="755">
        <f t="shared" ref="S19" si="49">SUM(S13:S18)</f>
        <v>80514.573000000004</v>
      </c>
      <c r="T19" s="755">
        <f t="shared" ref="T19:Y19" si="50">SUM(T13:T18)</f>
        <v>77742.751999999993</v>
      </c>
      <c r="U19" s="755"/>
      <c r="V19" s="755">
        <f t="shared" si="50"/>
        <v>94131.506559787042</v>
      </c>
      <c r="W19" s="755">
        <f t="shared" si="50"/>
        <v>92102.093657701203</v>
      </c>
      <c r="X19" s="755">
        <f t="shared" si="50"/>
        <v>90595.895899135081</v>
      </c>
      <c r="Y19" s="755">
        <f t="shared" si="50"/>
        <v>90010.767121959158</v>
      </c>
      <c r="Z19" s="755">
        <f t="shared" ref="Z19:AA19" si="51">SUM(Z13:Z18)</f>
        <v>90167.350906379361</v>
      </c>
      <c r="AA19" s="755">
        <f t="shared" si="51"/>
        <v>91207.571362611037</v>
      </c>
      <c r="AB19" s="364"/>
      <c r="AC19" s="364"/>
      <c r="AD19" s="364"/>
      <c r="AE19" s="364"/>
      <c r="AF19" s="364"/>
      <c r="AG19" s="347"/>
      <c r="AH19" s="347"/>
      <c r="BY19" s="486"/>
      <c r="BZ19" s="487"/>
    </row>
    <row r="20" spans="1:78" s="349" customFormat="1" ht="13">
      <c r="A20" s="870"/>
      <c r="B20" s="407"/>
      <c r="C20" s="752"/>
      <c r="D20" s="752"/>
      <c r="E20" s="752"/>
      <c r="F20" s="752"/>
      <c r="G20" s="752"/>
      <c r="H20" s="752"/>
      <c r="I20" s="752"/>
      <c r="J20" s="752"/>
      <c r="K20" s="752"/>
      <c r="L20" s="752"/>
      <c r="M20" s="752"/>
      <c r="N20" s="752"/>
      <c r="O20" s="752"/>
      <c r="P20" s="752"/>
      <c r="Q20" s="752"/>
      <c r="R20" s="752"/>
      <c r="S20" s="752"/>
      <c r="T20" s="752"/>
      <c r="U20" s="752"/>
      <c r="V20" s="752"/>
      <c r="W20" s="752"/>
      <c r="X20" s="752"/>
      <c r="Y20" s="752"/>
      <c r="Z20" s="752"/>
      <c r="AA20" s="752"/>
      <c r="AB20" s="347"/>
      <c r="AC20" s="347"/>
      <c r="AD20" s="347"/>
      <c r="AE20" s="347"/>
      <c r="AF20" s="347"/>
      <c r="AG20" s="364"/>
      <c r="AH20" s="364"/>
      <c r="BY20" s="486"/>
      <c r="BZ20" s="487"/>
    </row>
    <row r="21" spans="1:78" s="349" customFormat="1" ht="13.5" thickBot="1">
      <c r="A21" s="870"/>
      <c r="B21" s="571" t="s">
        <v>123</v>
      </c>
      <c r="C21" s="823">
        <f t="shared" ref="C21:R21" si="52">C19+C11</f>
        <v>18800</v>
      </c>
      <c r="D21" s="823">
        <f t="shared" si="52"/>
        <v>28394</v>
      </c>
      <c r="E21" s="823">
        <f t="shared" si="52"/>
        <v>27379</v>
      </c>
      <c r="F21" s="823">
        <f t="shared" si="52"/>
        <v>27251</v>
      </c>
      <c r="G21" s="823">
        <f t="shared" si="52"/>
        <v>31170</v>
      </c>
      <c r="H21" s="823">
        <f t="shared" si="52"/>
        <v>35456</v>
      </c>
      <c r="I21" s="823">
        <f t="shared" si="52"/>
        <v>45957</v>
      </c>
      <c r="J21" s="823">
        <f t="shared" si="52"/>
        <v>63707</v>
      </c>
      <c r="K21" s="823">
        <f t="shared" si="52"/>
        <v>58843.7</v>
      </c>
      <c r="L21" s="823">
        <f t="shared" si="52"/>
        <v>54895</v>
      </c>
      <c r="M21" s="823">
        <f t="shared" si="52"/>
        <v>56321.357000000004</v>
      </c>
      <c r="N21" s="823">
        <f t="shared" si="52"/>
        <v>57613.953999999991</v>
      </c>
      <c r="O21" s="823">
        <f t="shared" si="52"/>
        <v>62725.242000000006</v>
      </c>
      <c r="P21" s="823">
        <f t="shared" si="52"/>
        <v>67744.546999999991</v>
      </c>
      <c r="Q21" s="823">
        <f t="shared" si="52"/>
        <v>72753.282000000007</v>
      </c>
      <c r="R21" s="823">
        <f t="shared" si="52"/>
        <v>87277.78</v>
      </c>
      <c r="S21" s="823">
        <f t="shared" ref="S21" si="53">S19+S11</f>
        <v>87688.084000000003</v>
      </c>
      <c r="T21" s="823">
        <f t="shared" ref="T21:Y21" si="54">T19+T11</f>
        <v>86178.564999999988</v>
      </c>
      <c r="U21" s="823"/>
      <c r="V21" s="823">
        <f t="shared" si="54"/>
        <v>104192.7428359106</v>
      </c>
      <c r="W21" s="823">
        <f t="shared" si="54"/>
        <v>103130.1203048384</v>
      </c>
      <c r="X21" s="823">
        <f t="shared" si="54"/>
        <v>102038.45687563048</v>
      </c>
      <c r="Y21" s="823">
        <f t="shared" si="54"/>
        <v>101885.340088417</v>
      </c>
      <c r="Z21" s="823">
        <f t="shared" ref="Z21:AA21" si="55">Z19+Z11</f>
        <v>102492.14905721018</v>
      </c>
      <c r="AA21" s="823">
        <f t="shared" si="55"/>
        <v>104001.57466150133</v>
      </c>
      <c r="AB21" s="364"/>
      <c r="AC21" s="364"/>
      <c r="AD21" s="364"/>
      <c r="AE21" s="364"/>
      <c r="AF21" s="364"/>
      <c r="AG21" s="347"/>
      <c r="AH21" s="347"/>
      <c r="BY21" s="486"/>
      <c r="BZ21" s="487"/>
    </row>
    <row r="22" spans="1:78" s="349" customFormat="1" ht="13.5" thickTop="1">
      <c r="A22" s="870"/>
      <c r="B22" s="407"/>
      <c r="C22" s="752"/>
      <c r="D22" s="752"/>
      <c r="E22" s="752"/>
      <c r="F22" s="752"/>
      <c r="G22" s="752"/>
      <c r="H22" s="752"/>
      <c r="I22" s="752"/>
      <c r="J22" s="752"/>
      <c r="K22" s="752"/>
      <c r="L22" s="752"/>
      <c r="M22" s="752"/>
      <c r="N22" s="752"/>
      <c r="O22" s="752"/>
      <c r="P22" s="752"/>
      <c r="Q22" s="752"/>
      <c r="R22" s="752"/>
      <c r="S22" s="752"/>
      <c r="T22" s="752"/>
      <c r="U22" s="752"/>
      <c r="V22" s="752"/>
      <c r="W22" s="752"/>
      <c r="X22" s="752"/>
      <c r="Y22" s="752"/>
      <c r="Z22" s="752"/>
      <c r="AA22" s="752"/>
      <c r="AB22" s="347"/>
      <c r="AC22" s="347"/>
      <c r="AD22" s="347"/>
      <c r="AE22" s="347"/>
      <c r="AF22" s="347"/>
      <c r="AG22" s="347"/>
      <c r="AH22" s="347"/>
      <c r="BY22" s="486"/>
      <c r="BZ22" s="487"/>
    </row>
    <row r="23" spans="1:78" s="349" customFormat="1" ht="13">
      <c r="A23" s="870"/>
      <c r="B23" s="407" t="s">
        <v>124</v>
      </c>
      <c r="C23" s="752">
        <f t="shared" ref="C23:Q23" si="56">C248</f>
        <v>3697</v>
      </c>
      <c r="D23" s="752">
        <f t="shared" si="56"/>
        <v>4399</v>
      </c>
      <c r="E23" s="752">
        <f t="shared" si="56"/>
        <v>3533</v>
      </c>
      <c r="F23" s="752">
        <f t="shared" si="56"/>
        <v>3586</v>
      </c>
      <c r="G23" s="752">
        <f t="shared" si="56"/>
        <v>4908</v>
      </c>
      <c r="H23" s="752">
        <f t="shared" si="56"/>
        <v>4434</v>
      </c>
      <c r="I23" s="752">
        <f t="shared" si="56"/>
        <v>4806</v>
      </c>
      <c r="J23" s="752">
        <f t="shared" si="56"/>
        <v>11477</v>
      </c>
      <c r="K23" s="752">
        <f t="shared" si="56"/>
        <v>5257</v>
      </c>
      <c r="L23" s="752">
        <f t="shared" si="56"/>
        <v>6470</v>
      </c>
      <c r="M23" s="752">
        <f t="shared" si="56"/>
        <v>7448</v>
      </c>
      <c r="N23" s="752">
        <f t="shared" si="56"/>
        <v>8936.5149999999994</v>
      </c>
      <c r="O23" s="752">
        <f>O248</f>
        <v>7925.2150000000001</v>
      </c>
      <c r="P23" s="752">
        <f t="shared" si="56"/>
        <v>7245.4390000000003</v>
      </c>
      <c r="Q23" s="752">
        <f t="shared" si="56"/>
        <v>10358.361999999999</v>
      </c>
      <c r="R23" s="752">
        <f t="shared" ref="R23:Y23" si="57">R248</f>
        <v>11064.092000000001</v>
      </c>
      <c r="S23" s="752">
        <f t="shared" ref="S23" si="58">S248</f>
        <v>9137.5400000000009</v>
      </c>
      <c r="T23" s="752">
        <f t="shared" si="57"/>
        <v>7574.4740000000002</v>
      </c>
      <c r="U23" s="752"/>
      <c r="V23" s="752">
        <f t="shared" si="57"/>
        <v>9354.5818851470485</v>
      </c>
      <c r="W23" s="752">
        <f t="shared" si="57"/>
        <v>10413.377577325145</v>
      </c>
      <c r="X23" s="752">
        <f t="shared" si="57"/>
        <v>10867.361372927311</v>
      </c>
      <c r="Y23" s="752">
        <f t="shared" si="57"/>
        <v>11340.486103640069</v>
      </c>
      <c r="Z23" s="752">
        <f t="shared" ref="Z23:AA23" si="59">Z248</f>
        <v>11833.557300888744</v>
      </c>
      <c r="AA23" s="752">
        <f t="shared" si="59"/>
        <v>12347.414704114943</v>
      </c>
      <c r="AB23" s="347"/>
      <c r="AC23" s="347"/>
      <c r="AD23" s="347"/>
      <c r="AE23" s="347"/>
      <c r="AF23" s="347"/>
      <c r="AG23" s="347"/>
      <c r="AH23" s="347"/>
      <c r="BY23" s="486"/>
      <c r="BZ23" s="487"/>
    </row>
    <row r="24" spans="1:78" s="349" customFormat="1" ht="13">
      <c r="A24" s="870"/>
      <c r="B24" s="407" t="s">
        <v>125</v>
      </c>
      <c r="C24" s="818"/>
      <c r="D24" s="818"/>
      <c r="E24" s="818"/>
      <c r="F24" s="818"/>
      <c r="G24" s="818"/>
      <c r="H24" s="818">
        <v>0</v>
      </c>
      <c r="I24" s="818">
        <v>0</v>
      </c>
      <c r="J24" s="818">
        <v>0</v>
      </c>
      <c r="K24" s="818">
        <f>26+256+1122+6+1548+199+368</f>
        <v>3525</v>
      </c>
      <c r="L24" s="818">
        <f>14477-L28-L26-L23</f>
        <v>2833</v>
      </c>
      <c r="M24" s="818">
        <f>15227-M23-M26-M28</f>
        <v>2908</v>
      </c>
      <c r="N24" s="818">
        <f>15733.294-N23-N25-N26-N27-N28</f>
        <v>3453.5400000000009</v>
      </c>
      <c r="O24" s="818">
        <f>21292.684-O23-O25-O26-O27-O28</f>
        <v>5339.9650000000011</v>
      </c>
      <c r="P24" s="818">
        <f>18857.026-P23-P25-P26-P27-P28</f>
        <v>5166.6290000000017</v>
      </c>
      <c r="Q24" s="818">
        <f>20953.921-Q23-Q25-Q26-Q27-Q28</f>
        <v>4191.2359999999999</v>
      </c>
      <c r="R24" s="818">
        <f>26350.5-R23-R25-R26-R27-R28</f>
        <v>4301.7060000000001</v>
      </c>
      <c r="S24" s="818">
        <f>20141.984-S23-S25-S26-S27-S28</f>
        <v>4075.172</v>
      </c>
      <c r="T24" s="818">
        <f>Inputs!BO89-T23-T25-T26-T27-T28</f>
        <v>4334.6699999999983</v>
      </c>
      <c r="U24" s="818"/>
      <c r="V24" s="814">
        <f>T24</f>
        <v>4334.6699999999983</v>
      </c>
      <c r="W24" s="814">
        <f t="shared" ref="W24:Y24" si="60">V24</f>
        <v>4334.6699999999983</v>
      </c>
      <c r="X24" s="814">
        <f t="shared" si="60"/>
        <v>4334.6699999999983</v>
      </c>
      <c r="Y24" s="814">
        <f t="shared" si="60"/>
        <v>4334.6699999999983</v>
      </c>
      <c r="Z24" s="814">
        <f t="shared" ref="Z24" si="61">Y24</f>
        <v>4334.6699999999983</v>
      </c>
      <c r="AA24" s="814">
        <f t="shared" ref="AA24" si="62">Z24</f>
        <v>4334.6699999999983</v>
      </c>
      <c r="AB24" s="347"/>
      <c r="AC24" s="347"/>
      <c r="AD24" s="347"/>
      <c r="AE24" s="347"/>
      <c r="AF24" s="347"/>
      <c r="AG24" s="347"/>
      <c r="AH24" s="347"/>
      <c r="BY24" s="486"/>
      <c r="BZ24" s="487"/>
    </row>
    <row r="25" spans="1:78" s="349" customFormat="1" ht="13">
      <c r="A25" s="870"/>
      <c r="B25" s="407" t="s">
        <v>126</v>
      </c>
      <c r="C25" s="752">
        <f t="shared" ref="C25:Q25" si="63">C254</f>
        <v>0</v>
      </c>
      <c r="D25" s="752">
        <f t="shared" si="63"/>
        <v>0</v>
      </c>
      <c r="E25" s="752">
        <f t="shared" si="63"/>
        <v>0</v>
      </c>
      <c r="F25" s="752">
        <f t="shared" si="63"/>
        <v>0</v>
      </c>
      <c r="G25" s="752">
        <f t="shared" si="63"/>
        <v>0</v>
      </c>
      <c r="H25" s="752">
        <f t="shared" si="63"/>
        <v>0</v>
      </c>
      <c r="I25" s="752">
        <f t="shared" si="63"/>
        <v>0</v>
      </c>
      <c r="J25" s="752">
        <f t="shared" si="63"/>
        <v>0</v>
      </c>
      <c r="K25" s="752">
        <f t="shared" si="63"/>
        <v>0</v>
      </c>
      <c r="L25" s="752">
        <f t="shared" si="63"/>
        <v>0</v>
      </c>
      <c r="M25" s="752">
        <f t="shared" si="63"/>
        <v>0</v>
      </c>
      <c r="N25" s="752">
        <f t="shared" si="63"/>
        <v>0</v>
      </c>
      <c r="O25" s="752">
        <f t="shared" si="63"/>
        <v>0</v>
      </c>
      <c r="P25" s="752">
        <f t="shared" si="63"/>
        <v>0</v>
      </c>
      <c r="Q25" s="752">
        <f t="shared" si="63"/>
        <v>0</v>
      </c>
      <c r="R25" s="752">
        <f t="shared" ref="R25:Y25" si="64">R254</f>
        <v>0</v>
      </c>
      <c r="S25" s="752">
        <f t="shared" ref="S25" si="65">S254</f>
        <v>0</v>
      </c>
      <c r="T25" s="752">
        <f t="shared" si="64"/>
        <v>0</v>
      </c>
      <c r="U25" s="752"/>
      <c r="V25" s="752">
        <f t="shared" si="64"/>
        <v>0</v>
      </c>
      <c r="W25" s="752">
        <f t="shared" si="64"/>
        <v>0</v>
      </c>
      <c r="X25" s="752">
        <f t="shared" si="64"/>
        <v>0</v>
      </c>
      <c r="Y25" s="752">
        <f t="shared" si="64"/>
        <v>0</v>
      </c>
      <c r="Z25" s="752">
        <f t="shared" ref="Z25:AA25" si="66">Z254</f>
        <v>0</v>
      </c>
      <c r="AA25" s="752">
        <f t="shared" si="66"/>
        <v>0</v>
      </c>
      <c r="AB25" s="347"/>
      <c r="AC25" s="347"/>
      <c r="AD25" s="347"/>
      <c r="AE25" s="347"/>
      <c r="AF25" s="347"/>
      <c r="AG25" s="347"/>
      <c r="AH25" s="347"/>
      <c r="BY25" s="486"/>
      <c r="BZ25" s="487"/>
    </row>
    <row r="26" spans="1:78" s="349" customFormat="1" ht="13">
      <c r="A26" s="870"/>
      <c r="B26" s="407" t="s">
        <v>568</v>
      </c>
      <c r="C26" s="752">
        <f t="shared" ref="C26:S26" si="67">C197</f>
        <v>3323</v>
      </c>
      <c r="D26" s="752">
        <f t="shared" si="67"/>
        <v>1279</v>
      </c>
      <c r="E26" s="752">
        <f t="shared" si="67"/>
        <v>2476</v>
      </c>
      <c r="F26" s="752">
        <f t="shared" si="67"/>
        <v>977</v>
      </c>
      <c r="G26" s="752">
        <f t="shared" si="67"/>
        <v>3820</v>
      </c>
      <c r="H26" s="752">
        <f t="shared" si="67"/>
        <v>4306</v>
      </c>
      <c r="I26" s="752">
        <f t="shared" si="67"/>
        <v>3125</v>
      </c>
      <c r="J26" s="752">
        <f t="shared" si="67"/>
        <v>3922</v>
      </c>
      <c r="K26" s="752">
        <f t="shared" si="67"/>
        <v>3922</v>
      </c>
      <c r="L26" s="752">
        <f t="shared" si="67"/>
        <v>3645</v>
      </c>
      <c r="M26" s="752">
        <f t="shared" si="67"/>
        <v>3771</v>
      </c>
      <c r="N26" s="752">
        <f t="shared" si="67"/>
        <v>1329.0160000000001</v>
      </c>
      <c r="O26" s="752">
        <f t="shared" si="67"/>
        <v>5461.5159999999996</v>
      </c>
      <c r="P26" s="752">
        <f t="shared" si="67"/>
        <v>1575.702</v>
      </c>
      <c r="Q26" s="752">
        <f t="shared" si="67"/>
        <v>1745.0849999999998</v>
      </c>
      <c r="R26" s="752">
        <f t="shared" si="67"/>
        <v>5622.1929999999993</v>
      </c>
      <c r="S26" s="752">
        <f t="shared" si="67"/>
        <v>853.85399999999993</v>
      </c>
      <c r="T26" s="752">
        <f t="shared" ref="T26:AA26" si="68">T197</f>
        <v>3721.3</v>
      </c>
      <c r="U26" s="752">
        <f t="shared" ref="U26" si="69">U197</f>
        <v>4918.7260000000006</v>
      </c>
      <c r="V26" s="752">
        <f t="shared" si="68"/>
        <v>4918.7260000000006</v>
      </c>
      <c r="W26" s="752">
        <f t="shared" si="68"/>
        <v>4918.7260000000006</v>
      </c>
      <c r="X26" s="752">
        <f t="shared" si="68"/>
        <v>4918.7260000000006</v>
      </c>
      <c r="Y26" s="752">
        <f t="shared" si="68"/>
        <v>4918.7260000000006</v>
      </c>
      <c r="Z26" s="752">
        <f t="shared" si="68"/>
        <v>4918.7260000000006</v>
      </c>
      <c r="AA26" s="752">
        <f t="shared" si="68"/>
        <v>4918.7260000000006</v>
      </c>
      <c r="AB26" s="347"/>
      <c r="AC26" s="347"/>
      <c r="AD26" s="347"/>
      <c r="AE26" s="347"/>
      <c r="AF26" s="347"/>
      <c r="AG26" s="347"/>
      <c r="AH26" s="347"/>
      <c r="BY26" s="486"/>
      <c r="BZ26" s="487"/>
    </row>
    <row r="27" spans="1:78" s="349" customFormat="1" ht="13">
      <c r="A27" s="870"/>
      <c r="B27" s="407" t="s">
        <v>569</v>
      </c>
      <c r="C27" s="752"/>
      <c r="D27" s="752"/>
      <c r="E27" s="752"/>
      <c r="F27" s="752"/>
      <c r="G27" s="752"/>
      <c r="H27" s="752"/>
      <c r="I27" s="752"/>
      <c r="J27" s="752"/>
      <c r="K27" s="752"/>
      <c r="L27" s="752"/>
      <c r="M27" s="752"/>
      <c r="N27" s="818">
        <f>N213</f>
        <v>1248.9590000000001</v>
      </c>
      <c r="O27" s="818">
        <f t="shared" ref="O27:Y27" si="70">O213</f>
        <v>1997.4880000000001</v>
      </c>
      <c r="P27" s="818">
        <f t="shared" si="70"/>
        <v>4666.5450000000001</v>
      </c>
      <c r="Q27" s="818">
        <f t="shared" si="70"/>
        <v>4531.3270000000002</v>
      </c>
      <c r="R27" s="818">
        <f t="shared" si="70"/>
        <v>5296.5649999999996</v>
      </c>
      <c r="S27" s="818">
        <f t="shared" ref="S27:T27" si="71">S213</f>
        <v>6022.8360000000002</v>
      </c>
      <c r="T27" s="818">
        <f t="shared" si="71"/>
        <v>5368.8710000000001</v>
      </c>
      <c r="U27" s="818">
        <f t="shared" ref="U27" si="72">U213</f>
        <v>9093.4310000000005</v>
      </c>
      <c r="V27" s="814">
        <f t="shared" si="70"/>
        <v>9093.4310000000005</v>
      </c>
      <c r="W27" s="814">
        <f t="shared" si="70"/>
        <v>9093.4310000000005</v>
      </c>
      <c r="X27" s="814">
        <f t="shared" si="70"/>
        <v>9093.4310000000005</v>
      </c>
      <c r="Y27" s="814">
        <f t="shared" si="70"/>
        <v>9093.4310000000005</v>
      </c>
      <c r="Z27" s="814">
        <f t="shared" ref="Z27:AA27" si="73">Z213</f>
        <v>9093.4310000000005</v>
      </c>
      <c r="AA27" s="814">
        <f t="shared" si="73"/>
        <v>9093.4310000000005</v>
      </c>
      <c r="AB27" s="347"/>
      <c r="AC27" s="347"/>
      <c r="AD27" s="347"/>
      <c r="AE27" s="347"/>
      <c r="AF27" s="347"/>
      <c r="AG27" s="347"/>
      <c r="AH27" s="347"/>
      <c r="BY27" s="486"/>
      <c r="BZ27" s="487"/>
    </row>
    <row r="28" spans="1:78" s="349" customFormat="1" ht="13">
      <c r="A28" s="870"/>
      <c r="B28" s="407" t="s">
        <v>127</v>
      </c>
      <c r="C28" s="752"/>
      <c r="D28" s="752"/>
      <c r="E28" s="752"/>
      <c r="F28" s="752"/>
      <c r="G28" s="752"/>
      <c r="H28" s="752"/>
      <c r="I28" s="752"/>
      <c r="J28" s="752"/>
      <c r="K28" s="752">
        <f>K251</f>
        <v>3044</v>
      </c>
      <c r="L28" s="752">
        <f>L251</f>
        <v>1529</v>
      </c>
      <c r="M28" s="752">
        <f t="shared" ref="M28:R28" si="74">M251</f>
        <v>1100</v>
      </c>
      <c r="N28" s="752">
        <f t="shared" si="74"/>
        <v>765.26400000000001</v>
      </c>
      <c r="O28" s="752">
        <f t="shared" si="74"/>
        <v>568.5</v>
      </c>
      <c r="P28" s="752">
        <f t="shared" si="74"/>
        <v>202.71100000000001</v>
      </c>
      <c r="Q28" s="752">
        <f t="shared" si="74"/>
        <v>127.911</v>
      </c>
      <c r="R28" s="752">
        <f t="shared" si="74"/>
        <v>65.944000000000003</v>
      </c>
      <c r="S28" s="752">
        <f t="shared" ref="S28" si="75">S251</f>
        <v>52.582000000000001</v>
      </c>
      <c r="T28" s="752">
        <f t="shared" ref="T28:Y28" si="76">T251</f>
        <v>17.324000000000002</v>
      </c>
      <c r="U28" s="752"/>
      <c r="V28" s="752">
        <f t="shared" si="76"/>
        <v>17.324000000000002</v>
      </c>
      <c r="W28" s="752">
        <f t="shared" si="76"/>
        <v>17.324000000000002</v>
      </c>
      <c r="X28" s="752">
        <f t="shared" si="76"/>
        <v>17.324000000000002</v>
      </c>
      <c r="Y28" s="752">
        <f t="shared" si="76"/>
        <v>17.324000000000002</v>
      </c>
      <c r="Z28" s="752">
        <f t="shared" ref="Z28:AA28" si="77">Z251</f>
        <v>17.324000000000002</v>
      </c>
      <c r="AA28" s="752">
        <f t="shared" si="77"/>
        <v>17.324000000000002</v>
      </c>
      <c r="AB28" s="347"/>
      <c r="AC28" s="347"/>
      <c r="AD28" s="347"/>
      <c r="AE28" s="347"/>
      <c r="AF28" s="347"/>
      <c r="AG28" s="364"/>
      <c r="AH28" s="364"/>
      <c r="BY28" s="486"/>
      <c r="BZ28" s="487"/>
    </row>
    <row r="29" spans="1:78" s="349" customFormat="1" ht="13">
      <c r="A29" s="870"/>
      <c r="B29" s="462" t="s">
        <v>128</v>
      </c>
      <c r="C29" s="755">
        <f t="shared" ref="C29:Q29" si="78">SUM(C23:C28)</f>
        <v>7020</v>
      </c>
      <c r="D29" s="755">
        <f t="shared" si="78"/>
        <v>5678</v>
      </c>
      <c r="E29" s="755">
        <f t="shared" si="78"/>
        <v>6009</v>
      </c>
      <c r="F29" s="755">
        <f t="shared" si="78"/>
        <v>4563</v>
      </c>
      <c r="G29" s="755">
        <f t="shared" si="78"/>
        <v>8728</v>
      </c>
      <c r="H29" s="755">
        <f t="shared" si="78"/>
        <v>8740</v>
      </c>
      <c r="I29" s="755">
        <f t="shared" si="78"/>
        <v>7931</v>
      </c>
      <c r="J29" s="755">
        <f t="shared" si="78"/>
        <v>15399</v>
      </c>
      <c r="K29" s="755">
        <f>SUM(K23:K28)</f>
        <v>15748</v>
      </c>
      <c r="L29" s="755">
        <f t="shared" si="78"/>
        <v>14477</v>
      </c>
      <c r="M29" s="755">
        <f t="shared" si="78"/>
        <v>15227</v>
      </c>
      <c r="N29" s="755">
        <f t="shared" si="78"/>
        <v>15733.294</v>
      </c>
      <c r="O29" s="755">
        <f t="shared" si="78"/>
        <v>21292.684000000001</v>
      </c>
      <c r="P29" s="755">
        <f t="shared" si="78"/>
        <v>18857.026000000002</v>
      </c>
      <c r="Q29" s="755">
        <f t="shared" si="78"/>
        <v>20953.920999999998</v>
      </c>
      <c r="R29" s="755">
        <f t="shared" ref="R29:Y29" si="79">SUM(R23:R28)</f>
        <v>26350.5</v>
      </c>
      <c r="S29" s="755">
        <f t="shared" ref="S29" si="80">SUM(S23:S28)</f>
        <v>20141.984</v>
      </c>
      <c r="T29" s="755">
        <f t="shared" si="79"/>
        <v>21016.638999999999</v>
      </c>
      <c r="U29" s="755"/>
      <c r="V29" s="755">
        <f t="shared" si="79"/>
        <v>27718.732885147048</v>
      </c>
      <c r="W29" s="755">
        <f t="shared" si="79"/>
        <v>28777.528577325145</v>
      </c>
      <c r="X29" s="755">
        <f t="shared" si="79"/>
        <v>29231.512372927311</v>
      </c>
      <c r="Y29" s="755">
        <f t="shared" si="79"/>
        <v>29704.637103640071</v>
      </c>
      <c r="Z29" s="755">
        <f t="shared" ref="Z29:AA29" si="81">SUM(Z23:Z28)</f>
        <v>30197.708300888746</v>
      </c>
      <c r="AA29" s="755">
        <f t="shared" si="81"/>
        <v>30711.565704114942</v>
      </c>
      <c r="AB29" s="364"/>
      <c r="AC29" s="364"/>
      <c r="AD29" s="364"/>
      <c r="AE29" s="364"/>
      <c r="AF29" s="364"/>
      <c r="AG29" s="347"/>
      <c r="AH29" s="347"/>
      <c r="BY29" s="486"/>
      <c r="BZ29" s="487"/>
    </row>
    <row r="30" spans="1:78" s="349" customFormat="1" ht="13">
      <c r="A30" s="870"/>
      <c r="B30" s="407"/>
      <c r="C30" s="752"/>
      <c r="D30" s="752"/>
      <c r="E30" s="752"/>
      <c r="F30" s="752"/>
      <c r="G30" s="752"/>
      <c r="H30" s="752"/>
      <c r="I30" s="752"/>
      <c r="J30" s="752"/>
      <c r="K30" s="752"/>
      <c r="L30" s="752"/>
      <c r="M30" s="752"/>
      <c r="N30" s="752"/>
      <c r="O30" s="752"/>
      <c r="P30" s="752"/>
      <c r="Q30" s="752"/>
      <c r="R30" s="752"/>
      <c r="S30" s="752"/>
      <c r="T30" s="752"/>
      <c r="U30" s="752"/>
      <c r="V30" s="752"/>
      <c r="W30" s="752"/>
      <c r="X30" s="752"/>
      <c r="Y30" s="752"/>
      <c r="Z30" s="752"/>
      <c r="AA30" s="752"/>
      <c r="AB30" s="347"/>
      <c r="AC30" s="347"/>
      <c r="AD30" s="347"/>
      <c r="AE30" s="347"/>
      <c r="AF30" s="347"/>
      <c r="AG30" s="347"/>
      <c r="AH30" s="347"/>
      <c r="BY30" s="486"/>
      <c r="BZ30" s="487"/>
    </row>
    <row r="31" spans="1:78" s="349" customFormat="1" ht="13">
      <c r="A31" s="870"/>
      <c r="B31" s="407" t="s">
        <v>129</v>
      </c>
      <c r="C31" s="752">
        <f t="shared" ref="C31:U31" si="82">C198</f>
        <v>6340</v>
      </c>
      <c r="D31" s="752">
        <f t="shared" si="82"/>
        <v>17661</v>
      </c>
      <c r="E31" s="752">
        <f t="shared" si="82"/>
        <v>11287</v>
      </c>
      <c r="F31" s="752">
        <f t="shared" si="82"/>
        <v>9201</v>
      </c>
      <c r="G31" s="752">
        <f t="shared" si="82"/>
        <v>6906</v>
      </c>
      <c r="H31" s="752">
        <f t="shared" si="82"/>
        <v>9213</v>
      </c>
      <c r="I31" s="752">
        <f t="shared" si="82"/>
        <v>14697</v>
      </c>
      <c r="J31" s="752">
        <f t="shared" si="82"/>
        <v>25707</v>
      </c>
      <c r="K31" s="752">
        <f t="shared" si="82"/>
        <v>23031</v>
      </c>
      <c r="L31" s="752">
        <f t="shared" si="82"/>
        <v>11026</v>
      </c>
      <c r="M31" s="752">
        <f t="shared" si="82"/>
        <v>10980</v>
      </c>
      <c r="N31" s="752">
        <f t="shared" si="82"/>
        <v>11234.550999999999</v>
      </c>
      <c r="O31" s="752">
        <f t="shared" si="82"/>
        <v>7347.8149999999996</v>
      </c>
      <c r="P31" s="752">
        <f t="shared" si="82"/>
        <v>7772.6319999999996</v>
      </c>
      <c r="Q31" s="752">
        <f t="shared" si="82"/>
        <v>8527.1460000000006</v>
      </c>
      <c r="R31" s="752">
        <f t="shared" si="82"/>
        <v>6487.7219999999998</v>
      </c>
      <c r="S31" s="752">
        <f t="shared" si="82"/>
        <v>9250.7340000000004</v>
      </c>
      <c r="T31" s="752">
        <f t="shared" si="82"/>
        <v>8772.0760000000009</v>
      </c>
      <c r="U31" s="752">
        <f t="shared" si="82"/>
        <v>18270.052</v>
      </c>
      <c r="V31" s="752">
        <f t="shared" ref="V31:AA31" si="83">V198</f>
        <v>30375.99451852819</v>
      </c>
      <c r="W31" s="752">
        <f t="shared" si="83"/>
        <v>30263.511872226991</v>
      </c>
      <c r="X31" s="752">
        <f t="shared" si="83"/>
        <v>30481.538416537682</v>
      </c>
      <c r="Y31" s="752">
        <f t="shared" si="83"/>
        <v>30664.962751183892</v>
      </c>
      <c r="Z31" s="752">
        <f t="shared" si="83"/>
        <v>31113.322891424694</v>
      </c>
      <c r="AA31" s="752">
        <f t="shared" si="83"/>
        <v>32013.385594825566</v>
      </c>
      <c r="AB31" s="347"/>
      <c r="AC31" s="347"/>
      <c r="AD31" s="347"/>
      <c r="AE31" s="347"/>
      <c r="AF31" s="347"/>
      <c r="AG31" s="347"/>
      <c r="AH31" s="347"/>
      <c r="BY31" s="486"/>
      <c r="BZ31" s="487"/>
    </row>
    <row r="32" spans="1:78" s="349" customFormat="1" ht="13">
      <c r="A32" s="870"/>
      <c r="B32" s="407" t="s">
        <v>570</v>
      </c>
      <c r="C32" s="752"/>
      <c r="D32" s="752"/>
      <c r="E32" s="752"/>
      <c r="F32" s="752"/>
      <c r="G32" s="752"/>
      <c r="H32" s="752"/>
      <c r="I32" s="752"/>
      <c r="J32" s="752"/>
      <c r="K32" s="752"/>
      <c r="L32" s="752"/>
      <c r="M32" s="752"/>
      <c r="N32" s="818">
        <f t="shared" ref="N32:Y32" si="84">N220</f>
        <v>9258.3320000000003</v>
      </c>
      <c r="O32" s="818">
        <f t="shared" si="84"/>
        <v>12122.37</v>
      </c>
      <c r="P32" s="818">
        <f t="shared" si="84"/>
        <v>19613.02</v>
      </c>
      <c r="Q32" s="818">
        <f t="shared" si="84"/>
        <v>20845.080000000002</v>
      </c>
      <c r="R32" s="818">
        <f t="shared" si="84"/>
        <v>26553.293000000001</v>
      </c>
      <c r="S32" s="818">
        <f t="shared" ref="S32:U32" si="85">S220</f>
        <v>29790.61</v>
      </c>
      <c r="T32" s="818">
        <f t="shared" si="85"/>
        <v>28225.767</v>
      </c>
      <c r="U32" s="818">
        <f t="shared" si="85"/>
        <v>31075.835999999999</v>
      </c>
      <c r="V32" s="814">
        <f t="shared" si="84"/>
        <v>28609.707758514131</v>
      </c>
      <c r="W32" s="814">
        <f t="shared" si="84"/>
        <v>25864.451492868262</v>
      </c>
      <c r="X32" s="814">
        <f t="shared" si="84"/>
        <v>22999.512458579458</v>
      </c>
      <c r="Y32" s="814">
        <f t="shared" si="84"/>
        <v>20009.844572217778</v>
      </c>
      <c r="Z32" s="814">
        <f t="shared" ref="Z32:AA32" si="86">Z220</f>
        <v>16890.189389841413</v>
      </c>
      <c r="AA32" s="814">
        <f t="shared" si="86"/>
        <v>13635.067088811164</v>
      </c>
      <c r="AB32" s="347"/>
      <c r="AC32" s="347"/>
      <c r="AD32" s="347"/>
      <c r="AE32" s="347"/>
      <c r="AF32" s="347"/>
      <c r="AG32" s="347"/>
      <c r="AH32" s="347"/>
      <c r="BY32" s="486"/>
      <c r="BZ32" s="487"/>
    </row>
    <row r="33" spans="1:78" s="349" customFormat="1" ht="13">
      <c r="A33" s="870"/>
      <c r="B33" s="407" t="s">
        <v>130</v>
      </c>
      <c r="C33" s="752">
        <f t="shared" ref="C33:Q33" si="87">C284</f>
        <v>0</v>
      </c>
      <c r="D33" s="752">
        <f t="shared" si="87"/>
        <v>0</v>
      </c>
      <c r="E33" s="752">
        <f t="shared" si="87"/>
        <v>0</v>
      </c>
      <c r="F33" s="752">
        <f t="shared" si="87"/>
        <v>0</v>
      </c>
      <c r="G33" s="752">
        <f t="shared" si="87"/>
        <v>0</v>
      </c>
      <c r="H33" s="752">
        <f t="shared" si="87"/>
        <v>0</v>
      </c>
      <c r="I33" s="752">
        <f t="shared" si="87"/>
        <v>0</v>
      </c>
      <c r="J33" s="752">
        <f t="shared" si="87"/>
        <v>0</v>
      </c>
      <c r="K33" s="752">
        <f t="shared" si="87"/>
        <v>1137</v>
      </c>
      <c r="L33" s="752">
        <f t="shared" si="87"/>
        <v>955</v>
      </c>
      <c r="M33" s="752">
        <f t="shared" si="87"/>
        <v>810</v>
      </c>
      <c r="N33" s="752">
        <f t="shared" si="87"/>
        <v>0</v>
      </c>
      <c r="O33" s="752">
        <f t="shared" si="87"/>
        <v>0</v>
      </c>
      <c r="P33" s="752">
        <f t="shared" ref="P33" si="88">P284</f>
        <v>0</v>
      </c>
      <c r="Q33" s="752">
        <f t="shared" si="87"/>
        <v>338.82900000000001</v>
      </c>
      <c r="R33" s="752">
        <f t="shared" ref="R33:Y33" si="89">R284</f>
        <v>532.601</v>
      </c>
      <c r="S33" s="752">
        <f t="shared" ref="S33" si="90">S284</f>
        <v>609.71900000000005</v>
      </c>
      <c r="T33" s="752">
        <f t="shared" si="89"/>
        <v>608.19200000000001</v>
      </c>
      <c r="U33" s="752"/>
      <c r="V33" s="752">
        <f t="shared" si="89"/>
        <v>608.19200000000001</v>
      </c>
      <c r="W33" s="752">
        <f t="shared" si="89"/>
        <v>608.19200000000001</v>
      </c>
      <c r="X33" s="752">
        <f t="shared" si="89"/>
        <v>608.19200000000001</v>
      </c>
      <c r="Y33" s="752">
        <f t="shared" si="89"/>
        <v>608.19200000000001</v>
      </c>
      <c r="Z33" s="752">
        <f t="shared" ref="Z33:AA33" si="91">Z284</f>
        <v>608.19200000000001</v>
      </c>
      <c r="AA33" s="752">
        <f t="shared" si="91"/>
        <v>608.19200000000001</v>
      </c>
      <c r="AB33" s="347"/>
      <c r="AC33" s="347"/>
      <c r="AD33" s="347"/>
      <c r="AE33" s="347"/>
      <c r="AF33" s="347"/>
      <c r="AG33" s="347"/>
      <c r="AH33" s="347"/>
      <c r="BY33" s="486"/>
      <c r="BZ33" s="487"/>
    </row>
    <row r="34" spans="1:78" s="349" customFormat="1" ht="13">
      <c r="A34" s="870"/>
      <c r="B34" s="407" t="s">
        <v>593</v>
      </c>
      <c r="C34" s="818">
        <v>976</v>
      </c>
      <c r="D34" s="818">
        <v>746</v>
      </c>
      <c r="E34" s="818">
        <v>1281</v>
      </c>
      <c r="F34" s="818">
        <v>1772</v>
      </c>
      <c r="G34" s="818">
        <v>1843</v>
      </c>
      <c r="H34" s="818">
        <v>2133</v>
      </c>
      <c r="I34" s="818">
        <v>2349</v>
      </c>
      <c r="J34" s="818">
        <v>8641</v>
      </c>
      <c r="K34" s="818">
        <f>2070+247+496+2023</f>
        <v>4836</v>
      </c>
      <c r="L34" s="818">
        <f>3165+252+445+3368+0.5</f>
        <v>7230.5</v>
      </c>
      <c r="M34" s="818">
        <f>4211+2742+244+478-2+1</f>
        <v>7674</v>
      </c>
      <c r="N34" s="818">
        <f>23537.562-N31-N32-N33</f>
        <v>3044.6790000000019</v>
      </c>
      <c r="O34" s="818">
        <f>22310.592-O31-O32-O33</f>
        <v>2840.4070000000011</v>
      </c>
      <c r="P34" s="818">
        <f>29750.405-P31-P32-P33</f>
        <v>2364.7530000000006</v>
      </c>
      <c r="Q34" s="818">
        <f>31710.616-Q31-Q32-Q33</f>
        <v>1999.5609999999995</v>
      </c>
      <c r="R34" s="818">
        <f>35153.054-R31-R32-R33</f>
        <v>1579.4379999999933</v>
      </c>
      <c r="S34" s="818">
        <f>41041.324-S31-S32-S33</f>
        <v>1390.2609999999995</v>
      </c>
      <c r="T34" s="818">
        <f>Inputs!BO101-T31-T32-T33</f>
        <v>1333.5189999999957</v>
      </c>
      <c r="U34" s="818"/>
      <c r="V34" s="814">
        <f>T34</f>
        <v>1333.5189999999957</v>
      </c>
      <c r="W34" s="814">
        <f t="shared" ref="W34:Y34" si="92">V34</f>
        <v>1333.5189999999957</v>
      </c>
      <c r="X34" s="814">
        <f t="shared" si="92"/>
        <v>1333.5189999999957</v>
      </c>
      <c r="Y34" s="814">
        <f t="shared" si="92"/>
        <v>1333.5189999999957</v>
      </c>
      <c r="Z34" s="814">
        <f t="shared" ref="Z34" si="93">Y34</f>
        <v>1333.5189999999957</v>
      </c>
      <c r="AA34" s="814">
        <f t="shared" ref="AA34" si="94">Z34</f>
        <v>1333.5189999999957</v>
      </c>
      <c r="AB34" s="347"/>
      <c r="AC34" s="347"/>
      <c r="AD34" s="347"/>
      <c r="AE34" s="347"/>
      <c r="AF34" s="347"/>
      <c r="AG34" s="364"/>
      <c r="AH34" s="364"/>
      <c r="BY34" s="486"/>
      <c r="BZ34" s="487"/>
    </row>
    <row r="35" spans="1:78" s="349" customFormat="1" ht="13">
      <c r="A35" s="870"/>
      <c r="B35" s="462" t="s">
        <v>131</v>
      </c>
      <c r="C35" s="755">
        <f t="shared" ref="C35:Q35" si="95">SUM(C29:C34)</f>
        <v>14336</v>
      </c>
      <c r="D35" s="755">
        <f t="shared" si="95"/>
        <v>24085</v>
      </c>
      <c r="E35" s="755">
        <f t="shared" si="95"/>
        <v>18577</v>
      </c>
      <c r="F35" s="755">
        <f t="shared" si="95"/>
        <v>15536</v>
      </c>
      <c r="G35" s="755">
        <f t="shared" si="95"/>
        <v>17477</v>
      </c>
      <c r="H35" s="755">
        <f t="shared" si="95"/>
        <v>20086</v>
      </c>
      <c r="I35" s="755">
        <f t="shared" si="95"/>
        <v>24977</v>
      </c>
      <c r="J35" s="755">
        <f t="shared" si="95"/>
        <v>49747</v>
      </c>
      <c r="K35" s="755">
        <f t="shared" si="95"/>
        <v>44752</v>
      </c>
      <c r="L35" s="755">
        <f t="shared" si="95"/>
        <v>33688.5</v>
      </c>
      <c r="M35" s="755">
        <f t="shared" si="95"/>
        <v>34691</v>
      </c>
      <c r="N35" s="755">
        <f t="shared" si="95"/>
        <v>39270.856000000007</v>
      </c>
      <c r="O35" s="755">
        <f t="shared" si="95"/>
        <v>43603.275999999998</v>
      </c>
      <c r="P35" s="755">
        <f t="shared" ref="P35" si="96">SUM(P29:P34)</f>
        <v>48607.430999999997</v>
      </c>
      <c r="Q35" s="755">
        <f t="shared" si="95"/>
        <v>52664.536999999997</v>
      </c>
      <c r="R35" s="755">
        <f t="shared" ref="R35:Y35" si="97">SUM(R29:R34)</f>
        <v>61503.553999999996</v>
      </c>
      <c r="S35" s="755">
        <f t="shared" ref="S35" si="98">SUM(S29:S34)</f>
        <v>61183.307999999997</v>
      </c>
      <c r="T35" s="755">
        <f t="shared" si="97"/>
        <v>59956.192999999999</v>
      </c>
      <c r="U35" s="755"/>
      <c r="V35" s="755">
        <f t="shared" si="97"/>
        <v>88646.146162189354</v>
      </c>
      <c r="W35" s="755">
        <f t="shared" si="97"/>
        <v>86847.202942420394</v>
      </c>
      <c r="X35" s="755">
        <f t="shared" si="97"/>
        <v>84654.274248044443</v>
      </c>
      <c r="Y35" s="755">
        <f t="shared" si="97"/>
        <v>82321.15542704174</v>
      </c>
      <c r="Z35" s="755">
        <f t="shared" ref="Z35:AA35" si="99">SUM(Z29:Z34)</f>
        <v>80142.931582154852</v>
      </c>
      <c r="AA35" s="755">
        <f t="shared" si="99"/>
        <v>78301.729387751664</v>
      </c>
      <c r="AB35" s="364"/>
      <c r="AC35" s="364"/>
      <c r="AD35" s="364"/>
      <c r="AE35" s="364"/>
      <c r="AF35" s="364"/>
      <c r="AG35" s="347"/>
      <c r="AH35" s="347"/>
      <c r="BY35" s="486"/>
      <c r="BZ35" s="487"/>
    </row>
    <row r="36" spans="1:78" s="349" customFormat="1" ht="13">
      <c r="A36" s="870"/>
      <c r="B36" s="407" t="s">
        <v>132</v>
      </c>
      <c r="C36" s="818">
        <v>0</v>
      </c>
      <c r="D36" s="818">
        <v>0</v>
      </c>
      <c r="E36" s="818">
        <v>0</v>
      </c>
      <c r="F36" s="818">
        <v>0</v>
      </c>
      <c r="G36" s="818">
        <v>0</v>
      </c>
      <c r="H36" s="818">
        <v>0</v>
      </c>
      <c r="I36" s="818">
        <v>0</v>
      </c>
      <c r="J36" s="818">
        <v>0</v>
      </c>
      <c r="K36" s="818">
        <v>0</v>
      </c>
      <c r="L36" s="818">
        <v>0</v>
      </c>
      <c r="M36" s="818">
        <v>0</v>
      </c>
      <c r="N36" s="818">
        <v>0</v>
      </c>
      <c r="O36" s="818">
        <v>0</v>
      </c>
      <c r="P36" s="818">
        <v>0</v>
      </c>
      <c r="Q36" s="818">
        <v>0</v>
      </c>
      <c r="R36" s="818">
        <f>R301</f>
        <v>131.08000000000001</v>
      </c>
      <c r="S36" s="818">
        <f>S301</f>
        <v>144.41499999999999</v>
      </c>
      <c r="T36" s="818">
        <f>T301</f>
        <v>161.97999999999999</v>
      </c>
      <c r="U36" s="818"/>
      <c r="V36" s="814">
        <f t="shared" ref="V36:Y36" si="100">V301</f>
        <v>161.97999999999999</v>
      </c>
      <c r="W36" s="814">
        <f t="shared" si="100"/>
        <v>161.97999999999999</v>
      </c>
      <c r="X36" s="814">
        <f t="shared" si="100"/>
        <v>161.97999999999999</v>
      </c>
      <c r="Y36" s="814">
        <f t="shared" si="100"/>
        <v>161.97999999999999</v>
      </c>
      <c r="Z36" s="814">
        <f t="shared" ref="Z36:AA36" si="101">Z301</f>
        <v>161.97999999999999</v>
      </c>
      <c r="AA36" s="814">
        <f t="shared" si="101"/>
        <v>161.97999999999999</v>
      </c>
      <c r="AB36" s="347"/>
      <c r="AC36" s="347"/>
      <c r="AD36" s="347"/>
      <c r="AE36" s="347"/>
      <c r="AF36" s="347"/>
      <c r="AG36" s="347"/>
      <c r="AH36" s="347"/>
      <c r="BY36" s="486"/>
      <c r="BZ36" s="487"/>
    </row>
    <row r="37" spans="1:78" s="349" customFormat="1" ht="13">
      <c r="A37" s="870"/>
      <c r="B37" s="407" t="s">
        <v>133</v>
      </c>
      <c r="C37" s="752">
        <f t="shared" ref="C37:Y37" si="102">C310</f>
        <v>709</v>
      </c>
      <c r="D37" s="752">
        <f t="shared" si="102"/>
        <v>709</v>
      </c>
      <c r="E37" s="752">
        <f t="shared" si="102"/>
        <v>850.8</v>
      </c>
      <c r="F37" s="752">
        <f t="shared" si="102"/>
        <v>850.8</v>
      </c>
      <c r="G37" s="752">
        <f t="shared" si="102"/>
        <v>850.8</v>
      </c>
      <c r="H37" s="752">
        <f t="shared" si="102"/>
        <v>850.8</v>
      </c>
      <c r="I37" s="752">
        <f t="shared" si="102"/>
        <v>850.8</v>
      </c>
      <c r="J37" s="752">
        <f t="shared" si="102"/>
        <v>850.8</v>
      </c>
      <c r="K37" s="752">
        <f t="shared" si="102"/>
        <v>854.1</v>
      </c>
      <c r="L37" s="752">
        <f t="shared" si="102"/>
        <v>1068.8</v>
      </c>
      <c r="M37" s="752">
        <f t="shared" si="102"/>
        <v>1068.8</v>
      </c>
      <c r="N37" s="752">
        <f t="shared" si="102"/>
        <v>1068.7959999999998</v>
      </c>
      <c r="O37" s="752">
        <f t="shared" si="102"/>
        <v>1068.7959999999998</v>
      </c>
      <c r="P37" s="752">
        <f t="shared" si="102"/>
        <v>1070.6010000000001</v>
      </c>
      <c r="Q37" s="752">
        <f t="shared" si="102"/>
        <v>1072.4670000000001</v>
      </c>
      <c r="R37" s="752">
        <f t="shared" si="102"/>
        <v>1312.8430000000001</v>
      </c>
      <c r="S37" s="752">
        <f t="shared" ref="S37" si="103">S310</f>
        <v>1312.8430000000001</v>
      </c>
      <c r="T37" s="752">
        <f t="shared" si="102"/>
        <v>1312.8430000000001</v>
      </c>
      <c r="U37" s="752"/>
      <c r="V37" s="752">
        <f t="shared" si="102"/>
        <v>1312.8430000000001</v>
      </c>
      <c r="W37" s="752">
        <f t="shared" si="102"/>
        <v>1312.8430000000001</v>
      </c>
      <c r="X37" s="752">
        <f t="shared" si="102"/>
        <v>1312.8430000000001</v>
      </c>
      <c r="Y37" s="752">
        <f t="shared" si="102"/>
        <v>1312.8430000000001</v>
      </c>
      <c r="Z37" s="752">
        <f t="shared" ref="Z37:AA37" si="104">Z310</f>
        <v>1312.8430000000001</v>
      </c>
      <c r="AA37" s="752">
        <f t="shared" si="104"/>
        <v>1312.8430000000001</v>
      </c>
      <c r="AB37" s="347"/>
      <c r="AC37" s="347"/>
      <c r="AD37" s="347"/>
      <c r="AE37" s="347"/>
      <c r="AF37" s="347"/>
      <c r="AG37" s="347"/>
      <c r="AH37" s="347"/>
      <c r="BY37" s="486"/>
      <c r="BZ37" s="487"/>
    </row>
    <row r="38" spans="1:78" s="349" customFormat="1" ht="13">
      <c r="A38" s="870"/>
      <c r="B38" s="407" t="s">
        <v>134</v>
      </c>
      <c r="C38" s="752">
        <f>C317</f>
        <v>0</v>
      </c>
      <c r="D38" s="752">
        <f>D317</f>
        <v>0</v>
      </c>
      <c r="E38" s="752">
        <f>E317</f>
        <v>0</v>
      </c>
      <c r="F38" s="752"/>
      <c r="G38" s="752"/>
      <c r="H38" s="752"/>
      <c r="I38" s="752"/>
      <c r="J38" s="752"/>
      <c r="K38" s="752"/>
      <c r="L38" s="752"/>
      <c r="M38" s="752"/>
      <c r="N38" s="752"/>
      <c r="O38" s="752"/>
      <c r="P38" s="752"/>
      <c r="Q38" s="752"/>
      <c r="R38" s="752">
        <f>25774.226-R36-R37-R39</f>
        <v>0</v>
      </c>
      <c r="S38" s="752">
        <f>26504.776-S36-S37-S39</f>
        <v>0</v>
      </c>
      <c r="T38" s="752"/>
      <c r="U38" s="752"/>
      <c r="V38" s="752"/>
      <c r="W38" s="752"/>
      <c r="X38" s="752"/>
      <c r="Y38" s="752"/>
      <c r="Z38" s="752"/>
      <c r="AA38" s="752"/>
      <c r="AB38" s="347"/>
      <c r="AC38" s="347"/>
      <c r="AD38" s="347"/>
      <c r="AE38" s="347"/>
      <c r="AF38" s="347"/>
      <c r="AG38" s="347"/>
      <c r="AH38" s="347"/>
      <c r="BY38" s="486"/>
      <c r="BZ38" s="487"/>
    </row>
    <row r="39" spans="1:78" s="349" customFormat="1" ht="13">
      <c r="A39" s="870"/>
      <c r="B39" s="407" t="s">
        <v>135</v>
      </c>
      <c r="C39" s="752">
        <f t="shared" ref="C39:J39" si="105">C323-C37</f>
        <v>3755</v>
      </c>
      <c r="D39" s="752">
        <f t="shared" si="105"/>
        <v>3600</v>
      </c>
      <c r="E39" s="752">
        <f t="shared" si="105"/>
        <v>7951.2</v>
      </c>
      <c r="F39" s="752">
        <f t="shared" si="105"/>
        <v>10864.2</v>
      </c>
      <c r="G39" s="752">
        <f t="shared" si="105"/>
        <v>12842.2</v>
      </c>
      <c r="H39" s="752">
        <f t="shared" si="105"/>
        <v>14519.2</v>
      </c>
      <c r="I39" s="752">
        <f t="shared" si="105"/>
        <v>20129.2</v>
      </c>
      <c r="J39" s="752">
        <f t="shared" si="105"/>
        <v>13109.2</v>
      </c>
      <c r="K39" s="752">
        <f>7604+5634</f>
        <v>13238</v>
      </c>
      <c r="L39" s="752">
        <f>12139+7999</f>
        <v>20138</v>
      </c>
      <c r="M39" s="752">
        <f t="shared" ref="M39:R39" si="106">M323</f>
        <v>20562</v>
      </c>
      <c r="N39" s="752">
        <f t="shared" si="106"/>
        <v>17274.302</v>
      </c>
      <c r="O39" s="752">
        <f t="shared" si="106"/>
        <v>18053.169999999998</v>
      </c>
      <c r="P39" s="752">
        <f t="shared" si="106"/>
        <v>18066.764999999999</v>
      </c>
      <c r="Q39" s="752">
        <f t="shared" si="106"/>
        <v>19016.278000000002</v>
      </c>
      <c r="R39" s="752">
        <f t="shared" si="106"/>
        <v>24330.303</v>
      </c>
      <c r="S39" s="752">
        <f t="shared" ref="S39" si="107">S323</f>
        <v>25047.517999999996</v>
      </c>
      <c r="T39" s="752">
        <f t="shared" ref="T39:Y39" si="108">T323</f>
        <v>24747.548999999999</v>
      </c>
      <c r="U39" s="752"/>
      <c r="V39" s="752">
        <f>V323</f>
        <v>22463.315673721245</v>
      </c>
      <c r="W39" s="752">
        <f t="shared" si="108"/>
        <v>23199.636362418023</v>
      </c>
      <c r="X39" s="752">
        <f t="shared" si="108"/>
        <v>24300.901627586041</v>
      </c>
      <c r="Y39" s="752">
        <f t="shared" si="108"/>
        <v>26480.903661375283</v>
      </c>
      <c r="Z39" s="752">
        <f t="shared" ref="Z39:AA39" si="109">Z323</f>
        <v>29265.936475055343</v>
      </c>
      <c r="AA39" s="752">
        <f t="shared" si="109"/>
        <v>32616.564273749693</v>
      </c>
      <c r="AB39" s="347"/>
      <c r="AC39" s="347"/>
      <c r="AD39" s="347"/>
      <c r="AE39" s="347"/>
      <c r="AF39" s="347"/>
      <c r="AG39" s="364"/>
      <c r="AH39" s="364"/>
      <c r="BY39" s="486"/>
      <c r="BZ39" s="487"/>
    </row>
    <row r="40" spans="1:78" s="349" customFormat="1" ht="13">
      <c r="A40" s="870"/>
      <c r="B40" s="462" t="s">
        <v>136</v>
      </c>
      <c r="C40" s="755">
        <f t="shared" ref="C40:Q40" si="110">SUM(C36:C39)</f>
        <v>4464</v>
      </c>
      <c r="D40" s="755">
        <f t="shared" si="110"/>
        <v>4309</v>
      </c>
      <c r="E40" s="755">
        <f t="shared" si="110"/>
        <v>8802</v>
      </c>
      <c r="F40" s="755">
        <f t="shared" si="110"/>
        <v>11715</v>
      </c>
      <c r="G40" s="755">
        <f t="shared" si="110"/>
        <v>13693</v>
      </c>
      <c r="H40" s="755">
        <f t="shared" si="110"/>
        <v>15370</v>
      </c>
      <c r="I40" s="755">
        <f t="shared" si="110"/>
        <v>20980</v>
      </c>
      <c r="J40" s="755">
        <f t="shared" si="110"/>
        <v>13960</v>
      </c>
      <c r="K40" s="755">
        <f t="shared" si="110"/>
        <v>14092.1</v>
      </c>
      <c r="L40" s="755">
        <f t="shared" si="110"/>
        <v>21206.799999999999</v>
      </c>
      <c r="M40" s="755">
        <f t="shared" si="110"/>
        <v>21630.799999999999</v>
      </c>
      <c r="N40" s="755">
        <f t="shared" si="110"/>
        <v>18343.097999999998</v>
      </c>
      <c r="O40" s="755">
        <f t="shared" si="110"/>
        <v>19121.965999999997</v>
      </c>
      <c r="P40" s="755">
        <f t="shared" si="110"/>
        <v>19137.365999999998</v>
      </c>
      <c r="Q40" s="755">
        <f t="shared" si="110"/>
        <v>20088.745000000003</v>
      </c>
      <c r="R40" s="755">
        <f t="shared" ref="R40:AA40" si="111">SUM(R36:R39)</f>
        <v>25774.225999999999</v>
      </c>
      <c r="S40" s="755">
        <f t="shared" ref="S40" si="112">SUM(S36:S39)</f>
        <v>26504.775999999998</v>
      </c>
      <c r="T40" s="755">
        <f t="shared" si="111"/>
        <v>26222.371999999999</v>
      </c>
      <c r="U40" s="755"/>
      <c r="V40" s="755">
        <f>SUM(V36:V39)</f>
        <v>23938.138673721245</v>
      </c>
      <c r="W40" s="755">
        <f t="shared" si="111"/>
        <v>24674.459362418023</v>
      </c>
      <c r="X40" s="755">
        <f t="shared" si="111"/>
        <v>25775.724627586042</v>
      </c>
      <c r="Y40" s="755">
        <f t="shared" si="111"/>
        <v>27955.726661375284</v>
      </c>
      <c r="Z40" s="755">
        <f t="shared" si="111"/>
        <v>30740.759475055344</v>
      </c>
      <c r="AA40" s="755">
        <f t="shared" si="111"/>
        <v>34091.387273749693</v>
      </c>
      <c r="AB40" s="364"/>
      <c r="AC40" s="364"/>
      <c r="AD40" s="364"/>
      <c r="AE40" s="364"/>
      <c r="AF40" s="364"/>
      <c r="AG40" s="347"/>
      <c r="AH40" s="347"/>
      <c r="BY40" s="486"/>
      <c r="BZ40" s="487"/>
    </row>
    <row r="41" spans="1:78" s="349" customFormat="1" ht="13">
      <c r="A41" s="870"/>
      <c r="B41" s="407"/>
      <c r="C41" s="752"/>
      <c r="D41" s="752"/>
      <c r="E41" s="752"/>
      <c r="F41" s="752"/>
      <c r="G41" s="752"/>
      <c r="H41" s="752"/>
      <c r="I41" s="752"/>
      <c r="J41" s="752"/>
      <c r="K41" s="752"/>
      <c r="L41" s="752"/>
      <c r="M41" s="752"/>
      <c r="N41" s="752"/>
      <c r="O41" s="752"/>
      <c r="P41" s="752"/>
      <c r="Q41" s="752"/>
      <c r="R41" s="752"/>
      <c r="S41" s="752"/>
      <c r="T41" s="752"/>
      <c r="U41" s="752"/>
      <c r="V41" s="752"/>
      <c r="W41" s="752"/>
      <c r="X41" s="752"/>
      <c r="Y41" s="752"/>
      <c r="Z41" s="752"/>
      <c r="AA41" s="752"/>
      <c r="AB41" s="347"/>
      <c r="AC41" s="347"/>
      <c r="AD41" s="347"/>
      <c r="AE41" s="347"/>
      <c r="AF41" s="347"/>
      <c r="AG41" s="347"/>
      <c r="AH41" s="347"/>
      <c r="BY41" s="486"/>
      <c r="BZ41" s="487"/>
    </row>
    <row r="42" spans="1:78" s="349" customFormat="1" ht="13.5" thickBot="1">
      <c r="A42" s="870"/>
      <c r="B42" s="571" t="s">
        <v>137</v>
      </c>
      <c r="C42" s="823">
        <f t="shared" ref="C42:Q42" si="113">C40+C35</f>
        <v>18800</v>
      </c>
      <c r="D42" s="823">
        <f t="shared" si="113"/>
        <v>28394</v>
      </c>
      <c r="E42" s="823">
        <f t="shared" si="113"/>
        <v>27379</v>
      </c>
      <c r="F42" s="823">
        <f t="shared" si="113"/>
        <v>27251</v>
      </c>
      <c r="G42" s="823">
        <f t="shared" si="113"/>
        <v>31170</v>
      </c>
      <c r="H42" s="823">
        <f t="shared" si="113"/>
        <v>35456</v>
      </c>
      <c r="I42" s="823">
        <f t="shared" si="113"/>
        <v>45957</v>
      </c>
      <c r="J42" s="823">
        <f t="shared" si="113"/>
        <v>63707</v>
      </c>
      <c r="K42" s="823">
        <f t="shared" si="113"/>
        <v>58844.1</v>
      </c>
      <c r="L42" s="823">
        <f t="shared" si="113"/>
        <v>54895.3</v>
      </c>
      <c r="M42" s="823">
        <f t="shared" si="113"/>
        <v>56321.8</v>
      </c>
      <c r="N42" s="823">
        <f t="shared" si="113"/>
        <v>57613.954000000005</v>
      </c>
      <c r="O42" s="823">
        <f t="shared" si="113"/>
        <v>62725.241999999998</v>
      </c>
      <c r="P42" s="823">
        <f t="shared" si="113"/>
        <v>67744.796999999991</v>
      </c>
      <c r="Q42" s="823">
        <f t="shared" si="113"/>
        <v>72753.282000000007</v>
      </c>
      <c r="R42" s="823">
        <f t="shared" ref="R42:Y42" si="114">R40+R35</f>
        <v>87277.78</v>
      </c>
      <c r="S42" s="823">
        <f t="shared" ref="S42" si="115">S40+S35</f>
        <v>87688.084000000003</v>
      </c>
      <c r="T42" s="823">
        <f t="shared" si="114"/>
        <v>86178.565000000002</v>
      </c>
      <c r="U42" s="823"/>
      <c r="V42" s="823">
        <f t="shared" si="114"/>
        <v>112584.2848359106</v>
      </c>
      <c r="W42" s="823">
        <f t="shared" si="114"/>
        <v>111521.66230483842</v>
      </c>
      <c r="X42" s="823">
        <f t="shared" si="114"/>
        <v>110429.99887563048</v>
      </c>
      <c r="Y42" s="823">
        <f t="shared" si="114"/>
        <v>110276.88208841703</v>
      </c>
      <c r="Z42" s="823">
        <f t="shared" ref="Z42:AA42" si="116">Z40+Z35</f>
        <v>110883.69105721019</v>
      </c>
      <c r="AA42" s="823">
        <f t="shared" si="116"/>
        <v>112393.11666150135</v>
      </c>
      <c r="AB42" s="347"/>
      <c r="AC42" s="347"/>
      <c r="AD42" s="347"/>
      <c r="AE42" s="347"/>
      <c r="AF42" s="347"/>
      <c r="AG42" s="347"/>
      <c r="AH42" s="347"/>
      <c r="BY42" s="486"/>
      <c r="BZ42" s="487"/>
    </row>
    <row r="43" spans="1:78" s="349" customFormat="1" ht="13.5" thickTop="1">
      <c r="A43" s="870"/>
      <c r="B43" s="414"/>
      <c r="C43" s="756"/>
      <c r="D43" s="756"/>
      <c r="E43" s="756"/>
      <c r="F43" s="756"/>
      <c r="G43" s="756"/>
      <c r="H43" s="756"/>
      <c r="I43" s="756"/>
      <c r="J43" s="756"/>
      <c r="K43" s="756"/>
      <c r="L43" s="756"/>
      <c r="M43" s="756"/>
      <c r="N43" s="756"/>
      <c r="O43" s="756"/>
      <c r="P43" s="756"/>
      <c r="Q43" s="756"/>
      <c r="R43" s="756"/>
      <c r="S43" s="756"/>
      <c r="T43" s="756"/>
      <c r="U43" s="756"/>
      <c r="V43" s="756"/>
      <c r="W43" s="756"/>
      <c r="X43" s="756"/>
      <c r="Y43" s="756"/>
      <c r="Z43" s="756"/>
      <c r="AA43" s="756"/>
      <c r="AB43" s="347"/>
      <c r="AC43" s="347"/>
      <c r="AD43" s="347"/>
      <c r="AE43" s="347"/>
      <c r="AF43" s="347"/>
      <c r="AG43" s="347"/>
      <c r="AH43" s="347"/>
      <c r="BY43" s="486"/>
      <c r="BZ43" s="487"/>
    </row>
    <row r="44" spans="1:78" s="349" customFormat="1" ht="13">
      <c r="A44" s="870"/>
      <c r="B44" s="629" t="s">
        <v>138</v>
      </c>
      <c r="C44" s="804">
        <f>ROUND(C42-C21,0)</f>
        <v>0</v>
      </c>
      <c r="D44" s="804">
        <f t="shared" ref="D44:Y44" si="117">ROUND(D42-D21,0)</f>
        <v>0</v>
      </c>
      <c r="E44" s="804">
        <f t="shared" si="117"/>
        <v>0</v>
      </c>
      <c r="F44" s="804">
        <f t="shared" si="117"/>
        <v>0</v>
      </c>
      <c r="G44" s="804">
        <f t="shared" si="117"/>
        <v>0</v>
      </c>
      <c r="H44" s="804">
        <f t="shared" si="117"/>
        <v>0</v>
      </c>
      <c r="I44" s="804">
        <f t="shared" si="117"/>
        <v>0</v>
      </c>
      <c r="J44" s="804">
        <f t="shared" si="117"/>
        <v>0</v>
      </c>
      <c r="K44" s="804">
        <f t="shared" si="117"/>
        <v>0</v>
      </c>
      <c r="L44" s="804">
        <f t="shared" si="117"/>
        <v>0</v>
      </c>
      <c r="M44" s="804">
        <f t="shared" si="117"/>
        <v>0</v>
      </c>
      <c r="N44" s="804">
        <f t="shared" si="117"/>
        <v>0</v>
      </c>
      <c r="O44" s="804">
        <f t="shared" si="117"/>
        <v>0</v>
      </c>
      <c r="P44" s="804">
        <f t="shared" si="117"/>
        <v>0</v>
      </c>
      <c r="Q44" s="804">
        <f t="shared" si="117"/>
        <v>0</v>
      </c>
      <c r="R44" s="804">
        <f>ROUND(R42-R21,0)</f>
        <v>0</v>
      </c>
      <c r="S44" s="804">
        <f>ROUND(S42-S21,0)</f>
        <v>0</v>
      </c>
      <c r="T44" s="804">
        <f t="shared" si="117"/>
        <v>0</v>
      </c>
      <c r="U44" s="804"/>
      <c r="V44" s="804">
        <f t="shared" si="117"/>
        <v>8392</v>
      </c>
      <c r="W44" s="804">
        <f t="shared" si="117"/>
        <v>8392</v>
      </c>
      <c r="X44" s="804">
        <f t="shared" si="117"/>
        <v>8392</v>
      </c>
      <c r="Y44" s="804">
        <f t="shared" si="117"/>
        <v>8392</v>
      </c>
      <c r="Z44" s="804">
        <f t="shared" ref="Z44:AA44" si="118">ROUND(Z42-Z21,0)</f>
        <v>8392</v>
      </c>
      <c r="AA44" s="804">
        <f t="shared" si="118"/>
        <v>8392</v>
      </c>
      <c r="AC44" s="623" t="s">
        <v>594</v>
      </c>
      <c r="AD44" s="347"/>
      <c r="AE44" s="347"/>
      <c r="AF44" s="347"/>
      <c r="AG44" s="347"/>
      <c r="AH44" s="347"/>
      <c r="BY44" s="486"/>
      <c r="BZ44" s="487"/>
    </row>
    <row r="45" spans="1:78" s="349" customFormat="1" ht="13">
      <c r="A45" s="870"/>
      <c r="B45" s="407"/>
      <c r="C45" s="540"/>
      <c r="D45" s="540"/>
      <c r="E45" s="540"/>
      <c r="F45" s="540"/>
      <c r="G45" s="540"/>
      <c r="H45" s="540"/>
      <c r="I45" s="540"/>
      <c r="J45" s="540"/>
      <c r="K45" s="540"/>
      <c r="L45" s="540"/>
      <c r="M45" s="540"/>
      <c r="N45" s="540"/>
      <c r="O45" s="540"/>
      <c r="P45" s="540"/>
      <c r="Q45" s="540"/>
      <c r="R45" s="540"/>
      <c r="S45" s="540"/>
      <c r="T45" s="540"/>
      <c r="U45" s="540"/>
      <c r="V45" s="540"/>
      <c r="W45" s="540"/>
      <c r="X45" s="540"/>
      <c r="Y45" s="540"/>
      <c r="Z45" s="540"/>
      <c r="AA45" s="540"/>
      <c r="AB45" s="623"/>
      <c r="AC45" s="347"/>
      <c r="AD45" s="347"/>
      <c r="AE45" s="347"/>
      <c r="AF45" s="347"/>
      <c r="AG45" s="347"/>
      <c r="AH45" s="347"/>
      <c r="BY45" s="486"/>
      <c r="BZ45" s="487"/>
    </row>
    <row r="46" spans="1:78" s="349" customFormat="1" ht="13">
      <c r="A46" s="870"/>
      <c r="B46" s="407" t="s">
        <v>734</v>
      </c>
      <c r="C46" s="752"/>
      <c r="D46" s="752"/>
      <c r="E46" s="752"/>
      <c r="F46" s="752"/>
      <c r="G46" s="752"/>
      <c r="H46" s="752"/>
      <c r="I46" s="752"/>
      <c r="J46" s="752"/>
      <c r="K46" s="752">
        <f t="shared" ref="K46:R46" si="119">K31+K26</f>
        <v>26953</v>
      </c>
      <c r="L46" s="752">
        <f t="shared" si="119"/>
        <v>14671</v>
      </c>
      <c r="M46" s="752">
        <f t="shared" si="119"/>
        <v>14751</v>
      </c>
      <c r="N46" s="752">
        <f t="shared" si="119"/>
        <v>12563.566999999999</v>
      </c>
      <c r="O46" s="752">
        <f t="shared" si="119"/>
        <v>12809.330999999998</v>
      </c>
      <c r="P46" s="752">
        <f t="shared" si="119"/>
        <v>9348.3339999999989</v>
      </c>
      <c r="Q46" s="752">
        <f t="shared" si="119"/>
        <v>10272.231</v>
      </c>
      <c r="R46" s="752">
        <f t="shared" si="119"/>
        <v>12109.914999999999</v>
      </c>
      <c r="S46" s="752">
        <f t="shared" ref="S46" si="120">S31+S26</f>
        <v>10104.588</v>
      </c>
      <c r="T46" s="752">
        <f t="shared" ref="T46" si="121">T31+T26</f>
        <v>12493.376</v>
      </c>
      <c r="U46" s="752">
        <f t="shared" ref="U46" si="122">U31+U26</f>
        <v>23188.777999999998</v>
      </c>
      <c r="V46" s="752">
        <f t="shared" ref="V46:Z46" si="123">V31+V26</f>
        <v>35294.720518528193</v>
      </c>
      <c r="W46" s="752">
        <f t="shared" si="123"/>
        <v>35182.237872226993</v>
      </c>
      <c r="X46" s="752">
        <f t="shared" si="123"/>
        <v>35400.264416537684</v>
      </c>
      <c r="Y46" s="752">
        <f t="shared" si="123"/>
        <v>35583.688751183894</v>
      </c>
      <c r="Z46" s="752">
        <f t="shared" si="123"/>
        <v>36032.048891424696</v>
      </c>
      <c r="AA46" s="752">
        <f>AA31+AA26</f>
        <v>36932.111594825568</v>
      </c>
      <c r="AB46" s="347"/>
      <c r="AD46" s="347"/>
      <c r="AE46" s="347"/>
      <c r="AF46" s="347"/>
      <c r="AG46" s="347"/>
      <c r="AH46" s="347"/>
      <c r="BY46" s="486"/>
      <c r="BZ46" s="487"/>
    </row>
    <row r="47" spans="1:78" s="349" customFormat="1" ht="13">
      <c r="A47" s="870"/>
      <c r="B47" s="407" t="s">
        <v>788</v>
      </c>
      <c r="C47" s="752"/>
      <c r="D47" s="752"/>
      <c r="E47" s="752"/>
      <c r="F47" s="752"/>
      <c r="G47" s="752"/>
      <c r="H47" s="752"/>
      <c r="I47" s="752"/>
      <c r="J47" s="752"/>
      <c r="K47" s="752">
        <f t="shared" ref="K47:R47" si="124">-K5</f>
        <v>-3312</v>
      </c>
      <c r="L47" s="752">
        <f t="shared" si="124"/>
        <v>-1400</v>
      </c>
      <c r="M47" s="752">
        <f t="shared" si="124"/>
        <v>-2455</v>
      </c>
      <c r="N47" s="752">
        <f t="shared" si="124"/>
        <v>-1047.115</v>
      </c>
      <c r="O47" s="752">
        <f t="shared" si="124"/>
        <v>-1603.4449999999999</v>
      </c>
      <c r="P47" s="752">
        <f t="shared" si="124"/>
        <v>-2965.5889999999999</v>
      </c>
      <c r="Q47" s="752">
        <f t="shared" si="124"/>
        <v>-2664.3870000000002</v>
      </c>
      <c r="R47" s="752">
        <f t="shared" si="124"/>
        <v>-5184.1130000000003</v>
      </c>
      <c r="S47" s="752">
        <f t="shared" ref="S47" si="125">-S5</f>
        <v>-966.02700000000004</v>
      </c>
      <c r="T47" s="752">
        <f t="shared" ref="T47" si="126">-T5</f>
        <v>-1386.6369999999999</v>
      </c>
      <c r="U47" s="752">
        <f t="shared" ref="U47" si="127">-U5</f>
        <v>-1198.549</v>
      </c>
      <c r="V47" s="752">
        <f t="shared" ref="V47:Y47" si="128">-V5</f>
        <v>-1712.5161907578859</v>
      </c>
      <c r="W47" s="752">
        <f t="shared" si="128"/>
        <v>-1906.3468491263427</v>
      </c>
      <c r="X47" s="752">
        <f t="shared" si="128"/>
        <v>-1989.4563466812094</v>
      </c>
      <c r="Y47" s="752">
        <f t="shared" si="128"/>
        <v>-2076.0699197453382</v>
      </c>
      <c r="Z47" s="752">
        <f>-Z5</f>
        <v>-2166.3350346218713</v>
      </c>
      <c r="AA47" s="752">
        <f>-AA5</f>
        <v>-2260.405419976335</v>
      </c>
      <c r="AB47" s="347"/>
      <c r="AD47" s="347"/>
      <c r="AE47" s="347"/>
      <c r="AF47" s="347"/>
      <c r="AG47" s="347"/>
      <c r="AH47" s="347"/>
      <c r="BY47" s="486"/>
      <c r="BZ47" s="487"/>
    </row>
    <row r="48" spans="1:78" s="349" customFormat="1" ht="13">
      <c r="A48" s="870"/>
      <c r="B48" s="454" t="s">
        <v>789</v>
      </c>
      <c r="C48" s="753"/>
      <c r="D48" s="753"/>
      <c r="E48" s="753"/>
      <c r="F48" s="753"/>
      <c r="G48" s="753"/>
      <c r="H48" s="753"/>
      <c r="I48" s="753"/>
      <c r="J48" s="753"/>
      <c r="K48" s="753">
        <f>SUM(K46:K47)</f>
        <v>23641</v>
      </c>
      <c r="L48" s="753">
        <f t="shared" ref="L48:R48" si="129">SUM(L46:L47)</f>
        <v>13271</v>
      </c>
      <c r="M48" s="753">
        <f t="shared" si="129"/>
        <v>12296</v>
      </c>
      <c r="N48" s="753">
        <f t="shared" si="129"/>
        <v>11516.451999999999</v>
      </c>
      <c r="O48" s="753">
        <f t="shared" si="129"/>
        <v>11205.885999999999</v>
      </c>
      <c r="P48" s="753">
        <f t="shared" si="129"/>
        <v>6382.744999999999</v>
      </c>
      <c r="Q48" s="753">
        <f t="shared" si="129"/>
        <v>7607.8439999999991</v>
      </c>
      <c r="R48" s="753">
        <f t="shared" si="129"/>
        <v>6925.8019999999988</v>
      </c>
      <c r="S48" s="753">
        <f t="shared" ref="S48" si="130">SUM(S46:S47)</f>
        <v>9138.5609999999997</v>
      </c>
      <c r="T48" s="753">
        <f t="shared" ref="T48" si="131">SUM(T46:T47)</f>
        <v>11106.739</v>
      </c>
      <c r="U48" s="753">
        <f t="shared" ref="U48" si="132">SUM(U46:U47)</f>
        <v>21990.228999999999</v>
      </c>
      <c r="V48" s="753">
        <f t="shared" ref="V48" si="133">SUM(V46:V47)</f>
        <v>33582.204327770305</v>
      </c>
      <c r="W48" s="753">
        <f t="shared" ref="W48" si="134">SUM(W46:W47)</f>
        <v>33275.891023100652</v>
      </c>
      <c r="X48" s="753">
        <f t="shared" ref="X48" si="135">SUM(X46:X47)</f>
        <v>33410.808069856474</v>
      </c>
      <c r="Y48" s="753">
        <f t="shared" ref="Y48" si="136">SUM(Y46:Y47)</f>
        <v>33507.618831438558</v>
      </c>
      <c r="Z48" s="753">
        <f t="shared" ref="Z48" si="137">SUM(Z46:Z47)</f>
        <v>33865.713856802824</v>
      </c>
      <c r="AA48" s="753">
        <f>SUM(AA46:AA47)</f>
        <v>34671.706174849234</v>
      </c>
      <c r="AB48" s="347"/>
      <c r="AD48" s="347"/>
      <c r="AE48" s="347"/>
      <c r="AF48" s="347"/>
      <c r="AG48" s="347"/>
      <c r="AH48" s="347"/>
      <c r="BY48" s="486"/>
      <c r="BZ48" s="487"/>
    </row>
    <row r="49" spans="1:78" s="349" customFormat="1" ht="13">
      <c r="A49" s="870"/>
      <c r="B49" s="629" t="s">
        <v>792</v>
      </c>
      <c r="C49" s="804">
        <f t="shared" ref="C49:N49" si="138">C31+C26-C5</f>
        <v>8857</v>
      </c>
      <c r="D49" s="804">
        <f t="shared" si="138"/>
        <v>17770</v>
      </c>
      <c r="E49" s="804">
        <f t="shared" si="138"/>
        <v>13015</v>
      </c>
      <c r="F49" s="804">
        <f t="shared" si="138"/>
        <v>9812</v>
      </c>
      <c r="G49" s="804">
        <f t="shared" si="138"/>
        <v>9728</v>
      </c>
      <c r="H49" s="804">
        <f t="shared" si="138"/>
        <v>12727</v>
      </c>
      <c r="I49" s="804">
        <f t="shared" si="138"/>
        <v>16504</v>
      </c>
      <c r="J49" s="804">
        <f t="shared" si="138"/>
        <v>22678</v>
      </c>
      <c r="K49" s="804">
        <f t="shared" si="138"/>
        <v>23641</v>
      </c>
      <c r="L49" s="804">
        <f t="shared" si="138"/>
        <v>13271</v>
      </c>
      <c r="M49" s="804">
        <f t="shared" si="138"/>
        <v>12296</v>
      </c>
      <c r="N49" s="804">
        <f t="shared" si="138"/>
        <v>11516.451999999999</v>
      </c>
      <c r="O49" s="804">
        <f t="shared" ref="O49:AA49" si="139">O31+O32+O26+O27-O5</f>
        <v>25325.744000000002</v>
      </c>
      <c r="P49" s="804">
        <f t="shared" si="139"/>
        <v>30662.310000000005</v>
      </c>
      <c r="Q49" s="804">
        <f t="shared" si="139"/>
        <v>32984.250999999997</v>
      </c>
      <c r="R49" s="804">
        <f t="shared" si="139"/>
        <v>38775.660000000003</v>
      </c>
      <c r="S49" s="804">
        <f>S31+S32+S26+S27-S5</f>
        <v>44952.006999999998</v>
      </c>
      <c r="T49" s="804">
        <f>T31+T32+T26+T27-T5</f>
        <v>44701.377</v>
      </c>
      <c r="U49" s="804">
        <f>U31+U32+U26+U27-U5</f>
        <v>62159.495999999999</v>
      </c>
      <c r="V49" s="804">
        <f t="shared" si="139"/>
        <v>71285.34308628444</v>
      </c>
      <c r="W49" s="804">
        <f t="shared" si="139"/>
        <v>68233.773515968904</v>
      </c>
      <c r="X49" s="804">
        <f t="shared" si="139"/>
        <v>65503.75152843594</v>
      </c>
      <c r="Y49" s="804">
        <f t="shared" si="139"/>
        <v>62610.894403656333</v>
      </c>
      <c r="Z49" s="804">
        <f t="shared" si="139"/>
        <v>59849.334246644234</v>
      </c>
      <c r="AA49" s="804">
        <f t="shared" si="139"/>
        <v>57400.204263660402</v>
      </c>
      <c r="AB49" s="347"/>
      <c r="AC49" s="347"/>
      <c r="AD49" s="347"/>
      <c r="AE49" s="347"/>
      <c r="AF49" s="347"/>
      <c r="AG49" s="347"/>
      <c r="AH49" s="347"/>
      <c r="BY49" s="486"/>
      <c r="BZ49" s="487"/>
    </row>
    <row r="50" spans="1:78" s="349" customFormat="1" ht="13">
      <c r="A50" s="870"/>
      <c r="B50" s="407" t="s">
        <v>139</v>
      </c>
      <c r="C50" s="752"/>
      <c r="D50" s="752">
        <f t="shared" ref="D50:Q50" si="140">D49-C49</f>
        <v>8913</v>
      </c>
      <c r="E50" s="752">
        <f t="shared" si="140"/>
        <v>-4755</v>
      </c>
      <c r="F50" s="752">
        <f t="shared" si="140"/>
        <v>-3203</v>
      </c>
      <c r="G50" s="752">
        <f t="shared" si="140"/>
        <v>-84</v>
      </c>
      <c r="H50" s="752">
        <f t="shared" si="140"/>
        <v>2999</v>
      </c>
      <c r="I50" s="752">
        <f t="shared" si="140"/>
        <v>3777</v>
      </c>
      <c r="J50" s="752">
        <f t="shared" si="140"/>
        <v>6174</v>
      </c>
      <c r="K50" s="752">
        <f t="shared" si="140"/>
        <v>963</v>
      </c>
      <c r="L50" s="752">
        <f t="shared" si="140"/>
        <v>-10370</v>
      </c>
      <c r="M50" s="752">
        <f t="shared" si="140"/>
        <v>-975</v>
      </c>
      <c r="N50" s="752">
        <f t="shared" si="140"/>
        <v>-779.54800000000068</v>
      </c>
      <c r="O50" s="752">
        <f t="shared" si="140"/>
        <v>13809.292000000003</v>
      </c>
      <c r="P50" s="752">
        <f t="shared" si="140"/>
        <v>5336.5660000000025</v>
      </c>
      <c r="Q50" s="752">
        <f t="shared" si="140"/>
        <v>2321.9409999999916</v>
      </c>
      <c r="R50" s="752">
        <f>R49-Q49</f>
        <v>5791.4090000000069</v>
      </c>
      <c r="S50" s="752">
        <f>S49-R49</f>
        <v>6176.3469999999943</v>
      </c>
      <c r="T50" s="752">
        <f>T49-S49</f>
        <v>-250.62999999999738</v>
      </c>
      <c r="U50" s="752">
        <f>U49-T49</f>
        <v>17458.118999999999</v>
      </c>
      <c r="V50" s="752">
        <f>V49-T49</f>
        <v>26583.966086284439</v>
      </c>
      <c r="W50" s="752">
        <f t="shared" ref="W50:Y50" si="141">W49-V49</f>
        <v>-3051.5695703155361</v>
      </c>
      <c r="X50" s="752">
        <f t="shared" si="141"/>
        <v>-2730.021987532964</v>
      </c>
      <c r="Y50" s="752">
        <f t="shared" si="141"/>
        <v>-2892.8571247796062</v>
      </c>
      <c r="Z50" s="752">
        <f t="shared" ref="Z50" si="142">Z49-Y49</f>
        <v>-2761.5601570120998</v>
      </c>
      <c r="AA50" s="752">
        <f t="shared" ref="AA50" si="143">AA49-Z49</f>
        <v>-2449.1299829838317</v>
      </c>
      <c r="AB50" s="347"/>
      <c r="AC50" s="347"/>
      <c r="AD50" s="347"/>
      <c r="AE50" s="347"/>
      <c r="AF50" s="347"/>
      <c r="AG50" s="347"/>
      <c r="AH50" s="347"/>
      <c r="BY50" s="486"/>
      <c r="BZ50" s="487"/>
    </row>
    <row r="51" spans="1:78" s="349" customFormat="1" ht="13">
      <c r="A51" s="870"/>
      <c r="B51" s="407"/>
      <c r="I51" s="347"/>
      <c r="J51" s="347"/>
      <c r="K51" s="347"/>
      <c r="L51" s="347"/>
      <c r="M51" s="347"/>
      <c r="N51" s="347"/>
      <c r="O51" s="347"/>
      <c r="P51" s="347"/>
      <c r="Q51" s="347"/>
      <c r="R51" s="347"/>
      <c r="S51" s="347"/>
      <c r="T51" s="347"/>
      <c r="U51" s="347"/>
      <c r="V51" s="347"/>
      <c r="W51" s="347"/>
      <c r="X51" s="347"/>
      <c r="Y51" s="347"/>
      <c r="Z51" s="347"/>
      <c r="AA51" s="347"/>
      <c r="AB51" s="347"/>
      <c r="AC51" s="347"/>
      <c r="AD51" s="347"/>
      <c r="AE51" s="347"/>
      <c r="AF51" s="347"/>
      <c r="AG51" s="347"/>
      <c r="AH51" s="347"/>
      <c r="BY51" s="486"/>
      <c r="BZ51" s="487"/>
    </row>
    <row r="52" spans="1:78" s="349" customFormat="1" ht="13">
      <c r="A52" s="870"/>
      <c r="B52" s="632" t="s">
        <v>1033</v>
      </c>
      <c r="C52" s="668"/>
      <c r="D52" s="669">
        <f>D48/'Income Statement'!H248</f>
        <v>0</v>
      </c>
      <c r="E52" s="669">
        <f>E48/'Income Statement'!M248</f>
        <v>0</v>
      </c>
      <c r="F52" s="669">
        <f>F48/'Income Statement'!R248</f>
        <v>0</v>
      </c>
      <c r="G52" s="669">
        <f>G48/'Income Statement'!W248</f>
        <v>0</v>
      </c>
      <c r="H52" s="669">
        <f>H48/'Income Statement'!AB248</f>
        <v>0</v>
      </c>
      <c r="I52" s="669">
        <f>I48/'Income Statement'!AG248</f>
        <v>0</v>
      </c>
      <c r="J52" s="669">
        <f>J48/'Income Statement'!AL248</f>
        <v>0</v>
      </c>
      <c r="K52" s="669">
        <f>K48/'Income Statement'!AQ248</f>
        <v>2.8167520552841654</v>
      </c>
      <c r="L52" s="669">
        <f>L48/'Income Statement'!AV248</f>
        <v>1.6471391336725829</v>
      </c>
      <c r="M52" s="669">
        <f>M48/'Income Statement'!BA248</f>
        <v>1.4777070063694266</v>
      </c>
      <c r="N52" s="669">
        <f>N48/'Income Statement'!BF248</f>
        <v>1.3528077058616232</v>
      </c>
      <c r="O52" s="669">
        <f>O48/'Income Statement'!BK248</f>
        <v>1.1244115994380894</v>
      </c>
      <c r="P52" s="669">
        <f>P48/'Income Statement'!BP248</f>
        <v>0.48872473200612548</v>
      </c>
      <c r="Q52" s="669">
        <f>Q48/'Income Statement'!BU248</f>
        <v>0.57257800857981478</v>
      </c>
      <c r="R52" s="669">
        <f>R48/'Income Statement'!BZ248</f>
        <v>0.48653333333333326</v>
      </c>
      <c r="S52" s="669">
        <f>S48/'Income Statement'!CE248</f>
        <v>0.57529499527856465</v>
      </c>
      <c r="T52" s="669">
        <f>T48/'Income Statement'!CJ248</f>
        <v>0.62121701437440568</v>
      </c>
      <c r="U52" s="669"/>
      <c r="V52" s="669">
        <f>V48/'Income Statement'!CO248</f>
        <v>1.810578302879847</v>
      </c>
      <c r="W52" s="669">
        <f>W48/'Income Statement'!CP248</f>
        <v>1.5107480064853205</v>
      </c>
      <c r="X52" s="669">
        <f>X48/'Income Statement'!CQ248</f>
        <v>1.3768108750354524</v>
      </c>
      <c r="Y52" s="669">
        <f>Y48/'Income Statement'!CR248</f>
        <v>1.2586978451442861</v>
      </c>
      <c r="Z52" s="669">
        <f>Z48/'Income Statement'!CS248</f>
        <v>1.2121090921538564</v>
      </c>
      <c r="AA52" s="669">
        <f>AA48/'Income Statement'!CT248</f>
        <v>1.1824904066117319</v>
      </c>
      <c r="AB52" s="347"/>
      <c r="AC52" s="347"/>
      <c r="AD52" s="347"/>
      <c r="AE52" s="347"/>
      <c r="AF52" s="347"/>
      <c r="AG52" s="347"/>
      <c r="AH52" s="347"/>
      <c r="BY52" s="486"/>
      <c r="BZ52" s="487"/>
    </row>
    <row r="53" spans="1:78" s="349" customFormat="1" ht="13">
      <c r="A53" s="870"/>
      <c r="B53" s="632" t="s">
        <v>1032</v>
      </c>
      <c r="C53" s="668"/>
      <c r="D53" s="669">
        <f>D49/'Income Statement'!H248</f>
        <v>3.4625876851130162</v>
      </c>
      <c r="E53" s="669">
        <f>E49/'Income Statement'!M248</f>
        <v>2.0975020145044319</v>
      </c>
      <c r="F53" s="669">
        <f>F49/'Income Statement'!R248</f>
        <v>1.0565306342198773</v>
      </c>
      <c r="G53" s="669">
        <f>G49/'Income Statement'!W248</f>
        <v>1.0406504065040652</v>
      </c>
      <c r="H53" s="669">
        <f>H49/'Income Statement'!AB248</f>
        <v>1.3060030785017958</v>
      </c>
      <c r="I53" s="669">
        <f>I49/'Income Statement'!AG248</f>
        <v>1.9059937637140547</v>
      </c>
      <c r="J53" s="669">
        <f>J49/'Income Statement'!AL248</f>
        <v>2.6299431752290388</v>
      </c>
      <c r="K53" s="669">
        <f>K49/'Income Statement'!AQ248</f>
        <v>2.8167520552841654</v>
      </c>
      <c r="L53" s="669">
        <f>L49/'Income Statement'!AV248</f>
        <v>1.6471391336725829</v>
      </c>
      <c r="M53" s="669">
        <f>M49/'Income Statement'!BA248</f>
        <v>1.4777070063694266</v>
      </c>
      <c r="N53" s="669">
        <f>N49/'Income Statement'!BF248</f>
        <v>1.3528077058616232</v>
      </c>
      <c r="O53" s="669">
        <f>O49/'Income Statement'!BK248</f>
        <v>2.54121452939996</v>
      </c>
      <c r="P53" s="669">
        <f>P49/'Income Statement'!BP248</f>
        <v>2.3478032159264934</v>
      </c>
      <c r="Q53" s="669">
        <f>Q49/'Income Statement'!BU248</f>
        <v>2.4824453224956722</v>
      </c>
      <c r="R53" s="669">
        <f>R49/'Income Statement'!BZ248</f>
        <v>2.7239662802950475</v>
      </c>
      <c r="S53" s="669">
        <f>S49/'Income Statement'!CE248</f>
        <v>2.8298399118665407</v>
      </c>
      <c r="T53" s="669">
        <f>T49/'Income Statement'!CJ248</f>
        <v>2.5002168465797863</v>
      </c>
      <c r="U53" s="669">
        <f>U49/('Income Statement'!CL248*4)</f>
        <v>3.4633104524180967</v>
      </c>
      <c r="V53" s="669">
        <f>V49/'Income Statement'!CO248</f>
        <v>3.8433360194477135</v>
      </c>
      <c r="W53" s="669">
        <f>W49/'Income Statement'!CP248</f>
        <v>3.0978595657335908</v>
      </c>
      <c r="X53" s="669">
        <f>X49/'Income Statement'!CQ248</f>
        <v>2.699314463493554</v>
      </c>
      <c r="Y53" s="669">
        <f>Y49/'Income Statement'!CR248</f>
        <v>2.3519486199507793</v>
      </c>
      <c r="Z53" s="669">
        <f>Z49/'Income Statement'!CS248</f>
        <v>2.1421052131502694</v>
      </c>
      <c r="AA53" s="669">
        <f>AA49/'Income Statement'!CT248</f>
        <v>1.9576536134979345</v>
      </c>
      <c r="AB53" s="347"/>
      <c r="AC53" s="470"/>
      <c r="AD53" s="470"/>
      <c r="AE53" s="470"/>
      <c r="AF53" s="760"/>
      <c r="AG53" s="760"/>
      <c r="AH53" s="760"/>
      <c r="AI53" s="761"/>
      <c r="AJ53" s="761"/>
      <c r="AK53" s="761"/>
      <c r="AL53" s="761"/>
      <c r="AM53" s="759"/>
      <c r="AN53" s="759"/>
      <c r="AO53" s="759"/>
      <c r="AP53" s="759"/>
      <c r="AQ53" s="759"/>
      <c r="AR53" s="759"/>
      <c r="AS53" s="759"/>
      <c r="BY53" s="486"/>
      <c r="BZ53" s="487"/>
    </row>
    <row r="54" spans="1:78" s="349" customFormat="1" ht="13">
      <c r="A54" s="870"/>
      <c r="B54" s="407"/>
      <c r="I54" s="347"/>
      <c r="J54" s="347"/>
      <c r="K54" s="347"/>
      <c r="L54" s="347"/>
      <c r="M54" s="347"/>
      <c r="N54" s="347"/>
      <c r="O54" s="347"/>
      <c r="P54" s="347"/>
      <c r="Q54" s="347"/>
      <c r="R54" s="347"/>
      <c r="S54" s="347"/>
      <c r="T54" s="347"/>
      <c r="U54" s="347"/>
      <c r="V54" s="347" t="s">
        <v>1470</v>
      </c>
      <c r="W54" s="347"/>
      <c r="X54" s="347"/>
      <c r="Y54" s="347"/>
      <c r="Z54" s="347"/>
      <c r="AA54" s="347"/>
      <c r="AB54" s="347"/>
      <c r="AC54" s="347"/>
      <c r="AD54" s="347"/>
      <c r="AE54" s="347"/>
      <c r="AF54" s="347"/>
      <c r="AG54" s="347"/>
      <c r="AH54" s="347"/>
      <c r="BY54" s="486"/>
      <c r="BZ54" s="487"/>
    </row>
    <row r="55" spans="1:78" s="349" customFormat="1" ht="13">
      <c r="A55" s="870"/>
      <c r="B55" s="407"/>
      <c r="I55" s="347"/>
      <c r="J55" s="347"/>
      <c r="K55" s="347"/>
      <c r="L55" s="347"/>
      <c r="M55" s="347"/>
      <c r="N55" s="347"/>
      <c r="O55" s="347"/>
      <c r="P55" s="347"/>
      <c r="Q55" s="347"/>
      <c r="R55" s="347"/>
      <c r="S55" s="347"/>
      <c r="T55" s="347"/>
      <c r="U55" s="347"/>
      <c r="V55" s="347"/>
      <c r="W55" s="347"/>
      <c r="X55" s="347"/>
      <c r="Y55" s="347"/>
      <c r="Z55" s="347"/>
      <c r="AA55" s="347"/>
      <c r="AB55" s="347"/>
      <c r="AC55" s="347"/>
      <c r="AD55" s="347"/>
      <c r="AE55" s="347"/>
      <c r="AF55" s="347"/>
      <c r="AG55" s="347"/>
      <c r="AH55" s="347"/>
      <c r="BY55" s="486"/>
      <c r="BZ55" s="487"/>
    </row>
    <row r="56" spans="1:78" s="349" customFormat="1" ht="13">
      <c r="A56" s="870"/>
      <c r="B56" s="40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BY56" s="486"/>
      <c r="BZ56" s="487"/>
    </row>
    <row r="57" spans="1:78" s="349" customFormat="1" ht="13">
      <c r="A57" s="870" t="s">
        <v>615</v>
      </c>
      <c r="B57" s="492" t="s">
        <v>140</v>
      </c>
      <c r="C57" s="627">
        <f>C2</f>
        <v>2007</v>
      </c>
      <c r="D57" s="627">
        <f t="shared" ref="D57:S57" si="144">C57+1</f>
        <v>2008</v>
      </c>
      <c r="E57" s="627">
        <f t="shared" si="144"/>
        <v>2009</v>
      </c>
      <c r="F57" s="627">
        <f t="shared" si="144"/>
        <v>2010</v>
      </c>
      <c r="G57" s="627">
        <f t="shared" si="144"/>
        <v>2011</v>
      </c>
      <c r="H57" s="627">
        <f t="shared" si="144"/>
        <v>2012</v>
      </c>
      <c r="I57" s="627">
        <f t="shared" si="144"/>
        <v>2013</v>
      </c>
      <c r="J57" s="627">
        <f t="shared" si="144"/>
        <v>2014</v>
      </c>
      <c r="K57" s="627">
        <f t="shared" si="144"/>
        <v>2015</v>
      </c>
      <c r="L57" s="627">
        <f t="shared" si="144"/>
        <v>2016</v>
      </c>
      <c r="M57" s="627">
        <f t="shared" si="144"/>
        <v>2017</v>
      </c>
      <c r="N57" s="627">
        <f t="shared" si="144"/>
        <v>2018</v>
      </c>
      <c r="O57" s="627">
        <f t="shared" si="144"/>
        <v>2019</v>
      </c>
      <c r="P57" s="627">
        <f t="shared" si="144"/>
        <v>2020</v>
      </c>
      <c r="Q57" s="627">
        <f t="shared" si="144"/>
        <v>2021</v>
      </c>
      <c r="R57" s="627">
        <f t="shared" si="144"/>
        <v>2022</v>
      </c>
      <c r="S57" s="627">
        <f t="shared" si="144"/>
        <v>2023</v>
      </c>
      <c r="T57" s="627">
        <f t="shared" ref="T57:Y57" si="145">S57+1</f>
        <v>2024</v>
      </c>
      <c r="U57" s="627"/>
      <c r="V57" s="627">
        <f>T57+1</f>
        <v>2025</v>
      </c>
      <c r="W57" s="627">
        <f t="shared" si="145"/>
        <v>2026</v>
      </c>
      <c r="X57" s="627">
        <f t="shared" si="145"/>
        <v>2027</v>
      </c>
      <c r="Y57" s="627">
        <f t="shared" si="145"/>
        <v>2028</v>
      </c>
      <c r="Z57" s="627">
        <f t="shared" ref="Z57" si="146">Y57+1</f>
        <v>2029</v>
      </c>
      <c r="AA57" s="627">
        <f t="shared" ref="AA57" si="147">Z57+1</f>
        <v>2030</v>
      </c>
      <c r="AB57" s="347"/>
      <c r="AC57" s="347"/>
      <c r="AD57" s="347"/>
      <c r="AE57" s="347"/>
      <c r="AF57" s="347"/>
      <c r="AG57" s="347"/>
      <c r="AH57" s="347"/>
      <c r="BY57" s="486"/>
      <c r="BZ57" s="487"/>
    </row>
    <row r="58" spans="1:78" s="349" customFormat="1" ht="13">
      <c r="A58" s="870"/>
      <c r="B58" s="407" t="s">
        <v>141</v>
      </c>
      <c r="C58" s="752">
        <f t="shared" ref="C58:T58" si="148">C418-C430</f>
        <v>-3359</v>
      </c>
      <c r="D58" s="752">
        <f t="shared" si="148"/>
        <v>-6250</v>
      </c>
      <c r="E58" s="752">
        <f t="shared" si="148"/>
        <v>922.30000000000018</v>
      </c>
      <c r="F58" s="752">
        <f t="shared" si="148"/>
        <v>4439</v>
      </c>
      <c r="G58" s="752">
        <f t="shared" si="148"/>
        <v>2826</v>
      </c>
      <c r="H58" s="752">
        <f t="shared" si="148"/>
        <v>-431</v>
      </c>
      <c r="I58" s="752">
        <f t="shared" si="148"/>
        <v>1265</v>
      </c>
      <c r="J58" s="752">
        <f t="shared" si="148"/>
        <v>1528</v>
      </c>
      <c r="K58" s="752">
        <f t="shared" si="148"/>
        <v>4247</v>
      </c>
      <c r="L58" s="752">
        <f t="shared" si="148"/>
        <v>2473</v>
      </c>
      <c r="M58" s="752">
        <f t="shared" si="148"/>
        <v>1624</v>
      </c>
      <c r="N58" s="752">
        <f t="shared" si="148"/>
        <v>2239.2470000000003</v>
      </c>
      <c r="O58" s="752">
        <f t="shared" si="148"/>
        <v>869.86299999999937</v>
      </c>
      <c r="P58" s="752">
        <f t="shared" si="148"/>
        <v>6905</v>
      </c>
      <c r="Q58" s="752">
        <f t="shared" si="148"/>
        <v>3366</v>
      </c>
      <c r="R58" s="752">
        <f t="shared" si="148"/>
        <v>5172</v>
      </c>
      <c r="S58" s="752">
        <f t="shared" si="148"/>
        <v>8727</v>
      </c>
      <c r="T58" s="752">
        <f t="shared" si="148"/>
        <v>10497</v>
      </c>
      <c r="U58" s="752"/>
      <c r="V58" s="752">
        <f t="shared" ref="V58:AA58" si="149">V418-V430</f>
        <v>-1839.7928466557314</v>
      </c>
      <c r="W58" s="752">
        <f t="shared" si="149"/>
        <v>11624.167289751093</v>
      </c>
      <c r="X58" s="752">
        <f t="shared" si="149"/>
        <v>13904.817760144348</v>
      </c>
      <c r="Y58" s="752">
        <f t="shared" si="149"/>
        <v>15807.744584398901</v>
      </c>
      <c r="Z58" s="752">
        <f t="shared" si="149"/>
        <v>16656.236389253929</v>
      </c>
      <c r="AA58" s="752">
        <f t="shared" si="149"/>
        <v>17267.38670338098</v>
      </c>
      <c r="AB58" s="347"/>
      <c r="AC58" s="347"/>
      <c r="AD58" s="364"/>
      <c r="AE58" s="347"/>
      <c r="AF58" s="347"/>
      <c r="AG58" s="347"/>
      <c r="AH58" s="347"/>
      <c r="BY58" s="486"/>
      <c r="BZ58" s="487"/>
    </row>
    <row r="59" spans="1:78" s="349" customFormat="1" ht="13">
      <c r="A59" s="870"/>
      <c r="B59" s="407" t="s">
        <v>981</v>
      </c>
      <c r="C59" s="752"/>
      <c r="D59" s="752"/>
      <c r="E59" s="752"/>
      <c r="F59" s="752"/>
      <c r="G59" s="752"/>
      <c r="H59" s="752"/>
      <c r="I59" s="752"/>
      <c r="J59" s="752"/>
      <c r="K59" s="752"/>
      <c r="L59" s="752"/>
      <c r="M59" s="752"/>
      <c r="N59" s="752"/>
      <c r="O59" s="812"/>
      <c r="P59" s="812"/>
      <c r="Q59" s="812">
        <f>Q219</f>
        <v>-3474.7179999999998</v>
      </c>
      <c r="R59" s="812">
        <f t="shared" ref="R59:S59" si="150">R219</f>
        <v>-4162.4189999999999</v>
      </c>
      <c r="S59" s="812">
        <f t="shared" si="150"/>
        <v>-4327.2470000000003</v>
      </c>
      <c r="T59" s="812">
        <f t="shared" ref="T59" si="151">T219</f>
        <v>-4748.17</v>
      </c>
      <c r="U59" s="812"/>
      <c r="V59" s="812">
        <f t="shared" ref="V59:AA59" si="152">V219</f>
        <v>-5864.0567080431802</v>
      </c>
      <c r="W59" s="812">
        <f t="shared" si="152"/>
        <v>-6527.778300028217</v>
      </c>
      <c r="X59" s="812">
        <f t="shared" si="152"/>
        <v>-6812.3646935869438</v>
      </c>
      <c r="Y59" s="812">
        <f t="shared" si="152"/>
        <v>-7108.9498627522735</v>
      </c>
      <c r="Z59" s="812">
        <f t="shared" si="152"/>
        <v>-7418.0387666999595</v>
      </c>
      <c r="AA59" s="812">
        <f t="shared" si="152"/>
        <v>-7740.1578084019357</v>
      </c>
      <c r="AB59" s="347"/>
      <c r="AC59" s="347"/>
      <c r="AD59" s="347"/>
      <c r="AE59" s="347"/>
      <c r="AF59" s="347"/>
      <c r="AG59" s="347"/>
      <c r="AH59" s="347"/>
      <c r="BY59" s="486"/>
      <c r="BZ59" s="487"/>
    </row>
    <row r="60" spans="1:78" s="349" customFormat="1" ht="13">
      <c r="A60" s="870"/>
      <c r="B60" s="407" t="s">
        <v>142</v>
      </c>
      <c r="C60" s="752">
        <f t="shared" ref="C60:AA60" si="153">C193</f>
        <v>-643</v>
      </c>
      <c r="D60" s="752">
        <f t="shared" si="153"/>
        <v>-1094</v>
      </c>
      <c r="E60" s="752">
        <f t="shared" si="153"/>
        <v>-1218.3</v>
      </c>
      <c r="F60" s="752">
        <f t="shared" si="153"/>
        <v>-780</v>
      </c>
      <c r="G60" s="752">
        <f t="shared" si="153"/>
        <v>-580</v>
      </c>
      <c r="H60" s="752">
        <f t="shared" si="153"/>
        <v>-601</v>
      </c>
      <c r="I60" s="752">
        <f t="shared" si="153"/>
        <v>-293</v>
      </c>
      <c r="J60" s="752">
        <f t="shared" si="153"/>
        <v>-1346</v>
      </c>
      <c r="K60" s="752">
        <f t="shared" si="153"/>
        <v>-1466</v>
      </c>
      <c r="L60" s="752">
        <f t="shared" si="153"/>
        <v>-1080</v>
      </c>
      <c r="M60" s="752">
        <f t="shared" si="153"/>
        <v>-1295</v>
      </c>
      <c r="N60" s="752">
        <f t="shared" si="153"/>
        <v>-1258.701</v>
      </c>
      <c r="O60" s="752">
        <f t="shared" si="153"/>
        <v>-2131.413</v>
      </c>
      <c r="P60" s="752">
        <f t="shared" si="153"/>
        <v>-2485.2670000000003</v>
      </c>
      <c r="Q60" s="752">
        <f t="shared" si="153"/>
        <v>-2290.471</v>
      </c>
      <c r="R60" s="752">
        <f t="shared" si="153"/>
        <v>-2664.9569999999999</v>
      </c>
      <c r="S60" s="752">
        <f t="shared" si="153"/>
        <v>-2839.8829999999998</v>
      </c>
      <c r="T60" s="752">
        <f t="shared" ref="T60" si="154">T193</f>
        <v>-3032.5460000000003</v>
      </c>
      <c r="U60" s="752"/>
      <c r="V60" s="752">
        <f t="shared" si="153"/>
        <v>-3085.2438688735665</v>
      </c>
      <c r="W60" s="752">
        <f t="shared" si="153"/>
        <v>-4102.6764453690657</v>
      </c>
      <c r="X60" s="752">
        <f t="shared" si="153"/>
        <v>-4815.4847906609348</v>
      </c>
      <c r="Y60" s="752">
        <f t="shared" si="153"/>
        <v>-4633.3604535720533</v>
      </c>
      <c r="Z60" s="752">
        <f t="shared" si="153"/>
        <v>-4454.8104787029542</v>
      </c>
      <c r="AA60" s="752">
        <f t="shared" si="153"/>
        <v>-4276.9060807905635</v>
      </c>
      <c r="AB60" s="347"/>
      <c r="AC60" s="347" t="s">
        <v>742</v>
      </c>
      <c r="AD60" s="347"/>
      <c r="AE60" s="347"/>
      <c r="AF60" s="347"/>
      <c r="AG60" s="347"/>
      <c r="AH60" s="347"/>
      <c r="BY60" s="486"/>
      <c r="BZ60" s="487"/>
    </row>
    <row r="61" spans="1:78" s="349" customFormat="1" ht="13">
      <c r="A61" s="870"/>
      <c r="B61" s="407" t="s">
        <v>143</v>
      </c>
      <c r="C61" s="752"/>
      <c r="D61" s="752"/>
      <c r="E61" s="752"/>
      <c r="F61" s="752">
        <f>'Income Statement'!R268</f>
        <v>-977</v>
      </c>
      <c r="G61" s="752">
        <f>'Income Statement'!W268</f>
        <v>-1035</v>
      </c>
      <c r="H61" s="752">
        <f>'Income Statement'!AB268</f>
        <v>-1035</v>
      </c>
      <c r="I61" s="752">
        <f>'Income Statement'!AG268</f>
        <v>-357</v>
      </c>
      <c r="J61" s="752">
        <f>'Income Statement'!AL268</f>
        <v>179</v>
      </c>
      <c r="K61" s="752">
        <f>'Income Statement'!AQ268</f>
        <v>605</v>
      </c>
      <c r="L61" s="752">
        <f>'Income Statement'!AV268</f>
        <v>190</v>
      </c>
      <c r="M61" s="752">
        <f>'Income Statement'!BF268</f>
        <v>1099</v>
      </c>
      <c r="N61" s="752">
        <f>'Income Statement'!BF268</f>
        <v>1099</v>
      </c>
      <c r="O61" s="752">
        <f>'Income Statement'!BK268</f>
        <v>-432</v>
      </c>
      <c r="P61" s="752">
        <f>'Income Statement'!BP268</f>
        <v>225.78900000000027</v>
      </c>
      <c r="Q61" s="752">
        <f>'Income Statement'!BU268</f>
        <v>-419.73299999999983</v>
      </c>
      <c r="R61" s="752">
        <f>'Income Statement'!BZ268</f>
        <v>-231.84199999999987</v>
      </c>
      <c r="S61" s="752">
        <f>'Income Statement'!CE268</f>
        <v>-420.06900000000007</v>
      </c>
      <c r="T61" s="752">
        <f>'Income Statement'!CJ268</f>
        <v>-579.59399999999994</v>
      </c>
      <c r="U61" s="752"/>
      <c r="V61" s="752">
        <f>'Income Statement'!CO268</f>
        <v>716.55429602080062</v>
      </c>
      <c r="W61" s="752">
        <f>'Income Statement'!CP268</f>
        <v>-230.98067376252069</v>
      </c>
      <c r="X61" s="752">
        <f>'Income Statement'!CQ268</f>
        <v>-690.92447582855402</v>
      </c>
      <c r="Y61" s="752">
        <f>'Income Statement'!CR268</f>
        <v>-1367.7147642273173</v>
      </c>
      <c r="Z61" s="752">
        <f>'Income Statement'!CS268</f>
        <v>-1747.3059378329119</v>
      </c>
      <c r="AA61" s="752">
        <f>'Income Statement'!CT268</f>
        <v>-2102.155428607176</v>
      </c>
      <c r="AB61" s="347"/>
      <c r="AC61" s="347"/>
      <c r="AE61" s="347"/>
      <c r="AF61" s="347"/>
      <c r="AG61" s="347"/>
      <c r="AH61" s="347"/>
      <c r="BY61" s="486"/>
      <c r="BZ61" s="487"/>
    </row>
    <row r="62" spans="1:78" s="349" customFormat="1" ht="13">
      <c r="A62" s="870"/>
      <c r="B62" s="407" t="s">
        <v>144</v>
      </c>
      <c r="C62" s="752"/>
      <c r="D62" s="752"/>
      <c r="E62" s="752"/>
      <c r="F62" s="752">
        <f t="shared" ref="F62:Q62" si="155">F258</f>
        <v>-59</v>
      </c>
      <c r="G62" s="752">
        <f t="shared" si="155"/>
        <v>866</v>
      </c>
      <c r="H62" s="752">
        <f t="shared" si="155"/>
        <v>-662</v>
      </c>
      <c r="I62" s="752">
        <f t="shared" si="155"/>
        <v>-1071.0000000000002</v>
      </c>
      <c r="J62" s="752">
        <f t="shared" si="155"/>
        <v>11130</v>
      </c>
      <c r="K62" s="752">
        <f t="shared" si="155"/>
        <v>-10398</v>
      </c>
      <c r="L62" s="752">
        <f t="shared" si="155"/>
        <v>-158</v>
      </c>
      <c r="M62" s="752">
        <f t="shared" si="155"/>
        <v>1208</v>
      </c>
      <c r="N62" s="752">
        <f t="shared" si="155"/>
        <v>856.89799999999912</v>
      </c>
      <c r="O62" s="752">
        <f t="shared" si="155"/>
        <v>-1226.351999999999</v>
      </c>
      <c r="P62" s="752">
        <f t="shared" si="155"/>
        <v>-531.61900000000014</v>
      </c>
      <c r="Q62" s="752">
        <f t="shared" si="155"/>
        <v>2688.9199999999987</v>
      </c>
      <c r="R62" s="752">
        <f t="shared" ref="R62:Y62" si="156">R258</f>
        <v>323.43300000000085</v>
      </c>
      <c r="S62" s="752">
        <f t="shared" ref="S62:T62" si="157">S258</f>
        <v>-2705.6169999999993</v>
      </c>
      <c r="T62" s="752">
        <f t="shared" si="157"/>
        <v>-1754.5090000000012</v>
      </c>
      <c r="U62" s="752"/>
      <c r="V62" s="752">
        <f t="shared" si="156"/>
        <v>480.56379978137647</v>
      </c>
      <c r="W62" s="752">
        <f t="shared" si="156"/>
        <v>285.83597953290746</v>
      </c>
      <c r="X62" s="752">
        <f t="shared" si="156"/>
        <v>122.55896379882961</v>
      </c>
      <c r="Y62" s="752">
        <f t="shared" si="156"/>
        <v>127.72631381444654</v>
      </c>
      <c r="Z62" s="752">
        <f t="shared" ref="Z62:AA62" si="158">Z258</f>
        <v>133.11112775223813</v>
      </c>
      <c r="AA62" s="752">
        <f t="shared" si="158"/>
        <v>138.72264052118032</v>
      </c>
      <c r="AB62" s="347"/>
      <c r="AC62" s="347"/>
      <c r="AD62" s="347"/>
      <c r="AE62" s="347"/>
      <c r="AF62" s="347"/>
      <c r="AG62" s="347"/>
      <c r="AH62" s="347"/>
      <c r="BY62" s="486"/>
      <c r="BZ62" s="487"/>
    </row>
    <row r="63" spans="1:78" s="759" customFormat="1" ht="13">
      <c r="A63" s="871"/>
      <c r="B63" s="767" t="s">
        <v>145</v>
      </c>
      <c r="C63" s="812"/>
      <c r="D63" s="812"/>
      <c r="E63" s="812"/>
      <c r="F63" s="812"/>
      <c r="G63" s="812"/>
      <c r="H63" s="812"/>
      <c r="I63" s="812"/>
      <c r="J63" s="812"/>
      <c r="K63" s="812"/>
      <c r="L63" s="812"/>
      <c r="M63" s="812"/>
      <c r="N63" s="812"/>
      <c r="O63" s="812"/>
      <c r="P63" s="812"/>
      <c r="Q63" s="812"/>
      <c r="R63" s="812"/>
      <c r="S63" s="812"/>
      <c r="T63" s="812"/>
      <c r="U63" s="812"/>
      <c r="V63" s="812"/>
      <c r="W63" s="812"/>
      <c r="X63" s="812"/>
      <c r="Y63" s="812"/>
      <c r="Z63" s="812"/>
      <c r="AA63" s="812"/>
      <c r="AB63" s="758"/>
      <c r="AC63" s="758"/>
      <c r="AD63" s="758"/>
      <c r="AE63" s="758"/>
      <c r="AF63" s="758"/>
      <c r="AG63" s="758"/>
      <c r="AH63" s="758"/>
      <c r="BY63" s="795"/>
      <c r="BZ63" s="796"/>
    </row>
    <row r="64" spans="1:78" s="759" customFormat="1" ht="13">
      <c r="A64" s="871"/>
      <c r="B64" s="767" t="s">
        <v>146</v>
      </c>
      <c r="C64" s="812"/>
      <c r="D64" s="812"/>
      <c r="E64" s="812"/>
      <c r="F64" s="812"/>
      <c r="G64" s="812"/>
      <c r="H64" s="812"/>
      <c r="I64" s="812"/>
      <c r="J64" s="812"/>
      <c r="K64" s="812"/>
      <c r="L64" s="812"/>
      <c r="M64" s="812"/>
      <c r="N64" s="812"/>
      <c r="O64" s="812"/>
      <c r="P64" s="812"/>
      <c r="Q64" s="812"/>
      <c r="R64" s="812"/>
      <c r="S64" s="812"/>
      <c r="T64" s="812"/>
      <c r="U64" s="812"/>
      <c r="V64" s="812"/>
      <c r="W64" s="812"/>
      <c r="X64" s="812"/>
      <c r="Y64" s="812"/>
      <c r="Z64" s="812"/>
      <c r="AA64" s="812"/>
      <c r="AB64" s="758"/>
      <c r="AC64" s="758"/>
      <c r="AD64" s="768"/>
      <c r="AE64" s="758"/>
      <c r="AF64" s="758"/>
      <c r="AG64" s="758"/>
      <c r="AH64" s="758"/>
      <c r="BY64" s="795"/>
      <c r="BZ64" s="796"/>
    </row>
    <row r="65" spans="1:78" s="349" customFormat="1" ht="13">
      <c r="A65" s="870"/>
      <c r="B65" s="407" t="s">
        <v>147</v>
      </c>
      <c r="C65" s="752">
        <f t="shared" ref="C65:L65" si="159">C345</f>
        <v>-6.7142300000000006</v>
      </c>
      <c r="D65" s="752">
        <f t="shared" si="159"/>
        <v>-141.80000000000001</v>
      </c>
      <c r="E65" s="752">
        <f t="shared" si="159"/>
        <v>0</v>
      </c>
      <c r="F65" s="752">
        <f t="shared" si="159"/>
        <v>-862.20600000000002</v>
      </c>
      <c r="G65" s="752">
        <f t="shared" si="159"/>
        <v>-1046.57304</v>
      </c>
      <c r="H65" s="752">
        <f t="shared" si="159"/>
        <v>-1087.83</v>
      </c>
      <c r="I65" s="752">
        <f t="shared" si="159"/>
        <v>-523.77</v>
      </c>
      <c r="J65" s="752">
        <f t="shared" si="159"/>
        <v>0</v>
      </c>
      <c r="K65" s="752">
        <f t="shared" si="159"/>
        <v>0</v>
      </c>
      <c r="L65" s="752">
        <f t="shared" si="159"/>
        <v>0</v>
      </c>
      <c r="M65" s="801">
        <v>0</v>
      </c>
      <c r="N65" s="801">
        <v>0</v>
      </c>
      <c r="O65" s="801">
        <v>0</v>
      </c>
      <c r="P65" s="801">
        <v>-213.024</v>
      </c>
      <c r="Q65" s="801">
        <v>0</v>
      </c>
      <c r="R65" s="801">
        <v>-544.07799999999997</v>
      </c>
      <c r="S65" s="801">
        <v>-549.02300000000002</v>
      </c>
      <c r="T65" s="801">
        <v>-646.346</v>
      </c>
      <c r="U65" s="801"/>
      <c r="V65" s="752">
        <f t="shared" ref="V65:Y65" si="160">V345</f>
        <v>0</v>
      </c>
      <c r="W65" s="752">
        <f t="shared" si="160"/>
        <v>0</v>
      </c>
      <c r="X65" s="752">
        <f t="shared" si="160"/>
        <v>-1101.2652651680201</v>
      </c>
      <c r="Y65" s="752">
        <f t="shared" si="160"/>
        <v>-2180.0020337892402</v>
      </c>
      <c r="Z65" s="752">
        <f t="shared" ref="Z65:AA65" si="161">Z345</f>
        <v>-2785.032813680059</v>
      </c>
      <c r="AA65" s="752">
        <f t="shared" si="161"/>
        <v>-3350.6277986943483</v>
      </c>
      <c r="AB65" s="347"/>
      <c r="AC65" s="347"/>
      <c r="AE65" s="347"/>
      <c r="AF65" s="347"/>
      <c r="AG65" s="347"/>
      <c r="AH65" s="347"/>
      <c r="BY65" s="486"/>
      <c r="BZ65" s="487"/>
    </row>
    <row r="66" spans="1:78" s="349" customFormat="1" ht="13">
      <c r="A66" s="870"/>
      <c r="B66" s="407" t="s">
        <v>148</v>
      </c>
      <c r="C66" s="812">
        <v>-8</v>
      </c>
      <c r="D66" s="812"/>
      <c r="E66" s="812"/>
      <c r="F66" s="812"/>
      <c r="G66" s="812"/>
      <c r="H66" s="812"/>
      <c r="I66" s="812"/>
      <c r="J66" s="812"/>
      <c r="K66" s="812"/>
      <c r="L66" s="812">
        <v>6665</v>
      </c>
      <c r="M66" s="812"/>
      <c r="N66" s="812"/>
      <c r="O66" s="812"/>
      <c r="P66" s="812"/>
      <c r="Q66" s="812"/>
      <c r="R66" s="812">
        <f>R326</f>
        <v>4744.2310879299976</v>
      </c>
      <c r="S66" s="812">
        <f>S326</f>
        <v>68.06342323899662</v>
      </c>
      <c r="T66" s="812">
        <f>T326</f>
        <v>-1027.334496469497</v>
      </c>
      <c r="U66" s="812"/>
      <c r="V66" s="812">
        <f t="shared" ref="V66:AA66" si="162">V326</f>
        <v>0</v>
      </c>
      <c r="W66" s="812">
        <f t="shared" si="162"/>
        <v>0</v>
      </c>
      <c r="X66" s="812">
        <f t="shared" si="162"/>
        <v>0</v>
      </c>
      <c r="Y66" s="812">
        <f t="shared" si="162"/>
        <v>0</v>
      </c>
      <c r="Z66" s="812">
        <f t="shared" si="162"/>
        <v>0</v>
      </c>
      <c r="AA66" s="812">
        <f t="shared" si="162"/>
        <v>0</v>
      </c>
      <c r="AB66" s="347"/>
      <c r="AD66" s="347"/>
      <c r="AE66" s="347"/>
      <c r="AF66" s="347"/>
      <c r="AG66" s="347"/>
      <c r="AH66" s="347"/>
      <c r="BY66" s="486"/>
      <c r="BZ66" s="487"/>
    </row>
    <row r="67" spans="1:78" s="349" customFormat="1" ht="13">
      <c r="A67" s="870"/>
      <c r="B67" s="407" t="s">
        <v>559</v>
      </c>
      <c r="C67" s="812"/>
      <c r="D67" s="812"/>
      <c r="E67" s="812"/>
      <c r="F67" s="812"/>
      <c r="G67" s="812"/>
      <c r="H67" s="812"/>
      <c r="I67" s="812"/>
      <c r="J67" s="812"/>
      <c r="K67" s="812"/>
      <c r="L67" s="812"/>
      <c r="M67" s="812"/>
      <c r="N67" s="812"/>
      <c r="O67" s="812"/>
      <c r="P67" s="812"/>
      <c r="Q67" s="812"/>
      <c r="R67" s="812"/>
      <c r="S67" s="812"/>
      <c r="T67" s="812"/>
      <c r="U67" s="812"/>
      <c r="V67" s="815">
        <v>0</v>
      </c>
      <c r="W67" s="815">
        <v>-742.25454545454534</v>
      </c>
      <c r="X67" s="815">
        <v>-742.25454545454534</v>
      </c>
      <c r="Y67" s="815">
        <v>-742.25454545454534</v>
      </c>
      <c r="Z67" s="815">
        <v>-742.25454545454534</v>
      </c>
      <c r="AA67" s="815">
        <v>-742.25454545454534</v>
      </c>
      <c r="AB67" s="347"/>
      <c r="AC67" s="746" t="s">
        <v>967</v>
      </c>
      <c r="AD67" s="347"/>
      <c r="AE67" s="347"/>
      <c r="AF67" s="347"/>
      <c r="AG67" s="347"/>
      <c r="AH67" s="347"/>
      <c r="AJ67" s="349">
        <v>4600</v>
      </c>
      <c r="BY67" s="486"/>
      <c r="BZ67" s="487"/>
    </row>
    <row r="68" spans="1:78" s="349" customFormat="1" ht="13">
      <c r="A68" s="870"/>
      <c r="B68" s="407" t="s">
        <v>149</v>
      </c>
      <c r="C68" s="812"/>
      <c r="D68" s="812">
        <v>-1399</v>
      </c>
      <c r="E68" s="812">
        <v>5051</v>
      </c>
      <c r="F68" s="812">
        <v>1442.21</v>
      </c>
      <c r="G68" s="812">
        <v>-946.43</v>
      </c>
      <c r="H68" s="812">
        <v>817.83</v>
      </c>
      <c r="I68" s="812">
        <v>-2797.23</v>
      </c>
      <c r="J68" s="812">
        <v>-17665</v>
      </c>
      <c r="K68" s="812">
        <v>6049</v>
      </c>
      <c r="L68" s="812">
        <v>2279</v>
      </c>
      <c r="M68" s="812">
        <f>975-SUM(M58:M67)</f>
        <v>-1661</v>
      </c>
      <c r="N68" s="812">
        <f>780-SUM(N58:N67)</f>
        <v>-2156.4439999999995</v>
      </c>
      <c r="O68" s="812">
        <f>-13809-SUM(O58:O67)</f>
        <v>-10889.098</v>
      </c>
      <c r="P68" s="812">
        <f>-5337-SUM(P58:P67)</f>
        <v>-9237.8790000000008</v>
      </c>
      <c r="Q68" s="812">
        <f>-2322-SUM(Q58:Q67)</f>
        <v>-2191.9979999999991</v>
      </c>
      <c r="R68" s="812">
        <f>-R50-SUM(R58:R67)</f>
        <v>-8427.777087930006</v>
      </c>
      <c r="S68" s="812">
        <f>-S50-SUM(S58:S67)</f>
        <v>-4129.571423238991</v>
      </c>
      <c r="T68" s="812">
        <f>-T50-SUM(T58:T67)</f>
        <v>1542.129496469496</v>
      </c>
      <c r="U68" s="812"/>
      <c r="V68" s="813">
        <f>'Income Statement'!CO265+'Income Statement'!CO264</f>
        <v>-2000</v>
      </c>
      <c r="W68" s="813">
        <f>'Income Statement'!CP265+'Income Statement'!CP264</f>
        <v>0</v>
      </c>
      <c r="X68" s="813">
        <f>'Income Statement'!CQ265+'Income Statement'!CQ264</f>
        <v>0</v>
      </c>
      <c r="Y68" s="813">
        <f>'Income Statement'!CR265+'Income Statement'!CR264</f>
        <v>0</v>
      </c>
      <c r="Z68" s="813">
        <f>'Income Statement'!CS265+'Income Statement'!CS264</f>
        <v>0</v>
      </c>
      <c r="AA68" s="813">
        <f>'Income Statement'!CT265+'Income Statement'!CT264</f>
        <v>0</v>
      </c>
      <c r="AB68" s="347"/>
      <c r="AC68" s="347" t="s">
        <v>982</v>
      </c>
      <c r="AE68" s="347"/>
      <c r="AF68" s="347"/>
      <c r="AG68" s="347"/>
      <c r="AH68" s="347"/>
      <c r="AJ68" s="349">
        <v>16400</v>
      </c>
      <c r="BY68" s="486"/>
      <c r="BZ68" s="487"/>
    </row>
    <row r="69" spans="1:78" s="349" customFormat="1" ht="13">
      <c r="A69" s="870"/>
      <c r="B69" s="462" t="s">
        <v>139</v>
      </c>
      <c r="C69" s="755">
        <f t="shared" ref="C69:Q69" si="163">SUM(C58:C68)</f>
        <v>-4016.71423</v>
      </c>
      <c r="D69" s="755">
        <f t="shared" si="163"/>
        <v>-8884.7999999999993</v>
      </c>
      <c r="E69" s="755">
        <f t="shared" si="163"/>
        <v>4755</v>
      </c>
      <c r="F69" s="755">
        <f t="shared" si="163"/>
        <v>3203.0039999999999</v>
      </c>
      <c r="G69" s="755">
        <f t="shared" si="163"/>
        <v>83.996960000000058</v>
      </c>
      <c r="H69" s="755">
        <f t="shared" si="163"/>
        <v>-2999</v>
      </c>
      <c r="I69" s="755">
        <f t="shared" si="163"/>
        <v>-3777</v>
      </c>
      <c r="J69" s="755">
        <f t="shared" si="163"/>
        <v>-6174</v>
      </c>
      <c r="K69" s="755">
        <f t="shared" si="163"/>
        <v>-963</v>
      </c>
      <c r="L69" s="755">
        <f t="shared" si="163"/>
        <v>10369</v>
      </c>
      <c r="M69" s="755">
        <f t="shared" si="163"/>
        <v>975</v>
      </c>
      <c r="N69" s="755">
        <f t="shared" si="163"/>
        <v>780</v>
      </c>
      <c r="O69" s="755">
        <f t="shared" si="163"/>
        <v>-13809</v>
      </c>
      <c r="P69" s="755">
        <f t="shared" si="163"/>
        <v>-5337</v>
      </c>
      <c r="Q69" s="755">
        <f t="shared" si="163"/>
        <v>-2322</v>
      </c>
      <c r="R69" s="755">
        <f>SUM(R58:R68)</f>
        <v>-5791.4090000000069</v>
      </c>
      <c r="S69" s="755">
        <f>SUM(S58:S68)</f>
        <v>-6176.3469999999943</v>
      </c>
      <c r="T69" s="755">
        <f t="shared" ref="T69:Y69" si="164">SUM(T58:T68)</f>
        <v>250.62999999999738</v>
      </c>
      <c r="U69" s="755"/>
      <c r="V69" s="755">
        <f>SUM(V58:V68)</f>
        <v>-11591.975327770302</v>
      </c>
      <c r="W69" s="755">
        <f t="shared" si="164"/>
        <v>306.31330466965107</v>
      </c>
      <c r="X69" s="755">
        <f t="shared" si="164"/>
        <v>-134.91704675582071</v>
      </c>
      <c r="Y69" s="755">
        <f t="shared" si="164"/>
        <v>-96.810761582082364</v>
      </c>
      <c r="Z69" s="755">
        <f t="shared" ref="Z69:AA69" si="165">SUM(Z58:Z68)</f>
        <v>-358.09502536426282</v>
      </c>
      <c r="AA69" s="755">
        <f t="shared" si="165"/>
        <v>-805.99231804640715</v>
      </c>
      <c r="AB69" s="347"/>
      <c r="AC69" s="347"/>
      <c r="AD69" s="631"/>
      <c r="AE69" s="347"/>
      <c r="AF69" s="347"/>
      <c r="AG69" s="347"/>
      <c r="AH69" s="347"/>
      <c r="AJ69" s="349">
        <f>AJ67/AJ68</f>
        <v>0.28048780487804881</v>
      </c>
      <c r="BY69" s="486"/>
      <c r="BZ69" s="487"/>
    </row>
    <row r="70" spans="1:78" s="349" customFormat="1" ht="13">
      <c r="A70" s="870"/>
      <c r="B70" s="407"/>
      <c r="C70" s="429"/>
      <c r="D70" s="429"/>
      <c r="E70" s="429"/>
      <c r="F70" s="429"/>
      <c r="G70" s="429"/>
      <c r="H70" s="429"/>
      <c r="I70" s="429"/>
      <c r="J70" s="429"/>
      <c r="K70" s="429"/>
      <c r="L70" s="429"/>
      <c r="M70" s="429"/>
      <c r="N70" s="429"/>
      <c r="O70" s="429"/>
      <c r="P70" s="429"/>
      <c r="Q70" s="429"/>
      <c r="R70" s="429"/>
      <c r="S70" s="429"/>
      <c r="T70" s="429"/>
      <c r="U70" s="429"/>
      <c r="V70" s="429"/>
      <c r="W70" s="429"/>
      <c r="X70" s="429"/>
      <c r="Y70" s="429"/>
      <c r="Z70" s="429"/>
      <c r="AA70" s="429"/>
      <c r="AB70" s="347"/>
      <c r="AC70" s="470"/>
      <c r="AD70" s="470"/>
      <c r="AE70" s="470"/>
      <c r="AF70" s="760"/>
      <c r="AG70" s="760"/>
      <c r="AH70" s="760"/>
      <c r="AI70" s="761"/>
      <c r="AJ70" s="1091">
        <f>V67/AJ68</f>
        <v>0</v>
      </c>
      <c r="AK70" s="761"/>
      <c r="AL70" s="761"/>
      <c r="AM70" s="759"/>
      <c r="AN70" s="759"/>
      <c r="AO70" s="759"/>
      <c r="AP70" s="759"/>
      <c r="AQ70" s="759"/>
      <c r="AR70" s="759"/>
      <c r="AS70" s="759"/>
      <c r="BY70" s="486"/>
      <c r="BZ70" s="487"/>
    </row>
    <row r="71" spans="1:78" s="349" customFormat="1" ht="13">
      <c r="A71" s="870"/>
      <c r="B71" s="383" t="s">
        <v>508</v>
      </c>
      <c r="C71" s="383">
        <f>C57</f>
        <v>2007</v>
      </c>
      <c r="D71" s="383">
        <f t="shared" ref="D71:S71" si="166">C71+1</f>
        <v>2008</v>
      </c>
      <c r="E71" s="383">
        <f t="shared" si="166"/>
        <v>2009</v>
      </c>
      <c r="F71" s="383">
        <f t="shared" si="166"/>
        <v>2010</v>
      </c>
      <c r="G71" s="383">
        <f t="shared" si="166"/>
        <v>2011</v>
      </c>
      <c r="H71" s="383">
        <f t="shared" si="166"/>
        <v>2012</v>
      </c>
      <c r="I71" s="383">
        <f t="shared" si="166"/>
        <v>2013</v>
      </c>
      <c r="J71" s="383">
        <f t="shared" si="166"/>
        <v>2014</v>
      </c>
      <c r="K71" s="383">
        <f t="shared" si="166"/>
        <v>2015</v>
      </c>
      <c r="L71" s="383">
        <f t="shared" si="166"/>
        <v>2016</v>
      </c>
      <c r="M71" s="383">
        <f t="shared" si="166"/>
        <v>2017</v>
      </c>
      <c r="N71" s="383">
        <f t="shared" si="166"/>
        <v>2018</v>
      </c>
      <c r="O71" s="383">
        <f t="shared" si="166"/>
        <v>2019</v>
      </c>
      <c r="P71" s="383">
        <f t="shared" si="166"/>
        <v>2020</v>
      </c>
      <c r="Q71" s="383">
        <f t="shared" si="166"/>
        <v>2021</v>
      </c>
      <c r="R71" s="383">
        <f t="shared" si="166"/>
        <v>2022</v>
      </c>
      <c r="S71" s="383">
        <f t="shared" si="166"/>
        <v>2023</v>
      </c>
      <c r="T71" s="383">
        <f t="shared" ref="T71:Y71" si="167">S71+1</f>
        <v>2024</v>
      </c>
      <c r="U71" s="383"/>
      <c r="V71" s="383">
        <f>T71+1</f>
        <v>2025</v>
      </c>
      <c r="W71" s="383">
        <f t="shared" si="167"/>
        <v>2026</v>
      </c>
      <c r="X71" s="383">
        <f t="shared" si="167"/>
        <v>2027</v>
      </c>
      <c r="Y71" s="383">
        <f t="shared" si="167"/>
        <v>2028</v>
      </c>
      <c r="Z71" s="383">
        <f t="shared" ref="Z71" si="168">Y71+1</f>
        <v>2029</v>
      </c>
      <c r="AA71" s="383">
        <f t="shared" ref="AA71" si="169">Z71+1</f>
        <v>2030</v>
      </c>
      <c r="AB71" s="347"/>
      <c r="AC71" s="347"/>
      <c r="AD71" s="347"/>
      <c r="AE71" s="347"/>
      <c r="AF71" s="758"/>
      <c r="AG71" s="758"/>
      <c r="AH71" s="758"/>
      <c r="AI71" s="759"/>
      <c r="AJ71" s="762"/>
      <c r="AK71" s="763"/>
      <c r="AL71" s="763"/>
      <c r="AM71" s="763"/>
      <c r="AN71" s="763"/>
      <c r="AO71" s="763"/>
      <c r="AP71" s="763"/>
      <c r="AQ71" s="763"/>
      <c r="AR71" s="763"/>
      <c r="AS71" s="763"/>
      <c r="BY71" s="486"/>
      <c r="BZ71" s="487"/>
    </row>
    <row r="72" spans="1:78" s="349" customFormat="1" ht="13">
      <c r="A72" s="870"/>
      <c r="B72" s="385" t="s">
        <v>101</v>
      </c>
      <c r="C72" s="364"/>
      <c r="D72" s="364"/>
      <c r="E72" s="364"/>
      <c r="F72" s="364"/>
      <c r="G72" s="364"/>
      <c r="H72" s="364"/>
      <c r="I72" s="364"/>
      <c r="J72" s="364"/>
      <c r="K72" s="364"/>
      <c r="L72" s="364"/>
      <c r="M72" s="364"/>
      <c r="N72" s="364"/>
      <c r="O72" s="364"/>
      <c r="P72" s="364"/>
      <c r="Q72" s="364"/>
      <c r="R72" s="768"/>
      <c r="S72" s="768"/>
      <c r="T72" s="768"/>
      <c r="U72" s="768"/>
      <c r="V72" s="768"/>
      <c r="W72" s="768"/>
      <c r="X72" s="768"/>
      <c r="Y72" s="768"/>
      <c r="Z72" s="768"/>
      <c r="AA72" s="768"/>
      <c r="AB72" s="347"/>
      <c r="AC72" s="347"/>
      <c r="AD72" s="347"/>
      <c r="AE72" s="347"/>
      <c r="AF72" s="758"/>
      <c r="AG72" s="758"/>
      <c r="AH72" s="758"/>
      <c r="AI72" s="759"/>
      <c r="AJ72" s="762"/>
      <c r="AK72" s="763"/>
      <c r="AL72" s="763"/>
      <c r="AM72" s="763"/>
      <c r="AN72" s="763"/>
      <c r="AO72" s="763"/>
      <c r="AP72" s="763"/>
      <c r="AQ72" s="763"/>
      <c r="AR72" s="763"/>
      <c r="AS72" s="763"/>
      <c r="BY72" s="486"/>
      <c r="BZ72" s="487"/>
    </row>
    <row r="73" spans="1:78" s="349" customFormat="1" ht="13">
      <c r="A73" s="870"/>
      <c r="B73" s="632" t="s">
        <v>102</v>
      </c>
      <c r="C73" s="822">
        <f>'Income Statement'!C27</f>
        <v>6868</v>
      </c>
      <c r="D73" s="822">
        <f>'Income Statement'!H27</f>
        <v>11382</v>
      </c>
      <c r="E73" s="822">
        <f>'Income Statement'!M27</f>
        <v>5282.7</v>
      </c>
      <c r="F73" s="822">
        <f>'Income Statement'!R27</f>
        <v>4848</v>
      </c>
      <c r="G73" s="822">
        <f>'Income Statement'!W27</f>
        <v>6522</v>
      </c>
      <c r="H73" s="822">
        <f>'Income Statement'!AB27</f>
        <v>10176</v>
      </c>
      <c r="I73" s="822">
        <f>'Income Statement'!AG27</f>
        <v>7394</v>
      </c>
      <c r="J73" s="822">
        <f>'Income Statement'!AL27</f>
        <v>7095</v>
      </c>
      <c r="K73" s="822">
        <f>'Income Statement'!AQ27</f>
        <v>4146</v>
      </c>
      <c r="L73" s="822">
        <v>5584</v>
      </c>
      <c r="M73" s="822">
        <v>6697</v>
      </c>
      <c r="N73" s="822">
        <v>6273.7529999999997</v>
      </c>
      <c r="O73" s="822">
        <v>9096.1370000000006</v>
      </c>
      <c r="P73" s="822">
        <f>'Income Statement'!BP27</f>
        <v>6155</v>
      </c>
      <c r="Q73" s="822">
        <f>'Income Statement'!BU27</f>
        <v>9921</v>
      </c>
      <c r="R73" s="822">
        <f>'Income Statement'!BZ27</f>
        <v>9063</v>
      </c>
      <c r="S73" s="822">
        <f>'Income Statement'!CE27</f>
        <v>7158</v>
      </c>
      <c r="T73" s="822">
        <f>'Income Statement'!CJ27</f>
        <v>7382</v>
      </c>
      <c r="U73" s="822"/>
      <c r="V73" s="822">
        <f>'Income Statement'!CO236*'Balance Sheet and Cflow'!V74</f>
        <v>20387.570799343855</v>
      </c>
      <c r="W73" s="822">
        <f>'Income Statement'!CP236*'Balance Sheet and Cflow'!W74</f>
        <v>10401.935594551464</v>
      </c>
      <c r="X73" s="822">
        <f>'Income Statement'!CQ236*'Balance Sheet and Cflow'!X74</f>
        <v>10361.99235565762</v>
      </c>
      <c r="Y73" s="822">
        <f>'Income Statement'!CR236*'Balance Sheet and Cflow'!Y74</f>
        <v>10813.115188025306</v>
      </c>
      <c r="Z73" s="822">
        <f>'Income Statement'!CS236*'Balance Sheet and Cflow'!Z74</f>
        <v>11283.256908849437</v>
      </c>
      <c r="AA73" s="822">
        <f>'Income Statement'!CT236*'Balance Sheet and Cflow'!AA74</f>
        <v>12053.5329260614</v>
      </c>
      <c r="AB73" s="347"/>
      <c r="AC73" s="347" t="s">
        <v>729</v>
      </c>
      <c r="AD73" s="347"/>
      <c r="AE73" s="347"/>
      <c r="AF73" s="758"/>
      <c r="AG73" s="758"/>
      <c r="AH73" s="758"/>
      <c r="AI73" s="759"/>
      <c r="AJ73" s="764"/>
      <c r="AK73" s="765"/>
      <c r="AL73" s="765"/>
      <c r="AM73" s="766"/>
      <c r="AN73" s="766"/>
      <c r="AO73" s="766"/>
      <c r="AP73" s="766"/>
      <c r="AQ73" s="766"/>
      <c r="AR73" s="766"/>
      <c r="AS73" s="766"/>
      <c r="BY73" s="486"/>
      <c r="BZ73" s="487"/>
    </row>
    <row r="74" spans="1:78" s="349" customFormat="1" ht="13">
      <c r="A74" s="870"/>
      <c r="B74" s="407" t="s">
        <v>728</v>
      </c>
      <c r="C74" s="353">
        <f>C73/'Income Statement'!C236</f>
        <v>0.8595744680851064</v>
      </c>
      <c r="D74" s="353">
        <f>D73/'Income Statement'!H236</f>
        <v>0.94367702400978992</v>
      </c>
      <c r="E74" s="353">
        <f>E73/'Income Statement'!M236</f>
        <v>0.38540161961041802</v>
      </c>
      <c r="F74" s="353">
        <f>F73/'Income Statement'!R236</f>
        <v>0.27766323024054984</v>
      </c>
      <c r="G74" s="353">
        <f>G73/'Income Statement'!W236</f>
        <v>0.35713503449786443</v>
      </c>
      <c r="H74" s="353">
        <f>H73/'Income Statement'!AB236</f>
        <v>0.48528780580857456</v>
      </c>
      <c r="I74" s="353">
        <f>I73/'Income Statement'!AG236</f>
        <v>0.34769115019279601</v>
      </c>
      <c r="J74" s="353">
        <f>J73/'Income Statement'!AL236</f>
        <v>0.3024296675191816</v>
      </c>
      <c r="K74" s="353">
        <f>K73/'Income Statement'!AQ236</f>
        <v>0.18108757370604936</v>
      </c>
      <c r="L74" s="353">
        <f>L73/'Income Statement'!AV236</f>
        <v>0.26165596738672042</v>
      </c>
      <c r="M74" s="353">
        <f>M73/'Income Statement'!BA236</f>
        <v>0.29243264486266973</v>
      </c>
      <c r="N74" s="353">
        <f>N73/'Income Statement'!BF236</f>
        <v>0.27349947329443219</v>
      </c>
      <c r="O74" s="353">
        <f>O73/'Income Statement'!BK236</f>
        <v>0.36192219649405494</v>
      </c>
      <c r="P74" s="353">
        <f>P73/'Income Statement'!BP236</f>
        <v>0.23664798794421721</v>
      </c>
      <c r="Q74" s="633">
        <f>Q73/'Income Statement'!BU236</f>
        <v>0.37082236147424402</v>
      </c>
      <c r="R74" s="633">
        <f>R73/'Income Statement'!BZ236</f>
        <v>0.31099450504313464</v>
      </c>
      <c r="S74" s="633">
        <f>S73/'Income Statement'!CE236</f>
        <v>0.22145460779191653</v>
      </c>
      <c r="T74" s="633">
        <f>T73/'Income Statement'!CJ236</f>
        <v>0.21464545540005017</v>
      </c>
      <c r="U74" s="633"/>
      <c r="V74" s="595">
        <v>0.48</v>
      </c>
      <c r="W74" s="595">
        <v>0.22</v>
      </c>
      <c r="X74" s="595">
        <v>0.21</v>
      </c>
      <c r="Y74" s="595">
        <v>0.21</v>
      </c>
      <c r="Z74" s="595">
        <v>0.21</v>
      </c>
      <c r="AA74" s="595">
        <v>0.215</v>
      </c>
      <c r="AB74" s="347"/>
      <c r="AC74" s="347"/>
      <c r="AD74" s="347"/>
      <c r="AE74" s="347"/>
      <c r="AF74" s="758"/>
      <c r="AG74" s="758"/>
      <c r="AH74" s="758"/>
      <c r="AI74" s="759"/>
      <c r="AJ74" s="767"/>
      <c r="AK74" s="763"/>
      <c r="AL74" s="763"/>
      <c r="AM74" s="763"/>
      <c r="AN74" s="763"/>
      <c r="AO74" s="763"/>
      <c r="AP74" s="763"/>
      <c r="AQ74" s="763"/>
      <c r="AR74" s="763"/>
      <c r="AS74" s="763"/>
      <c r="BY74" s="486"/>
      <c r="BZ74" s="487"/>
    </row>
    <row r="75" spans="1:78" s="399" customFormat="1" ht="13">
      <c r="A75" s="872"/>
      <c r="B75" s="414" t="s">
        <v>103</v>
      </c>
      <c r="C75" s="756">
        <f>C73+C72</f>
        <v>6868</v>
      </c>
      <c r="D75" s="756">
        <f>D73+D72</f>
        <v>11382</v>
      </c>
      <c r="E75" s="756">
        <f t="shared" ref="E75:K75" si="170">E73+E72</f>
        <v>5282.7</v>
      </c>
      <c r="F75" s="756">
        <f t="shared" si="170"/>
        <v>4848</v>
      </c>
      <c r="G75" s="756">
        <f t="shared" si="170"/>
        <v>6522</v>
      </c>
      <c r="H75" s="756">
        <f t="shared" si="170"/>
        <v>10176</v>
      </c>
      <c r="I75" s="756">
        <f t="shared" si="170"/>
        <v>7394</v>
      </c>
      <c r="J75" s="756">
        <f t="shared" si="170"/>
        <v>7095</v>
      </c>
      <c r="K75" s="756">
        <f t="shared" si="170"/>
        <v>4146</v>
      </c>
      <c r="L75" s="756">
        <f>L73+L72</f>
        <v>5584</v>
      </c>
      <c r="M75" s="756">
        <f t="shared" ref="M75:Q75" si="171">M73+M72</f>
        <v>6697</v>
      </c>
      <c r="N75" s="756">
        <f t="shared" si="171"/>
        <v>6273.7529999999997</v>
      </c>
      <c r="O75" s="756">
        <f t="shared" si="171"/>
        <v>9096.1370000000006</v>
      </c>
      <c r="P75" s="756">
        <f t="shared" ref="P75" si="172">P73+P72</f>
        <v>6155</v>
      </c>
      <c r="Q75" s="756">
        <f t="shared" si="171"/>
        <v>9921</v>
      </c>
      <c r="R75" s="756">
        <f t="shared" ref="R75:Y75" si="173">R73+R72</f>
        <v>9063</v>
      </c>
      <c r="S75" s="756">
        <f t="shared" ref="S75:T75" si="174">S73+S72</f>
        <v>7158</v>
      </c>
      <c r="T75" s="756">
        <f t="shared" si="174"/>
        <v>7382</v>
      </c>
      <c r="U75" s="756"/>
      <c r="V75" s="756">
        <f t="shared" si="173"/>
        <v>20387.570799343855</v>
      </c>
      <c r="W75" s="756">
        <f t="shared" si="173"/>
        <v>10401.935594551464</v>
      </c>
      <c r="X75" s="756">
        <f t="shared" si="173"/>
        <v>10361.99235565762</v>
      </c>
      <c r="Y75" s="756">
        <f t="shared" si="173"/>
        <v>10813.115188025306</v>
      </c>
      <c r="Z75" s="756">
        <f t="shared" ref="Z75:AA75" si="175">Z73+Z72</f>
        <v>11283.256908849437</v>
      </c>
      <c r="AA75" s="756">
        <f t="shared" si="175"/>
        <v>12053.5329260614</v>
      </c>
      <c r="AB75" s="364"/>
      <c r="AC75" s="364"/>
      <c r="AD75" s="364"/>
      <c r="AE75" s="364"/>
      <c r="AF75" s="768"/>
      <c r="AG75" s="768"/>
      <c r="AH75" s="768"/>
      <c r="AI75" s="769"/>
      <c r="AJ75" s="767"/>
      <c r="AK75" s="763"/>
      <c r="AL75" s="763"/>
      <c r="AM75" s="763"/>
      <c r="AN75" s="763"/>
      <c r="AO75" s="763"/>
      <c r="AP75" s="763"/>
      <c r="AQ75" s="763"/>
      <c r="AR75" s="763"/>
      <c r="AS75" s="763"/>
      <c r="BH75" s="349"/>
      <c r="BI75" s="349"/>
      <c r="BJ75" s="349"/>
      <c r="BK75" s="349"/>
      <c r="BL75" s="349"/>
      <c r="BM75" s="349"/>
      <c r="BN75" s="349"/>
      <c r="BO75" s="349"/>
      <c r="BP75" s="349"/>
      <c r="BQ75" s="349"/>
      <c r="BR75" s="349"/>
      <c r="BS75" s="349"/>
      <c r="BT75" s="349"/>
      <c r="BU75" s="349"/>
      <c r="BV75" s="349"/>
      <c r="BW75" s="349"/>
      <c r="BY75" s="488"/>
      <c r="BZ75" s="489"/>
    </row>
    <row r="76" spans="1:78" s="349" customFormat="1" ht="13">
      <c r="A76" s="870"/>
      <c r="B76" s="407" t="s">
        <v>104</v>
      </c>
      <c r="C76" s="353"/>
      <c r="D76" s="353"/>
      <c r="E76" s="353">
        <f>E75/'Income Statement'!M236</f>
        <v>0.38540161961041802</v>
      </c>
      <c r="F76" s="353">
        <f>F75/'Income Statement'!R236</f>
        <v>0.27766323024054984</v>
      </c>
      <c r="G76" s="353">
        <f>G75/'Income Statement'!W236</f>
        <v>0.35713503449786443</v>
      </c>
      <c r="H76" s="353">
        <f>H75/'Income Statement'!AB236</f>
        <v>0.48528780580857456</v>
      </c>
      <c r="I76" s="353">
        <f>I75/'Income Statement'!AG236</f>
        <v>0.34769115019279601</v>
      </c>
      <c r="J76" s="353">
        <f>J75/'Income Statement'!AL236</f>
        <v>0.3024296675191816</v>
      </c>
      <c r="K76" s="353">
        <f>K75/'Income Statement'!AQ236</f>
        <v>0.18108757370604936</v>
      </c>
      <c r="L76" s="353">
        <f>L75/'Income Statement'!AV236</f>
        <v>0.26165596738672042</v>
      </c>
      <c r="M76" s="353">
        <f>M75/'Income Statement'!BA236</f>
        <v>0.29243264486266973</v>
      </c>
      <c r="N76" s="353">
        <f>N75/'Income Statement'!BF236</f>
        <v>0.27349947329443219</v>
      </c>
      <c r="O76" s="353">
        <f>O75/'Income Statement'!BK236</f>
        <v>0.36192219649405494</v>
      </c>
      <c r="P76" s="353">
        <f>P75/'Income Statement'!BL236</f>
        <v>0.94733830258831908</v>
      </c>
      <c r="Q76" s="633">
        <f>Q75/'Income Statement'!BU236</f>
        <v>0.37082236147424402</v>
      </c>
      <c r="R76" s="353">
        <f>R75/'Income Statement'!BZ236</f>
        <v>0.31099450504313464</v>
      </c>
      <c r="S76" s="353">
        <f>S75/'Income Statement'!CE236</f>
        <v>0.22145460779191653</v>
      </c>
      <c r="T76" s="353">
        <f>T75/'Income Statement'!CJ236</f>
        <v>0.21464545540005017</v>
      </c>
      <c r="U76" s="353"/>
      <c r="V76" s="353">
        <f>V75/'Income Statement'!CO236</f>
        <v>0.48000000000000004</v>
      </c>
      <c r="W76" s="353">
        <f>W75/'Income Statement'!CP236</f>
        <v>0.22</v>
      </c>
      <c r="X76" s="353">
        <f>X75/'Income Statement'!CQ236</f>
        <v>0.21</v>
      </c>
      <c r="Y76" s="353">
        <f>Y75/'Income Statement'!CR236</f>
        <v>0.21</v>
      </c>
      <c r="Z76" s="353">
        <f>Z75/'Income Statement'!CS236</f>
        <v>0.21000000000000002</v>
      </c>
      <c r="AA76" s="353">
        <f>AA75/'Income Statement'!CT236</f>
        <v>0.21499999999999997</v>
      </c>
      <c r="AB76" s="347"/>
      <c r="AC76" s="347"/>
      <c r="AD76" s="347"/>
      <c r="AE76" s="347"/>
      <c r="AF76" s="758"/>
      <c r="AG76" s="758"/>
      <c r="AH76" s="758"/>
      <c r="AI76" s="759"/>
      <c r="AJ76" s="767"/>
      <c r="AK76" s="763"/>
      <c r="AL76" s="763"/>
      <c r="AM76" s="763"/>
      <c r="AN76" s="763"/>
      <c r="AO76" s="763"/>
      <c r="AP76" s="763"/>
      <c r="AQ76" s="763"/>
      <c r="AR76" s="763"/>
      <c r="AS76" s="763"/>
      <c r="BY76" s="486"/>
      <c r="BZ76" s="487"/>
    </row>
    <row r="77" spans="1:78" s="349" customFormat="1" ht="13">
      <c r="A77" s="870"/>
      <c r="B77" s="407"/>
      <c r="C77" s="532"/>
      <c r="D77" s="532"/>
      <c r="E77" s="353"/>
      <c r="F77" s="532"/>
      <c r="G77" s="532"/>
      <c r="H77" s="532"/>
      <c r="I77" s="403"/>
      <c r="J77" s="403"/>
      <c r="K77" s="347"/>
      <c r="L77" s="347"/>
      <c r="M77" s="347"/>
      <c r="N77" s="347"/>
      <c r="O77" s="347"/>
      <c r="P77" s="347"/>
      <c r="Q77" s="347"/>
      <c r="R77" s="347"/>
      <c r="S77" s="347"/>
      <c r="T77" s="347"/>
      <c r="U77" s="347"/>
      <c r="V77" s="347"/>
      <c r="W77" s="347"/>
      <c r="X77" s="347"/>
      <c r="Y77" s="347"/>
      <c r="Z77" s="347"/>
      <c r="AA77" s="347"/>
      <c r="AB77" s="347"/>
      <c r="AC77" s="347"/>
      <c r="AD77" s="347"/>
      <c r="AE77" s="347"/>
      <c r="AF77" s="758"/>
      <c r="AG77" s="758"/>
      <c r="AH77" s="758"/>
      <c r="AI77" s="759"/>
      <c r="AJ77" s="767"/>
      <c r="AK77" s="770"/>
      <c r="AL77" s="770"/>
      <c r="AM77" s="770"/>
      <c r="AN77" s="770"/>
      <c r="AO77" s="770"/>
      <c r="AP77" s="770"/>
      <c r="AQ77" s="770"/>
      <c r="AR77" s="770"/>
      <c r="AS77" s="770"/>
      <c r="BY77" s="486"/>
      <c r="BZ77" s="487"/>
    </row>
    <row r="78" spans="1:78" s="349" customFormat="1" ht="13">
      <c r="A78" s="870"/>
      <c r="B78" s="634" t="s">
        <v>105</v>
      </c>
      <c r="C78" s="752">
        <f t="shared" ref="C78:Q78" si="176">C139</f>
        <v>17559</v>
      </c>
      <c r="D78" s="752">
        <f t="shared" si="176"/>
        <v>28941</v>
      </c>
      <c r="E78" s="752">
        <f t="shared" si="176"/>
        <v>34223.699999999997</v>
      </c>
      <c r="F78" s="752">
        <f t="shared" si="176"/>
        <v>39071.699999999997</v>
      </c>
      <c r="G78" s="752">
        <f t="shared" si="176"/>
        <v>45593.7</v>
      </c>
      <c r="H78" s="752">
        <f t="shared" si="176"/>
        <v>55769.7</v>
      </c>
      <c r="I78" s="752">
        <f t="shared" si="176"/>
        <v>63163.7</v>
      </c>
      <c r="J78" s="752">
        <f t="shared" si="176"/>
        <v>70258.7</v>
      </c>
      <c r="K78" s="752">
        <f t="shared" si="176"/>
        <v>74404.7</v>
      </c>
      <c r="L78" s="752">
        <f t="shared" si="176"/>
        <v>74029</v>
      </c>
      <c r="M78" s="752">
        <f t="shared" si="176"/>
        <v>88768</v>
      </c>
      <c r="N78" s="752">
        <f t="shared" si="176"/>
        <v>101653.14599999999</v>
      </c>
      <c r="O78" s="752">
        <f t="shared" si="176"/>
        <v>113337.11</v>
      </c>
      <c r="P78" s="752">
        <f t="shared" si="176"/>
        <v>130165</v>
      </c>
      <c r="Q78" s="752">
        <f t="shared" si="176"/>
        <v>143927.08300000001</v>
      </c>
      <c r="R78" s="752">
        <f t="shared" ref="R78:Y78" si="177">R139</f>
        <v>161490.31299999999</v>
      </c>
      <c r="S78" s="752">
        <f t="shared" ref="S78" si="178">S139</f>
        <v>174221.272</v>
      </c>
      <c r="T78" s="752">
        <f t="shared" si="177"/>
        <v>181603.272</v>
      </c>
      <c r="U78" s="752"/>
      <c r="V78" s="752">
        <f t="shared" si="177"/>
        <v>201990.84279934387</v>
      </c>
      <c r="W78" s="752">
        <f t="shared" si="177"/>
        <v>212392.77839389534</v>
      </c>
      <c r="X78" s="752">
        <f t="shared" si="177"/>
        <v>222754.77074955296</v>
      </c>
      <c r="Y78" s="752">
        <f t="shared" si="177"/>
        <v>233567.88593757828</v>
      </c>
      <c r="Z78" s="752">
        <f t="shared" ref="Z78:AA78" si="179">Z139</f>
        <v>244851.14284642771</v>
      </c>
      <c r="AA78" s="752">
        <f t="shared" si="179"/>
        <v>256904.67577248911</v>
      </c>
      <c r="AB78" s="347"/>
      <c r="AC78" s="347"/>
      <c r="AD78" s="347"/>
      <c r="AE78" s="347"/>
      <c r="AF78" s="758"/>
      <c r="AG78" s="758"/>
      <c r="AH78" s="758"/>
      <c r="AI78" s="759"/>
      <c r="AJ78" s="767"/>
      <c r="AK78" s="763"/>
      <c r="AL78" s="763"/>
      <c r="AM78" s="763"/>
      <c r="AN78" s="763"/>
      <c r="AO78" s="763"/>
      <c r="AP78" s="763"/>
      <c r="AQ78" s="763"/>
      <c r="AR78" s="763"/>
      <c r="AS78" s="763"/>
      <c r="BY78" s="486"/>
      <c r="BZ78" s="487"/>
    </row>
    <row r="79" spans="1:78" s="349" customFormat="1" ht="13">
      <c r="A79" s="870"/>
      <c r="B79" s="634" t="s">
        <v>106</v>
      </c>
      <c r="C79" s="752">
        <f t="shared" ref="C79:Q79" si="180">C140</f>
        <v>1749</v>
      </c>
      <c r="D79" s="752">
        <f t="shared" si="180"/>
        <v>5761</v>
      </c>
      <c r="E79" s="752">
        <f t="shared" si="180"/>
        <v>10607.699999999997</v>
      </c>
      <c r="F79" s="752">
        <f t="shared" si="180"/>
        <v>15874.699999999997</v>
      </c>
      <c r="G79" s="752">
        <f t="shared" si="180"/>
        <v>19978.699999999997</v>
      </c>
      <c r="H79" s="752">
        <f t="shared" si="180"/>
        <v>26126.699999999997</v>
      </c>
      <c r="I79" s="752">
        <f t="shared" si="180"/>
        <v>31885.699999999997</v>
      </c>
      <c r="J79" s="752">
        <f t="shared" si="180"/>
        <v>34399.699999999997</v>
      </c>
      <c r="K79" s="752">
        <f t="shared" si="180"/>
        <v>40978</v>
      </c>
      <c r="L79" s="752">
        <f t="shared" si="180"/>
        <v>40847</v>
      </c>
      <c r="M79" s="752">
        <f t="shared" si="180"/>
        <v>53834</v>
      </c>
      <c r="N79" s="752">
        <f t="shared" si="180"/>
        <v>64893.616000000002</v>
      </c>
      <c r="O79" s="752">
        <f t="shared" si="180"/>
        <v>71255.429999999993</v>
      </c>
      <c r="P79" s="752">
        <f t="shared" si="180"/>
        <v>83003</v>
      </c>
      <c r="Q79" s="752">
        <f t="shared" si="180"/>
        <v>92014.869000000006</v>
      </c>
      <c r="R79" s="752">
        <f t="shared" ref="R79:Y79" si="181">R140</f>
        <v>101016.68399999999</v>
      </c>
      <c r="S79" s="752">
        <f t="shared" ref="S79" si="182">S140</f>
        <v>110330.818</v>
      </c>
      <c r="T79" s="752">
        <f t="shared" si="181"/>
        <v>122470.00426</v>
      </c>
      <c r="U79" s="752"/>
      <c r="V79" s="752">
        <f t="shared" si="181"/>
        <v>133705.32513059999</v>
      </c>
      <c r="W79" s="752">
        <f t="shared" si="181"/>
        <v>146679.57348766131</v>
      </c>
      <c r="X79" s="752">
        <f t="shared" si="181"/>
        <v>159165.08241984577</v>
      </c>
      <c r="Y79" s="752">
        <f t="shared" si="181"/>
        <v>171247.12320249013</v>
      </c>
      <c r="Z79" s="752">
        <f t="shared" ref="Z79:AA79" si="183">Z140</f>
        <v>183088.06812215687</v>
      </c>
      <c r="AA79" s="752">
        <f t="shared" si="183"/>
        <v>194823.05231976832</v>
      </c>
      <c r="AB79" s="347"/>
      <c r="AC79" s="347"/>
      <c r="AD79" s="347"/>
      <c r="AE79" s="347"/>
      <c r="AF79" s="758"/>
      <c r="AG79" s="758"/>
      <c r="AH79" s="758"/>
      <c r="AI79" s="759"/>
      <c r="AJ79" s="759"/>
      <c r="AK79" s="759"/>
      <c r="AL79" s="759"/>
      <c r="AM79" s="759"/>
      <c r="AN79" s="759"/>
      <c r="AO79" s="759"/>
      <c r="AP79" s="759"/>
      <c r="AQ79" s="759"/>
      <c r="AR79" s="759"/>
      <c r="AS79" s="759"/>
      <c r="BY79" s="486"/>
      <c r="BZ79" s="487"/>
    </row>
    <row r="80" spans="1:78" s="349" customFormat="1" ht="13">
      <c r="A80" s="870"/>
      <c r="B80" s="634" t="s">
        <v>107</v>
      </c>
      <c r="C80" s="752">
        <f t="shared" ref="C80:Q80" si="184">C142</f>
        <v>15810</v>
      </c>
      <c r="D80" s="752">
        <f t="shared" si="184"/>
        <v>23180</v>
      </c>
      <c r="E80" s="752">
        <f t="shared" si="184"/>
        <v>23616</v>
      </c>
      <c r="F80" s="752">
        <f t="shared" si="184"/>
        <v>23197</v>
      </c>
      <c r="G80" s="752">
        <f t="shared" si="184"/>
        <v>25615</v>
      </c>
      <c r="H80" s="752">
        <f t="shared" si="184"/>
        <v>29643</v>
      </c>
      <c r="I80" s="752">
        <f t="shared" si="184"/>
        <v>31278</v>
      </c>
      <c r="J80" s="752">
        <f t="shared" si="184"/>
        <v>35859</v>
      </c>
      <c r="K80" s="752">
        <f t="shared" si="184"/>
        <v>33426.699999999997</v>
      </c>
      <c r="L80" s="752">
        <f t="shared" si="184"/>
        <v>33182</v>
      </c>
      <c r="M80" s="752">
        <f t="shared" si="184"/>
        <v>34934</v>
      </c>
      <c r="N80" s="752">
        <f t="shared" si="184"/>
        <v>36759.529999999992</v>
      </c>
      <c r="O80" s="752">
        <f t="shared" si="184"/>
        <v>42081.680000000008</v>
      </c>
      <c r="P80" s="752">
        <f t="shared" si="184"/>
        <v>47162</v>
      </c>
      <c r="Q80" s="752">
        <f t="shared" si="184"/>
        <v>51912.214000000007</v>
      </c>
      <c r="R80" s="752">
        <f t="shared" ref="R80:Y80" si="185">R142</f>
        <v>60473.629000000001</v>
      </c>
      <c r="S80" s="752">
        <f t="shared" ref="S80" si="186">S142</f>
        <v>63890.453999999998</v>
      </c>
      <c r="T80" s="752">
        <f t="shared" si="185"/>
        <v>59133.267739999996</v>
      </c>
      <c r="U80" s="752"/>
      <c r="V80" s="752">
        <f t="shared" si="185"/>
        <v>68285.51766874388</v>
      </c>
      <c r="W80" s="752">
        <f t="shared" si="185"/>
        <v>65713.204906234023</v>
      </c>
      <c r="X80" s="752">
        <f t="shared" si="185"/>
        <v>63589.688329707191</v>
      </c>
      <c r="Y80" s="752">
        <f t="shared" si="185"/>
        <v>62320.762735088152</v>
      </c>
      <c r="Z80" s="752">
        <f t="shared" ref="Z80:AA80" si="187">Z142</f>
        <v>61763.074724270846</v>
      </c>
      <c r="AA80" s="752">
        <f t="shared" si="187"/>
        <v>62081.623452720785</v>
      </c>
      <c r="AB80" s="347"/>
      <c r="AC80" s="347"/>
      <c r="AD80" s="347"/>
      <c r="AE80" s="347"/>
      <c r="AF80" s="758"/>
      <c r="AG80" s="758"/>
      <c r="AH80" s="758"/>
      <c r="AI80" s="759"/>
      <c r="AJ80" s="759"/>
      <c r="AK80" s="759"/>
      <c r="AL80" s="759"/>
      <c r="AM80" s="759"/>
      <c r="AN80" s="759"/>
      <c r="AO80" s="759"/>
      <c r="AP80" s="759"/>
      <c r="AQ80" s="759"/>
      <c r="AR80" s="759"/>
      <c r="AS80" s="759"/>
      <c r="BY80" s="486"/>
      <c r="BZ80" s="487"/>
    </row>
    <row r="81" spans="1:78" s="349" customFormat="1" ht="13">
      <c r="A81" s="870"/>
      <c r="B81" s="634"/>
      <c r="C81" s="820"/>
      <c r="D81" s="820"/>
      <c r="E81" s="820"/>
      <c r="F81" s="820"/>
      <c r="G81" s="820"/>
      <c r="H81" s="820"/>
      <c r="I81" s="820"/>
      <c r="J81" s="820"/>
      <c r="K81" s="820"/>
      <c r="L81" s="820"/>
      <c r="M81" s="820"/>
      <c r="N81" s="820"/>
      <c r="O81" s="820"/>
      <c r="P81" s="820"/>
      <c r="Q81" s="821"/>
      <c r="R81" s="820"/>
      <c r="S81" s="820"/>
      <c r="T81" s="820"/>
      <c r="U81" s="820"/>
      <c r="V81" s="820"/>
      <c r="W81" s="820"/>
      <c r="X81" s="820"/>
      <c r="Y81" s="820"/>
      <c r="Z81" s="820"/>
      <c r="AA81" s="820"/>
      <c r="AB81" s="347"/>
      <c r="AC81" s="347"/>
      <c r="AD81" s="347"/>
      <c r="AE81" s="347"/>
      <c r="AF81" s="758"/>
      <c r="AG81" s="758"/>
      <c r="AH81" s="758"/>
      <c r="AI81" s="759"/>
      <c r="AJ81" s="759"/>
      <c r="AK81" s="759"/>
      <c r="AL81" s="759"/>
      <c r="AM81" s="759"/>
      <c r="AN81" s="759"/>
      <c r="AO81" s="759"/>
      <c r="AP81" s="759"/>
      <c r="AQ81" s="759"/>
      <c r="AR81" s="759"/>
      <c r="AS81" s="759"/>
      <c r="BY81" s="486"/>
      <c r="BZ81" s="487"/>
    </row>
    <row r="82" spans="1:78" s="349" customFormat="1" ht="13">
      <c r="A82" s="870"/>
      <c r="B82" s="634" t="s">
        <v>108</v>
      </c>
      <c r="C82" s="752">
        <f>'Income Statement'!C262</f>
        <v>-643</v>
      </c>
      <c r="D82" s="752">
        <f>'Income Statement'!H262</f>
        <v>-1094</v>
      </c>
      <c r="E82" s="752">
        <f>'Income Statement'!M262</f>
        <v>-1218.3</v>
      </c>
      <c r="F82" s="752">
        <f>'Income Statement'!R262</f>
        <v>-780</v>
      </c>
      <c r="G82" s="752">
        <f>'Income Statement'!W262</f>
        <v>-580</v>
      </c>
      <c r="H82" s="752">
        <f>'Income Statement'!AB262</f>
        <v>-601</v>
      </c>
      <c r="I82" s="752">
        <f>'Income Statement'!AG262</f>
        <v>-293</v>
      </c>
      <c r="J82" s="752">
        <f>'Income Statement'!AL262</f>
        <v>-1346</v>
      </c>
      <c r="K82" s="752">
        <f>'Income Statement'!AQ262</f>
        <v>-1466</v>
      </c>
      <c r="L82" s="752">
        <f>'Income Statement'!AV262</f>
        <v>-1590</v>
      </c>
      <c r="M82" s="752">
        <f>'Income Statement'!BA262</f>
        <v>-1395</v>
      </c>
      <c r="N82" s="752">
        <f>'Income Statement'!BF262</f>
        <v>-1626</v>
      </c>
      <c r="O82" s="752">
        <f>'Income Statement'!BK262</f>
        <v>-2069</v>
      </c>
      <c r="P82" s="752">
        <f>'Income Statement'!BP262</f>
        <v>-2485.2670000000003</v>
      </c>
      <c r="Q82" s="752">
        <f>'Income Statement'!BU262</f>
        <v>-2290.471</v>
      </c>
      <c r="R82" s="752">
        <f>'Income Statement'!BZ262</f>
        <v>-2665.6670000000004</v>
      </c>
      <c r="S82" s="752">
        <f>'Income Statement'!CE262</f>
        <v>-2839.8829999999998</v>
      </c>
      <c r="T82" s="752">
        <f>'Income Statement'!CJ262</f>
        <v>-3032.5460000000003</v>
      </c>
      <c r="U82" s="752"/>
      <c r="V82" s="752">
        <f>'Income Statement'!CO262</f>
        <v>-3085.2438688735665</v>
      </c>
      <c r="W82" s="752">
        <f>'Income Statement'!CP262</f>
        <v>-4102.6764453690657</v>
      </c>
      <c r="X82" s="752">
        <f>'Income Statement'!CQ262</f>
        <v>-4815.4847906609348</v>
      </c>
      <c r="Y82" s="752">
        <f>'Income Statement'!CR262</f>
        <v>-4633.3604535720533</v>
      </c>
      <c r="Z82" s="752">
        <f>'Income Statement'!CS262</f>
        <v>-4454.8104787029542</v>
      </c>
      <c r="AA82" s="752">
        <f>'Income Statement'!CT262</f>
        <v>-4276.9060807905635</v>
      </c>
      <c r="AB82" s="347"/>
      <c r="AC82" s="347"/>
      <c r="AD82" s="347"/>
      <c r="AE82" s="347"/>
      <c r="AF82" s="758"/>
      <c r="AG82" s="758"/>
      <c r="AH82" s="758"/>
      <c r="AI82" s="759"/>
      <c r="AJ82" s="759"/>
      <c r="AK82" s="759"/>
      <c r="AL82" s="759"/>
      <c r="AM82" s="759"/>
      <c r="AN82" s="759"/>
      <c r="AO82" s="759"/>
      <c r="AP82" s="759"/>
      <c r="AQ82" s="759"/>
      <c r="AR82" s="759"/>
      <c r="AS82" s="759"/>
      <c r="BY82" s="486"/>
      <c r="BZ82" s="487"/>
    </row>
    <row r="83" spans="1:78" s="349" customFormat="1" ht="13">
      <c r="A83" s="870"/>
      <c r="B83" s="634" t="s">
        <v>109</v>
      </c>
      <c r="C83" s="752">
        <f>'Income Statement'!C266</f>
        <v>519</v>
      </c>
      <c r="D83" s="752">
        <f>'Income Statement'!H266</f>
        <v>-74</v>
      </c>
      <c r="E83" s="752">
        <f>'Income Statement'!M266</f>
        <v>2350.3000000000002</v>
      </c>
      <c r="F83" s="752">
        <f>'Income Statement'!R266</f>
        <v>3869</v>
      </c>
      <c r="G83" s="752">
        <f>'Income Statement'!W266</f>
        <v>3865</v>
      </c>
      <c r="H83" s="752">
        <f>'Income Statement'!AB266</f>
        <v>3752</v>
      </c>
      <c r="I83" s="752">
        <f>'Income Statement'!AG266</f>
        <v>1389</v>
      </c>
      <c r="J83" s="752">
        <f>'Income Statement'!AL266</f>
        <v>-1070</v>
      </c>
      <c r="K83" s="752">
        <f>'Income Statement'!AQ266</f>
        <v>-630</v>
      </c>
      <c r="L83" s="752">
        <f>'Income Statement'!AV266</f>
        <v>184</v>
      </c>
      <c r="M83" s="752">
        <f>'Income Statement'!BA266</f>
        <v>207</v>
      </c>
      <c r="N83" s="752">
        <f>'Income Statement'!BF266</f>
        <v>-4393</v>
      </c>
      <c r="O83" s="752">
        <f>'Income Statement'!BK266</f>
        <v>1143</v>
      </c>
      <c r="P83" s="752">
        <f>'Income Statement'!BP266</f>
        <v>-1880.5620000000004</v>
      </c>
      <c r="Q83" s="752">
        <f>'Income Statement'!BU266</f>
        <v>1707.54</v>
      </c>
      <c r="R83" s="752">
        <f>'Income Statement'!BZ266</f>
        <v>1353.03</v>
      </c>
      <c r="S83" s="752">
        <f>'Income Statement'!CE266</f>
        <v>1704.5170000000001</v>
      </c>
      <c r="T83" s="752">
        <f>'Income Statement'!CJ266</f>
        <v>2427.2249999999999</v>
      </c>
      <c r="U83" s="752"/>
      <c r="V83" s="752">
        <f>'Income Statement'!CO266</f>
        <v>-3000.7876222995537</v>
      </c>
      <c r="W83" s="752">
        <f>'Income Statement'!CP266</f>
        <v>967.30136245929771</v>
      </c>
      <c r="X83" s="752">
        <f>'Income Statement'!CQ266</f>
        <v>2893.4550061645941</v>
      </c>
      <c r="Y83" s="752">
        <f>'Income Statement'!CR266</f>
        <v>5727.7188318057979</v>
      </c>
      <c r="Z83" s="752">
        <f>'Income Statement'!CS266</f>
        <v>7317.3715651930297</v>
      </c>
      <c r="AA83" s="752">
        <f>'Income Statement'!CT266</f>
        <v>8803.4110259958725</v>
      </c>
      <c r="AB83" s="347"/>
      <c r="AC83" s="347"/>
      <c r="AD83" s="347"/>
      <c r="AE83" s="347"/>
      <c r="AF83" s="347"/>
      <c r="AG83" s="347"/>
      <c r="AH83" s="347"/>
      <c r="BY83" s="486"/>
      <c r="BZ83" s="487"/>
    </row>
    <row r="84" spans="1:78" s="349" customFormat="1" ht="13">
      <c r="A84" s="870"/>
      <c r="B84" s="634" t="s">
        <v>110</v>
      </c>
      <c r="C84" s="752">
        <f>'Income Statement'!C268</f>
        <v>-267</v>
      </c>
      <c r="D84" s="752">
        <f>'Income Statement'!H268</f>
        <v>60</v>
      </c>
      <c r="E84" s="752">
        <f>'Income Statement'!M268</f>
        <v>-640.79999999999995</v>
      </c>
      <c r="F84" s="752">
        <f>'Income Statement'!R268</f>
        <v>-977</v>
      </c>
      <c r="G84" s="752">
        <f>'Income Statement'!W268</f>
        <v>-1035</v>
      </c>
      <c r="H84" s="752">
        <f>'Income Statement'!AB268</f>
        <v>-1035</v>
      </c>
      <c r="I84" s="752">
        <f>'Income Statement'!AG268</f>
        <v>-357</v>
      </c>
      <c r="J84" s="752">
        <f>'Income Statement'!AL268</f>
        <v>179</v>
      </c>
      <c r="K84" s="752">
        <f>'Income Statement'!AQ268</f>
        <v>605</v>
      </c>
      <c r="L84" s="752">
        <f>'Income Statement'!AV268</f>
        <v>190</v>
      </c>
      <c r="M84" s="752">
        <f>'Income Statement'!BA268</f>
        <v>154</v>
      </c>
      <c r="N84" s="752">
        <f>'Income Statement'!BF268</f>
        <v>1099</v>
      </c>
      <c r="O84" s="752">
        <f>'Income Statement'!BK268</f>
        <v>-432</v>
      </c>
      <c r="P84" s="752">
        <f>'Income Statement'!BP268</f>
        <v>225.78900000000027</v>
      </c>
      <c r="Q84" s="752">
        <f>'Income Statement'!BU268</f>
        <v>-419.73299999999983</v>
      </c>
      <c r="R84" s="752">
        <f>'Income Statement'!BZ268</f>
        <v>-231.84199999999987</v>
      </c>
      <c r="S84" s="752">
        <f>'Income Statement'!CE268</f>
        <v>-420.06900000000007</v>
      </c>
      <c r="T84" s="752">
        <f>'Income Statement'!CJ268</f>
        <v>-579.59399999999994</v>
      </c>
      <c r="U84" s="752"/>
      <c r="V84" s="752">
        <f>'Income Statement'!CO268</f>
        <v>716.55429602080062</v>
      </c>
      <c r="W84" s="752">
        <f>'Income Statement'!CP268</f>
        <v>-230.98067376252069</v>
      </c>
      <c r="X84" s="752">
        <f>'Income Statement'!CQ268</f>
        <v>-690.92447582855402</v>
      </c>
      <c r="Y84" s="752">
        <f>'Income Statement'!CR268</f>
        <v>-1367.7147642273173</v>
      </c>
      <c r="Z84" s="752">
        <f>'Income Statement'!CS268</f>
        <v>-1747.3059378329119</v>
      </c>
      <c r="AA84" s="752">
        <f>'Income Statement'!CT268</f>
        <v>-2102.155428607176</v>
      </c>
      <c r="AB84" s="347"/>
      <c r="AC84" s="347"/>
      <c r="AD84" s="347"/>
      <c r="AE84" s="347"/>
      <c r="AF84" s="347"/>
      <c r="AG84" s="347"/>
      <c r="AH84" s="347"/>
      <c r="BY84" s="486"/>
      <c r="BZ84" s="487"/>
    </row>
    <row r="85" spans="1:78" s="349" customFormat="1" ht="13">
      <c r="A85" s="870"/>
      <c r="B85" s="634" t="s">
        <v>111</v>
      </c>
      <c r="C85" s="752">
        <f>'Income Statement'!C266+'Income Statement'!C268</f>
        <v>252</v>
      </c>
      <c r="D85" s="752">
        <f>'Income Statement'!H266+'Income Statement'!H268</f>
        <v>-14</v>
      </c>
      <c r="E85" s="752">
        <f>'Income Statement'!M266+'Income Statement'!M268</f>
        <v>1709.5000000000002</v>
      </c>
      <c r="F85" s="752">
        <f>'Income Statement'!R266+'Income Statement'!R268</f>
        <v>2892</v>
      </c>
      <c r="G85" s="752">
        <f>'Income Statement'!W266+'Income Statement'!W268</f>
        <v>2830</v>
      </c>
      <c r="H85" s="752">
        <f>'Income Statement'!AB266+'Income Statement'!AB268</f>
        <v>2717</v>
      </c>
      <c r="I85" s="752">
        <f>'Income Statement'!AG266+'Income Statement'!AG268</f>
        <v>1032</v>
      </c>
      <c r="J85" s="752">
        <f>'Income Statement'!AL266+'Income Statement'!AL268</f>
        <v>-891</v>
      </c>
      <c r="K85" s="752">
        <f>'Income Statement'!AQ266+'Income Statement'!AQ268</f>
        <v>-25</v>
      </c>
      <c r="L85" s="752">
        <f>'Income Statement'!AV266+'Income Statement'!AV268</f>
        <v>374</v>
      </c>
      <c r="M85" s="752">
        <f>'Income Statement'!BA266+'Income Statement'!BA268</f>
        <v>361</v>
      </c>
      <c r="N85" s="752">
        <f>'Income Statement'!BF266+'Income Statement'!BF268</f>
        <v>-3294</v>
      </c>
      <c r="O85" s="752">
        <f>'Income Statement'!BK266+'Income Statement'!BK268</f>
        <v>711</v>
      </c>
      <c r="P85" s="752">
        <f>'Income Statement'!BP266+'Income Statement'!BP268</f>
        <v>-1654.7730000000001</v>
      </c>
      <c r="Q85" s="752">
        <f>'Income Statement'!BU266+'Income Statement'!BU268</f>
        <v>1287.8070000000002</v>
      </c>
      <c r="R85" s="752">
        <f>'Income Statement'!BZ266+'Income Statement'!BZ268</f>
        <v>1121.1880000000001</v>
      </c>
      <c r="S85" s="752">
        <f>'Income Statement'!CE266+'Income Statement'!CE268</f>
        <v>1284.4479999999999</v>
      </c>
      <c r="T85" s="752">
        <f>'Income Statement'!CJ266+'Income Statement'!CJ268</f>
        <v>1847.6309999999999</v>
      </c>
      <c r="U85" s="752"/>
      <c r="V85" s="752">
        <f>'Income Statement'!CO266+'Income Statement'!CO268</f>
        <v>-2284.2333262787533</v>
      </c>
      <c r="W85" s="752">
        <f>'Income Statement'!CP266+'Income Statement'!CP268</f>
        <v>736.32068869677698</v>
      </c>
      <c r="X85" s="752">
        <f>'Income Statement'!CQ266+'Income Statement'!CQ268</f>
        <v>2202.5305303360401</v>
      </c>
      <c r="Y85" s="752">
        <f>'Income Statement'!CR266+'Income Statement'!CR268</f>
        <v>4360.0040675784803</v>
      </c>
      <c r="Z85" s="752">
        <f>'Income Statement'!CS266+'Income Statement'!CS268</f>
        <v>5570.065627360118</v>
      </c>
      <c r="AA85" s="752">
        <f>'Income Statement'!CT266+'Income Statement'!CT268</f>
        <v>6701.2555973886965</v>
      </c>
      <c r="AB85" s="347"/>
      <c r="AC85" s="347"/>
      <c r="AD85" s="347"/>
      <c r="AE85" s="347"/>
      <c r="AF85" s="347"/>
      <c r="AG85" s="347"/>
      <c r="AH85" s="347"/>
      <c r="BY85" s="486"/>
      <c r="BZ85" s="487"/>
    </row>
    <row r="86" spans="1:78" s="349" customFormat="1" ht="13">
      <c r="A86" s="870"/>
      <c r="B86" s="634"/>
      <c r="C86" s="470"/>
      <c r="D86" s="470"/>
      <c r="E86" s="470"/>
      <c r="F86" s="470"/>
      <c r="G86" s="470"/>
      <c r="H86" s="470"/>
      <c r="I86" s="470"/>
      <c r="J86" s="470"/>
      <c r="K86" s="470"/>
      <c r="L86" s="470"/>
      <c r="M86" s="470"/>
      <c r="N86" s="470"/>
      <c r="O86" s="470"/>
      <c r="P86" s="470"/>
      <c r="Q86" s="470"/>
      <c r="R86" s="470"/>
      <c r="S86" s="470"/>
      <c r="T86" s="470"/>
      <c r="U86" s="470"/>
      <c r="V86" s="470"/>
      <c r="W86" s="470"/>
      <c r="X86" s="470"/>
      <c r="Y86" s="470"/>
      <c r="Z86" s="470"/>
      <c r="AA86" s="470"/>
      <c r="AB86" s="347"/>
      <c r="AC86" s="347"/>
      <c r="AD86" s="347"/>
      <c r="AE86" s="347"/>
      <c r="AF86" s="347"/>
      <c r="AG86" s="347"/>
      <c r="AH86" s="347"/>
      <c r="BY86" s="486"/>
      <c r="BZ86" s="487"/>
    </row>
    <row r="87" spans="1:78" s="349" customFormat="1" ht="13">
      <c r="A87" s="870"/>
      <c r="B87" s="634"/>
      <c r="C87" s="470"/>
      <c r="D87" s="470"/>
      <c r="E87" s="470"/>
      <c r="F87" s="470"/>
      <c r="G87" s="470"/>
      <c r="H87" s="470"/>
      <c r="I87" s="470"/>
      <c r="J87" s="470"/>
      <c r="K87" s="470"/>
      <c r="L87" s="470"/>
      <c r="M87" s="470"/>
      <c r="N87" s="470"/>
      <c r="O87" s="470"/>
      <c r="P87" s="470"/>
      <c r="Q87" s="470"/>
      <c r="R87" s="470"/>
      <c r="S87" s="470"/>
      <c r="T87" s="470"/>
      <c r="U87" s="470"/>
      <c r="V87" s="470"/>
      <c r="W87" s="470"/>
      <c r="X87" s="470"/>
      <c r="Y87" s="470"/>
      <c r="Z87" s="470"/>
      <c r="AA87" s="470"/>
      <c r="AB87" s="347"/>
      <c r="AC87" s="347"/>
      <c r="AD87" s="347"/>
      <c r="AE87" s="347"/>
      <c r="AF87" s="347"/>
      <c r="AG87" s="347"/>
      <c r="AH87" s="347"/>
      <c r="BY87" s="486"/>
      <c r="BZ87" s="487"/>
    </row>
    <row r="88" spans="1:78" s="349" customFormat="1" ht="13">
      <c r="A88" s="870"/>
      <c r="B88" s="634"/>
      <c r="C88" s="470"/>
      <c r="D88" s="470"/>
      <c r="E88" s="470"/>
      <c r="F88" s="470"/>
      <c r="G88" s="470"/>
      <c r="H88" s="470"/>
      <c r="I88" s="470"/>
      <c r="J88" s="470"/>
      <c r="K88" s="470"/>
      <c r="L88" s="470"/>
      <c r="M88" s="470"/>
      <c r="N88" s="470"/>
      <c r="O88" s="470"/>
      <c r="P88" s="470"/>
      <c r="Q88" s="470"/>
      <c r="R88" s="470"/>
      <c r="S88" s="470"/>
      <c r="T88" s="470"/>
      <c r="U88" s="470"/>
      <c r="V88" s="470"/>
      <c r="W88" s="470"/>
      <c r="X88" s="470"/>
      <c r="Y88" s="470"/>
      <c r="Z88" s="470"/>
      <c r="AA88" s="470"/>
      <c r="AB88" s="347"/>
      <c r="AC88" s="347"/>
      <c r="AD88" s="347"/>
      <c r="AE88" s="347"/>
      <c r="AF88" s="347"/>
      <c r="AG88" s="347"/>
      <c r="AH88" s="347"/>
      <c r="BY88" s="486"/>
      <c r="BZ88" s="487"/>
    </row>
    <row r="89" spans="1:78" s="349" customFormat="1" ht="13">
      <c r="A89" s="870"/>
      <c r="B89" s="483" t="s">
        <v>151</v>
      </c>
      <c r="C89" s="485">
        <f>C$2</f>
        <v>2007</v>
      </c>
      <c r="D89" s="485">
        <f t="shared" ref="D89:S89" si="188">C89+1</f>
        <v>2008</v>
      </c>
      <c r="E89" s="485">
        <f t="shared" si="188"/>
        <v>2009</v>
      </c>
      <c r="F89" s="485">
        <f t="shared" si="188"/>
        <v>2010</v>
      </c>
      <c r="G89" s="485">
        <f t="shared" si="188"/>
        <v>2011</v>
      </c>
      <c r="H89" s="485">
        <f t="shared" si="188"/>
        <v>2012</v>
      </c>
      <c r="I89" s="485">
        <f t="shared" si="188"/>
        <v>2013</v>
      </c>
      <c r="J89" s="485">
        <f t="shared" si="188"/>
        <v>2014</v>
      </c>
      <c r="K89" s="485">
        <f t="shared" si="188"/>
        <v>2015</v>
      </c>
      <c r="L89" s="485">
        <f t="shared" si="188"/>
        <v>2016</v>
      </c>
      <c r="M89" s="485">
        <f t="shared" si="188"/>
        <v>2017</v>
      </c>
      <c r="N89" s="485">
        <f t="shared" si="188"/>
        <v>2018</v>
      </c>
      <c r="O89" s="485">
        <f t="shared" si="188"/>
        <v>2019</v>
      </c>
      <c r="P89" s="485">
        <f t="shared" si="188"/>
        <v>2020</v>
      </c>
      <c r="Q89" s="485">
        <f t="shared" si="188"/>
        <v>2021</v>
      </c>
      <c r="R89" s="485">
        <f t="shared" si="188"/>
        <v>2022</v>
      </c>
      <c r="S89" s="485">
        <f t="shared" si="188"/>
        <v>2023</v>
      </c>
      <c r="T89" s="485">
        <f t="shared" ref="T89:Y89" si="189">S89+1</f>
        <v>2024</v>
      </c>
      <c r="U89" s="485"/>
      <c r="V89" s="485">
        <f>T89+1</f>
        <v>2025</v>
      </c>
      <c r="W89" s="485">
        <f t="shared" si="189"/>
        <v>2026</v>
      </c>
      <c r="X89" s="485">
        <f t="shared" si="189"/>
        <v>2027</v>
      </c>
      <c r="Y89" s="485">
        <f t="shared" si="189"/>
        <v>2028</v>
      </c>
      <c r="Z89" s="485">
        <f t="shared" ref="Z89" si="190">Y89+1</f>
        <v>2029</v>
      </c>
      <c r="AA89" s="485">
        <f t="shared" ref="AA89" si="191">Z89+1</f>
        <v>2030</v>
      </c>
      <c r="AB89" s="347"/>
      <c r="AC89" s="470"/>
      <c r="AD89" s="470"/>
      <c r="AE89" s="470"/>
      <c r="AF89" s="470"/>
      <c r="AG89" s="470"/>
      <c r="AH89" s="470"/>
      <c r="AI89" s="429"/>
      <c r="AJ89" s="429"/>
      <c r="AK89" s="429"/>
      <c r="AL89" s="429"/>
      <c r="BY89" s="486"/>
      <c r="BZ89" s="487"/>
    </row>
    <row r="90" spans="1:78" s="349" customFormat="1" ht="13">
      <c r="A90" s="870"/>
      <c r="B90" s="670" t="s">
        <v>152</v>
      </c>
      <c r="C90" s="752">
        <f>C21-C29+C26+C27</f>
        <v>15103</v>
      </c>
      <c r="D90" s="752">
        <f t="shared" ref="D90:T90" si="192">D21-D29+D26+D27</f>
        <v>23995</v>
      </c>
      <c r="E90" s="752">
        <f t="shared" si="192"/>
        <v>23846</v>
      </c>
      <c r="F90" s="752">
        <f t="shared" si="192"/>
        <v>23665</v>
      </c>
      <c r="G90" s="752">
        <f t="shared" si="192"/>
        <v>26262</v>
      </c>
      <c r="H90" s="752">
        <f t="shared" si="192"/>
        <v>31022</v>
      </c>
      <c r="I90" s="752">
        <f t="shared" si="192"/>
        <v>41151</v>
      </c>
      <c r="J90" s="752">
        <f t="shared" si="192"/>
        <v>52230</v>
      </c>
      <c r="K90" s="752">
        <f t="shared" si="192"/>
        <v>47017.7</v>
      </c>
      <c r="L90" s="752">
        <f t="shared" si="192"/>
        <v>44063</v>
      </c>
      <c r="M90" s="752">
        <f t="shared" si="192"/>
        <v>44865.357000000004</v>
      </c>
      <c r="N90" s="752">
        <f t="shared" si="192"/>
        <v>44458.634999999995</v>
      </c>
      <c r="O90" s="752">
        <f t="shared" si="192"/>
        <v>48891.562000000005</v>
      </c>
      <c r="P90" s="752">
        <f t="shared" si="192"/>
        <v>55129.767999999989</v>
      </c>
      <c r="Q90" s="752">
        <f t="shared" si="192"/>
        <v>58075.773000000001</v>
      </c>
      <c r="R90" s="752">
        <f t="shared" si="192"/>
        <v>71846.038</v>
      </c>
      <c r="S90" s="752">
        <f t="shared" si="192"/>
        <v>74422.790000000008</v>
      </c>
      <c r="T90" s="752">
        <f t="shared" si="192"/>
        <v>74252.096999999994</v>
      </c>
      <c r="U90" s="752"/>
      <c r="V90" s="752">
        <f t="shared" ref="V90:AA90" si="193">V21-V29</f>
        <v>76474.009950763546</v>
      </c>
      <c r="W90" s="752">
        <f t="shared" si="193"/>
        <v>74352.591727513267</v>
      </c>
      <c r="X90" s="752">
        <f t="shared" si="193"/>
        <v>72806.944502703176</v>
      </c>
      <c r="Y90" s="752">
        <f t="shared" si="193"/>
        <v>72180.70298477693</v>
      </c>
      <c r="Z90" s="752">
        <f t="shared" si="193"/>
        <v>72294.440756321434</v>
      </c>
      <c r="AA90" s="752">
        <f t="shared" si="193"/>
        <v>73290.008957386395</v>
      </c>
      <c r="AB90" s="347"/>
      <c r="AC90" s="470"/>
      <c r="AD90" s="470"/>
      <c r="AE90" s="470"/>
      <c r="AF90" s="470"/>
      <c r="AG90" s="470"/>
      <c r="AH90" s="470"/>
      <c r="AI90" s="429"/>
      <c r="AJ90" s="429"/>
      <c r="AK90" s="429"/>
      <c r="AL90" s="429"/>
      <c r="BY90" s="486"/>
      <c r="BZ90" s="487"/>
    </row>
    <row r="91" spans="1:78" s="349" customFormat="1" ht="13">
      <c r="A91" s="870"/>
      <c r="B91" s="670" t="s">
        <v>153</v>
      </c>
      <c r="C91" s="752">
        <f>(1-C296)*'Income Statement'!C442</f>
        <v>855.05202312138726</v>
      </c>
      <c r="D91" s="752">
        <f>(1-D296)*'Income Statement'!H442</f>
        <v>331.52189189189181</v>
      </c>
      <c r="E91" s="752">
        <f>(1-E296)*'Income Statement'!M442</f>
        <v>4513.9586435774163</v>
      </c>
      <c r="F91" s="752">
        <f>(1-F296)*'Income Statement'!R442</f>
        <v>6943.3414318945461</v>
      </c>
      <c r="G91" s="752">
        <f>(1-G296)*'Income Statement'!W442</f>
        <v>6846.183699870634</v>
      </c>
      <c r="H91" s="752">
        <f>(1-H296)*'Income Statement'!AB442</f>
        <v>7057.5378464818759</v>
      </c>
      <c r="I91" s="752">
        <f>(1-I296)*'Income Statement'!AG442</f>
        <v>6434.2116630669543</v>
      </c>
      <c r="J91" s="752">
        <f>(1-J296)*'Income Statement'!AL442</f>
        <v>7181.2934579439252</v>
      </c>
      <c r="K91" s="752">
        <f>(1-K296)*'Income Statement'!AQ442</f>
        <v>333.01587301587278</v>
      </c>
      <c r="L91" s="752">
        <f>(1-L296)*'Income Statement'!AV442</f>
        <v>16378.760869565216</v>
      </c>
      <c r="M91" s="752">
        <f>(1-M296)*'Income Statement'!BA442</f>
        <v>14511.502415458937</v>
      </c>
      <c r="N91" s="752">
        <f>(1-N296)*'Income Statement'!BF442+4000*0.75</f>
        <v>9383.1496338083325</v>
      </c>
      <c r="O91" s="752">
        <f>0.75*'Income Statement'!BK442</f>
        <v>7475.1389999999992</v>
      </c>
      <c r="P91" s="752">
        <f>0.75*'Income Statement'!BP442</f>
        <v>9795.0194999999967</v>
      </c>
      <c r="Q91" s="752">
        <f>(1-Q296)*'Income Statement'!BU257</f>
        <v>2512.0306316753922</v>
      </c>
      <c r="R91" s="752">
        <f>(1-R296)*'Income Statement'!BZ257</f>
        <v>3041.7280299416861</v>
      </c>
      <c r="S91" s="752">
        <f>(1-S296)*'Income Statement'!CE257</f>
        <v>3419.0632375130317</v>
      </c>
      <c r="T91" s="752">
        <f>(1-T296)*'Income Statement'!CJ257</f>
        <v>4418.5763572042151</v>
      </c>
      <c r="U91" s="752"/>
      <c r="V91" s="752">
        <f>(1-V296)*'Income Statement'!CO257</f>
        <v>1586.7115653941394</v>
      </c>
      <c r="W91" s="752">
        <f>(1-W296)*'Income Statement'!CP257</f>
        <v>3859.3241941129177</v>
      </c>
      <c r="X91" s="752">
        <f>(1-X296)*'Income Statement'!CQ257</f>
        <v>5868.1317742477722</v>
      </c>
      <c r="Y91" s="752">
        <f>(1-Y296)*'Income Statement'!CR257</f>
        <v>7886.970215419652</v>
      </c>
      <c r="Z91" s="752">
        <f>(1-Z296)*'Income Statement'!CS257</f>
        <v>8961.1175238989308</v>
      </c>
      <c r="AA91" s="752">
        <f>(1-AA296)*'Income Statement'!CT257</f>
        <v>9956.8846630736443</v>
      </c>
      <c r="AB91" s="347"/>
      <c r="AC91" s="470"/>
      <c r="AD91" s="470"/>
      <c r="AE91" s="470"/>
      <c r="AF91" s="470"/>
      <c r="AG91" s="470"/>
      <c r="AH91" s="470"/>
      <c r="AI91" s="429"/>
      <c r="AJ91" s="429"/>
      <c r="AK91" s="429"/>
      <c r="AL91" s="429"/>
      <c r="BY91" s="486"/>
      <c r="BZ91" s="487"/>
    </row>
    <row r="92" spans="1:78" s="349" customFormat="1" ht="13">
      <c r="A92" s="870"/>
      <c r="B92" s="407" t="s">
        <v>151</v>
      </c>
      <c r="C92" s="353">
        <f t="shared" ref="C92:Q92" si="194">C91/C90</f>
        <v>5.6614713839726362E-2</v>
      </c>
      <c r="D92" s="353">
        <f t="shared" si="194"/>
        <v>1.3816290556027998E-2</v>
      </c>
      <c r="E92" s="353">
        <f t="shared" si="194"/>
        <v>0.18929626115815718</v>
      </c>
      <c r="F92" s="353">
        <f t="shared" si="194"/>
        <v>0.29340128594525866</v>
      </c>
      <c r="G92" s="353">
        <f t="shared" si="194"/>
        <v>0.26068782651247557</v>
      </c>
      <c r="H92" s="353">
        <f t="shared" si="194"/>
        <v>0.22750105881251614</v>
      </c>
      <c r="I92" s="353">
        <f t="shared" si="194"/>
        <v>0.15635614354613386</v>
      </c>
      <c r="J92" s="353">
        <f t="shared" si="194"/>
        <v>0.13749365226773741</v>
      </c>
      <c r="K92" s="353">
        <f t="shared" si="194"/>
        <v>7.0827767631311787E-3</v>
      </c>
      <c r="L92" s="353">
        <f t="shared" si="194"/>
        <v>0.37171234072952852</v>
      </c>
      <c r="M92" s="353">
        <f t="shared" si="194"/>
        <v>0.32344560225964403</v>
      </c>
      <c r="N92" s="353">
        <f t="shared" si="194"/>
        <v>0.21105348002268476</v>
      </c>
      <c r="O92" s="353">
        <f t="shared" si="194"/>
        <v>0.15289221072544171</v>
      </c>
      <c r="P92" s="353">
        <f t="shared" si="194"/>
        <v>0.177672060945368</v>
      </c>
      <c r="Q92" s="633">
        <f t="shared" si="194"/>
        <v>4.3254364116262253E-2</v>
      </c>
      <c r="R92" s="353">
        <f t="shared" ref="R92:Y92" si="195">R91/R90</f>
        <v>4.233675390620268E-2</v>
      </c>
      <c r="S92" s="353">
        <f t="shared" ref="S92" si="196">S91/S90</f>
        <v>4.5941078499113393E-2</v>
      </c>
      <c r="T92" s="353">
        <f t="shared" si="195"/>
        <v>5.9507765244720505E-2</v>
      </c>
      <c r="U92" s="353"/>
      <c r="V92" s="353">
        <f t="shared" si="195"/>
        <v>2.0748376689227042E-2</v>
      </c>
      <c r="W92" s="353">
        <f t="shared" si="195"/>
        <v>5.1905711750526939E-2</v>
      </c>
      <c r="X92" s="353">
        <f t="shared" si="195"/>
        <v>8.0598517275091805E-2</v>
      </c>
      <c r="Y92" s="353">
        <f t="shared" si="195"/>
        <v>0.1092670185975195</v>
      </c>
      <c r="Z92" s="353">
        <f t="shared" ref="Z92:AA92" si="197">Z91/Z90</f>
        <v>0.12395306513406247</v>
      </c>
      <c r="AA92" s="353">
        <f t="shared" si="197"/>
        <v>0.1358559618796466</v>
      </c>
      <c r="AB92" s="347"/>
      <c r="AC92" s="470"/>
      <c r="AD92" s="470"/>
      <c r="AE92" s="470"/>
      <c r="AF92" s="470"/>
      <c r="AG92" s="470"/>
      <c r="AH92" s="470"/>
      <c r="AI92" s="429"/>
      <c r="AJ92" s="429"/>
      <c r="AK92" s="429"/>
      <c r="AL92" s="429"/>
      <c r="BY92" s="486"/>
      <c r="BZ92" s="487"/>
    </row>
    <row r="93" spans="1:78" s="349" customFormat="1" ht="13">
      <c r="A93" s="870"/>
      <c r="B93" s="407" t="s">
        <v>587</v>
      </c>
      <c r="C93" s="752"/>
      <c r="D93" s="752"/>
      <c r="E93" s="752"/>
      <c r="F93" s="801">
        <f>SUM(C75:F75)+4027</f>
        <v>32407.7</v>
      </c>
      <c r="G93" s="752">
        <f>SUM(C75:G75)</f>
        <v>34902.699999999997</v>
      </c>
      <c r="H93" s="752">
        <f>SUM(D75:H75)</f>
        <v>38210.699999999997</v>
      </c>
      <c r="I93" s="752">
        <f>SUM(E75:I75)</f>
        <v>34222.699999999997</v>
      </c>
      <c r="J93" s="752">
        <f t="shared" ref="J93:S93" si="198">SUM(F75:J75)</f>
        <v>36035</v>
      </c>
      <c r="K93" s="752">
        <f t="shared" si="198"/>
        <v>35333</v>
      </c>
      <c r="L93" s="752">
        <f t="shared" si="198"/>
        <v>34395</v>
      </c>
      <c r="M93" s="752">
        <f t="shared" si="198"/>
        <v>30916</v>
      </c>
      <c r="N93" s="752">
        <f t="shared" si="198"/>
        <v>29795.753000000001</v>
      </c>
      <c r="O93" s="752">
        <f t="shared" si="198"/>
        <v>31796.89</v>
      </c>
      <c r="P93" s="752">
        <f t="shared" si="198"/>
        <v>33805.89</v>
      </c>
      <c r="Q93" s="752">
        <f t="shared" si="198"/>
        <v>38142.89</v>
      </c>
      <c r="R93" s="752">
        <f t="shared" si="198"/>
        <v>40508.89</v>
      </c>
      <c r="S93" s="752">
        <f t="shared" si="198"/>
        <v>41393.137000000002</v>
      </c>
      <c r="T93" s="752">
        <f>SUM(P75:T75)</f>
        <v>39679</v>
      </c>
      <c r="U93" s="752"/>
      <c r="V93" s="752">
        <f>SUM(Q75:V75)</f>
        <v>53911.570799343855</v>
      </c>
      <c r="W93" s="752">
        <f>SUM(R75:W75)</f>
        <v>54392.506393895317</v>
      </c>
      <c r="X93" s="752">
        <f>SUM(S75:X75)</f>
        <v>55691.498749552935</v>
      </c>
      <c r="Y93" s="752">
        <f>SUM(T75:Y75)</f>
        <v>59346.613937578237</v>
      </c>
      <c r="Z93" s="752">
        <f t="shared" ref="Z93" si="199">SUM(V75:Z75)</f>
        <v>63247.870846427671</v>
      </c>
      <c r="AA93" s="752">
        <f t="shared" ref="AA93" si="200">SUM(W75:AA75)</f>
        <v>54913.832973145225</v>
      </c>
      <c r="AB93" s="347"/>
      <c r="AC93" s="470"/>
      <c r="AD93" s="470"/>
      <c r="AE93" s="470"/>
      <c r="AF93" s="470"/>
      <c r="AG93" s="511"/>
      <c r="AH93" s="511"/>
      <c r="AI93" s="429"/>
      <c r="AJ93" s="429"/>
      <c r="AK93" s="429"/>
      <c r="AL93" s="429"/>
      <c r="BY93" s="486"/>
      <c r="BZ93" s="487"/>
    </row>
    <row r="94" spans="1:78" s="349" customFormat="1" ht="13">
      <c r="A94" s="870"/>
      <c r="B94" s="407" t="s">
        <v>227</v>
      </c>
      <c r="C94" s="353" t="e">
        <f t="shared" ref="C94:H94" si="201">C91/C93</f>
        <v>#DIV/0!</v>
      </c>
      <c r="D94" s="353" t="e">
        <f t="shared" si="201"/>
        <v>#DIV/0!</v>
      </c>
      <c r="E94" s="353" t="e">
        <f t="shared" si="201"/>
        <v>#DIV/0!</v>
      </c>
      <c r="F94" s="353">
        <f t="shared" si="201"/>
        <v>0.21424974410077069</v>
      </c>
      <c r="G94" s="353">
        <f t="shared" si="201"/>
        <v>0.19615054708863883</v>
      </c>
      <c r="H94" s="353">
        <f t="shared" si="201"/>
        <v>0.18470056414778782</v>
      </c>
      <c r="I94" s="353">
        <f>I91/I93</f>
        <v>0.18801005365055812</v>
      </c>
      <c r="J94" s="353">
        <f t="shared" ref="J94:Y94" si="202">J91/J93</f>
        <v>0.1992866229483537</v>
      </c>
      <c r="K94" s="353">
        <f t="shared" si="202"/>
        <v>9.4250664539063424E-3</v>
      </c>
      <c r="L94" s="353">
        <f t="shared" si="202"/>
        <v>0.4761959839966628</v>
      </c>
      <c r="M94" s="353">
        <f t="shared" si="202"/>
        <v>0.46938486270730162</v>
      </c>
      <c r="N94" s="353">
        <f t="shared" si="202"/>
        <v>0.31491567384815994</v>
      </c>
      <c r="O94" s="353">
        <f t="shared" si="202"/>
        <v>0.2350902556822381</v>
      </c>
      <c r="P94" s="353">
        <f t="shared" si="202"/>
        <v>0.28974298561582013</v>
      </c>
      <c r="Q94" s="633">
        <f t="shared" si="202"/>
        <v>6.5858424248277786E-2</v>
      </c>
      <c r="R94" s="353">
        <f t="shared" si="202"/>
        <v>7.5087913540501511E-2</v>
      </c>
      <c r="S94" s="353">
        <f t="shared" ref="S94" si="203">S91/S93</f>
        <v>8.2599761344810174E-2</v>
      </c>
      <c r="T94" s="353">
        <f t="shared" si="202"/>
        <v>0.11135805734026097</v>
      </c>
      <c r="U94" s="353"/>
      <c r="V94" s="353">
        <f t="shared" si="202"/>
        <v>2.9431744278047466E-2</v>
      </c>
      <c r="W94" s="353">
        <f t="shared" si="202"/>
        <v>7.0953233266449825E-2</v>
      </c>
      <c r="X94" s="353">
        <f t="shared" si="202"/>
        <v>0.10536853749684513</v>
      </c>
      <c r="Y94" s="353">
        <f t="shared" si="202"/>
        <v>0.13289671797813604</v>
      </c>
      <c r="Z94" s="353">
        <f t="shared" ref="Z94:AA94" si="204">Z91/Z93</f>
        <v>0.14168251680214572</v>
      </c>
      <c r="AA94" s="353">
        <f t="shared" si="204"/>
        <v>0.18131833317741464</v>
      </c>
      <c r="AB94" s="347"/>
      <c r="AC94" s="470"/>
      <c r="AD94" s="470"/>
      <c r="AE94" s="470"/>
      <c r="AF94" s="470"/>
      <c r="AG94" s="511"/>
      <c r="AH94" s="511"/>
      <c r="AI94" s="429"/>
      <c r="AJ94" s="429"/>
      <c r="AK94" s="429"/>
      <c r="AL94" s="429"/>
      <c r="BY94" s="486"/>
      <c r="BZ94" s="487"/>
    </row>
    <row r="95" spans="1:78" s="349" customFormat="1" ht="13">
      <c r="A95" s="870"/>
      <c r="B95" s="407"/>
      <c r="AB95" s="347"/>
      <c r="AC95" s="470"/>
      <c r="AD95" s="470"/>
      <c r="AE95" s="470"/>
      <c r="AF95" s="470"/>
      <c r="AG95" s="511"/>
      <c r="AH95" s="511"/>
      <c r="AI95" s="429"/>
      <c r="AJ95" s="429"/>
      <c r="AK95" s="429"/>
      <c r="AL95" s="429"/>
      <c r="BY95" s="486"/>
      <c r="BZ95" s="487"/>
    </row>
    <row r="96" spans="1:78" s="349" customFormat="1" ht="13">
      <c r="A96" s="870"/>
      <c r="B96" s="483" t="s">
        <v>971</v>
      </c>
      <c r="C96" s="485">
        <f>C$2</f>
        <v>2007</v>
      </c>
      <c r="D96" s="485">
        <f t="shared" ref="D96:S96" si="205">C96+1</f>
        <v>2008</v>
      </c>
      <c r="E96" s="485">
        <f t="shared" si="205"/>
        <v>2009</v>
      </c>
      <c r="F96" s="485">
        <f t="shared" si="205"/>
        <v>2010</v>
      </c>
      <c r="G96" s="485">
        <f t="shared" si="205"/>
        <v>2011</v>
      </c>
      <c r="H96" s="485">
        <f t="shared" si="205"/>
        <v>2012</v>
      </c>
      <c r="I96" s="485">
        <f t="shared" si="205"/>
        <v>2013</v>
      </c>
      <c r="J96" s="485">
        <f t="shared" si="205"/>
        <v>2014</v>
      </c>
      <c r="K96" s="485">
        <f t="shared" si="205"/>
        <v>2015</v>
      </c>
      <c r="L96" s="485">
        <f t="shared" si="205"/>
        <v>2016</v>
      </c>
      <c r="M96" s="485">
        <f t="shared" si="205"/>
        <v>2017</v>
      </c>
      <c r="N96" s="485">
        <f t="shared" si="205"/>
        <v>2018</v>
      </c>
      <c r="O96" s="485">
        <f t="shared" si="205"/>
        <v>2019</v>
      </c>
      <c r="P96" s="485">
        <f t="shared" si="205"/>
        <v>2020</v>
      </c>
      <c r="Q96" s="485">
        <f t="shared" si="205"/>
        <v>2021</v>
      </c>
      <c r="R96" s="485">
        <f t="shared" si="205"/>
        <v>2022</v>
      </c>
      <c r="S96" s="485">
        <f t="shared" si="205"/>
        <v>2023</v>
      </c>
      <c r="T96" s="485">
        <f t="shared" ref="T96:Y96" si="206">S96+1</f>
        <v>2024</v>
      </c>
      <c r="U96" s="485"/>
      <c r="V96" s="485">
        <f>T96+1</f>
        <v>2025</v>
      </c>
      <c r="W96" s="485">
        <f t="shared" si="206"/>
        <v>2026</v>
      </c>
      <c r="X96" s="485">
        <f t="shared" si="206"/>
        <v>2027</v>
      </c>
      <c r="Y96" s="485">
        <f t="shared" si="206"/>
        <v>2028</v>
      </c>
      <c r="Z96" s="485">
        <f t="shared" ref="Z96" si="207">Y96+1</f>
        <v>2029</v>
      </c>
      <c r="AA96" s="485">
        <f t="shared" ref="AA96" si="208">Z96+1</f>
        <v>2030</v>
      </c>
      <c r="AB96" s="364"/>
      <c r="AC96" s="364"/>
      <c r="AD96" s="364"/>
      <c r="AE96" s="364"/>
      <c r="AF96" s="364"/>
      <c r="AG96" s="347"/>
      <c r="AH96" s="347"/>
      <c r="BY96" s="486"/>
      <c r="BZ96" s="487"/>
    </row>
    <row r="97" spans="1:78" s="349" customFormat="1" ht="13">
      <c r="A97" s="870"/>
      <c r="B97" s="414"/>
      <c r="C97" s="399"/>
      <c r="D97" s="399"/>
      <c r="E97" s="399"/>
      <c r="F97" s="399"/>
      <c r="G97" s="399"/>
      <c r="H97" s="399"/>
      <c r="I97" s="399"/>
      <c r="J97" s="399"/>
      <c r="K97" s="399"/>
      <c r="L97" s="399"/>
      <c r="M97" s="399"/>
      <c r="N97" s="399"/>
      <c r="O97" s="399"/>
      <c r="P97" s="399"/>
      <c r="Q97" s="399"/>
      <c r="R97" s="399"/>
      <c r="S97" s="399"/>
      <c r="T97" s="399"/>
      <c r="U97" s="399"/>
      <c r="V97" s="399"/>
      <c r="W97" s="399"/>
      <c r="X97" s="399"/>
      <c r="Y97" s="399"/>
      <c r="Z97" s="399"/>
      <c r="AA97" s="399"/>
      <c r="AB97" s="364"/>
      <c r="AC97" s="364"/>
      <c r="AD97" s="364"/>
      <c r="AE97" s="364"/>
      <c r="AF97" s="364"/>
      <c r="AG97" s="347"/>
      <c r="AH97" s="347"/>
      <c r="BY97" s="486"/>
      <c r="BZ97" s="487"/>
    </row>
    <row r="98" spans="1:78" s="349" customFormat="1" ht="13">
      <c r="A98" s="870"/>
      <c r="B98" s="414" t="s">
        <v>984</v>
      </c>
      <c r="C98" s="399"/>
      <c r="D98" s="399"/>
      <c r="E98" s="399"/>
      <c r="F98" s="399"/>
      <c r="G98" s="399"/>
      <c r="H98" s="399"/>
      <c r="I98" s="399"/>
      <c r="J98" s="399"/>
      <c r="K98" s="399"/>
      <c r="L98" s="399"/>
      <c r="M98" s="399"/>
      <c r="N98" s="399"/>
      <c r="O98" s="399"/>
      <c r="P98" s="399"/>
      <c r="Q98" s="399"/>
      <c r="R98" s="399"/>
      <c r="S98" s="399"/>
      <c r="T98" s="399"/>
      <c r="U98" s="399"/>
      <c r="V98" s="399"/>
      <c r="W98" s="399"/>
      <c r="X98" s="399"/>
      <c r="Y98" s="399"/>
      <c r="Z98" s="399"/>
      <c r="AA98" s="399"/>
      <c r="AB98" s="364"/>
      <c r="AC98" s="364" t="s">
        <v>1028</v>
      </c>
      <c r="AD98" s="364"/>
      <c r="AE98" s="364"/>
      <c r="AF98" s="364"/>
      <c r="AG98" s="347"/>
      <c r="AH98" s="347"/>
      <c r="BY98" s="486"/>
      <c r="BZ98" s="487"/>
    </row>
    <row r="99" spans="1:78" s="752" customFormat="1" ht="13">
      <c r="A99" s="873"/>
      <c r="B99" s="749" t="s">
        <v>973</v>
      </c>
      <c r="C99" s="756"/>
      <c r="D99" s="752">
        <f>C105</f>
        <v>15810</v>
      </c>
      <c r="E99" s="752">
        <f t="shared" ref="E99:T99" si="209">D105</f>
        <v>23180</v>
      </c>
      <c r="F99" s="752">
        <f t="shared" si="209"/>
        <v>23616</v>
      </c>
      <c r="G99" s="752">
        <f t="shared" si="209"/>
        <v>23197</v>
      </c>
      <c r="H99" s="752">
        <f t="shared" si="209"/>
        <v>25615</v>
      </c>
      <c r="I99" s="752">
        <f t="shared" si="209"/>
        <v>29643</v>
      </c>
      <c r="J99" s="752">
        <f t="shared" si="209"/>
        <v>31278</v>
      </c>
      <c r="K99" s="752">
        <f t="shared" si="209"/>
        <v>35859</v>
      </c>
      <c r="L99" s="752">
        <f t="shared" si="209"/>
        <v>33426.699999999997</v>
      </c>
      <c r="M99" s="752">
        <f t="shared" si="209"/>
        <v>33182</v>
      </c>
      <c r="N99" s="752">
        <f t="shared" si="209"/>
        <v>34934</v>
      </c>
      <c r="O99" s="752">
        <f t="shared" si="209"/>
        <v>36759.529999999992</v>
      </c>
      <c r="P99" s="752">
        <f t="shared" si="209"/>
        <v>42081.680000000008</v>
      </c>
      <c r="Q99" s="752">
        <f t="shared" si="209"/>
        <v>47162</v>
      </c>
      <c r="R99" s="752">
        <f t="shared" si="209"/>
        <v>51912.214</v>
      </c>
      <c r="S99" s="752">
        <f t="shared" si="209"/>
        <v>60481.576999999997</v>
      </c>
      <c r="T99" s="752">
        <f t="shared" si="209"/>
        <v>63896.923999999999</v>
      </c>
      <c r="V99" s="752">
        <f>U105</f>
        <v>70101.048999999999</v>
      </c>
      <c r="W99" s="752">
        <f t="shared" ref="W99:AA99" si="210">V105</f>
        <v>77825.552409787037</v>
      </c>
      <c r="X99" s="752">
        <f t="shared" si="210"/>
        <v>75456.21081224666</v>
      </c>
      <c r="Y99" s="752">
        <f t="shared" si="210"/>
        <v>73647.197085498716</v>
      </c>
      <c r="Z99" s="752">
        <f t="shared" si="210"/>
        <v>72796.365067413702</v>
      </c>
      <c r="AA99" s="752">
        <f t="shared" si="210"/>
        <v>72724.358338197548</v>
      </c>
      <c r="AB99" s="756"/>
      <c r="AC99" s="756"/>
      <c r="AD99" s="756"/>
      <c r="AE99" s="756"/>
      <c r="AF99" s="756"/>
    </row>
    <row r="100" spans="1:78" s="752" customFormat="1" ht="13">
      <c r="A100" s="873"/>
      <c r="B100" s="748" t="s">
        <v>985</v>
      </c>
      <c r="C100" s="756"/>
      <c r="D100" s="752">
        <f>D73</f>
        <v>11382</v>
      </c>
      <c r="E100" s="752">
        <f t="shared" ref="E100:S100" si="211">E73</f>
        <v>5282.7</v>
      </c>
      <c r="F100" s="752">
        <f t="shared" si="211"/>
        <v>4848</v>
      </c>
      <c r="G100" s="752">
        <f t="shared" si="211"/>
        <v>6522</v>
      </c>
      <c r="H100" s="752">
        <f t="shared" si="211"/>
        <v>10176</v>
      </c>
      <c r="I100" s="752">
        <f t="shared" si="211"/>
        <v>7394</v>
      </c>
      <c r="J100" s="752">
        <f t="shared" si="211"/>
        <v>7095</v>
      </c>
      <c r="K100" s="752">
        <f t="shared" si="211"/>
        <v>4146</v>
      </c>
      <c r="L100" s="752">
        <f t="shared" si="211"/>
        <v>5584</v>
      </c>
      <c r="M100" s="752">
        <f t="shared" si="211"/>
        <v>6697</v>
      </c>
      <c r="N100" s="752">
        <f t="shared" si="211"/>
        <v>6273.7529999999997</v>
      </c>
      <c r="O100" s="752">
        <f t="shared" si="211"/>
        <v>9096.1370000000006</v>
      </c>
      <c r="P100" s="752">
        <f t="shared" si="211"/>
        <v>6155</v>
      </c>
      <c r="Q100" s="752">
        <f t="shared" si="211"/>
        <v>9921</v>
      </c>
      <c r="R100" s="752">
        <f t="shared" si="211"/>
        <v>9063</v>
      </c>
      <c r="S100" s="752">
        <f t="shared" si="211"/>
        <v>7158</v>
      </c>
      <c r="T100" s="752">
        <f t="shared" ref="T100" si="212">T73</f>
        <v>7382</v>
      </c>
      <c r="V100" s="752">
        <f t="shared" ref="V100:AA100" si="213">V113</f>
        <v>20387.570799343855</v>
      </c>
      <c r="W100" s="752">
        <f t="shared" si="213"/>
        <v>10401.935594551464</v>
      </c>
      <c r="X100" s="752">
        <f t="shared" si="213"/>
        <v>10361.99235565762</v>
      </c>
      <c r="Y100" s="752">
        <f t="shared" si="213"/>
        <v>10813.115188025306</v>
      </c>
      <c r="Z100" s="752">
        <f t="shared" si="213"/>
        <v>11283.256908849437</v>
      </c>
      <c r="AA100" s="752">
        <f t="shared" si="213"/>
        <v>12053.5329260614</v>
      </c>
      <c r="AB100" s="756"/>
      <c r="AC100" s="756"/>
      <c r="AD100" s="756"/>
      <c r="AE100" s="756"/>
      <c r="AF100" s="756"/>
    </row>
    <row r="101" spans="1:78" s="752" customFormat="1" ht="13">
      <c r="A101" s="873"/>
      <c r="B101" s="748" t="s">
        <v>1025</v>
      </c>
      <c r="C101" s="756"/>
      <c r="P101" s="752">
        <f>P124</f>
        <v>7800.9919999999984</v>
      </c>
      <c r="Q101" s="752">
        <f t="shared" ref="Q101:S101" si="214">Q124</f>
        <v>-2927.6990000000005</v>
      </c>
      <c r="R101" s="752">
        <f t="shared" si="214"/>
        <v>10095.432000000001</v>
      </c>
      <c r="S101" s="752">
        <f t="shared" si="214"/>
        <v>8539.8549999999996</v>
      </c>
      <c r="T101" s="752">
        <f t="shared" ref="T101" si="215">T124</f>
        <v>2622.4550000000017</v>
      </c>
      <c r="V101" s="752">
        <f t="shared" ref="V101:AA101" si="216">V124</f>
        <v>3397.9284665573091</v>
      </c>
      <c r="W101" s="752">
        <f t="shared" si="216"/>
        <v>3782.5220343823503</v>
      </c>
      <c r="X101" s="752">
        <f t="shared" si="216"/>
        <v>3947.4256592981405</v>
      </c>
      <c r="Y101" s="752">
        <f t="shared" si="216"/>
        <v>4119.2819763905927</v>
      </c>
      <c r="Z101" s="752">
        <f t="shared" si="216"/>
        <v>4298.3835843235947</v>
      </c>
      <c r="AA101" s="752">
        <f t="shared" si="216"/>
        <v>4485.0355073716846</v>
      </c>
      <c r="AB101" s="756"/>
      <c r="AC101" s="756"/>
      <c r="AD101" s="756"/>
      <c r="AE101" s="756"/>
      <c r="AF101" s="756"/>
    </row>
    <row r="102" spans="1:78" s="752" customFormat="1" ht="13">
      <c r="A102" s="873"/>
      <c r="B102" s="748" t="s">
        <v>1027</v>
      </c>
      <c r="C102" s="756"/>
      <c r="D102" s="752">
        <f t="shared" ref="D102:S102" si="217">-D435</f>
        <v>-3379</v>
      </c>
      <c r="E102" s="752">
        <f t="shared" si="217"/>
        <v>-3741</v>
      </c>
      <c r="F102" s="752">
        <f t="shared" si="217"/>
        <v>-4122</v>
      </c>
      <c r="G102" s="752">
        <f t="shared" si="217"/>
        <v>-4683</v>
      </c>
      <c r="H102" s="752">
        <f t="shared" si="217"/>
        <v>-5066</v>
      </c>
      <c r="I102" s="752">
        <f t="shared" si="217"/>
        <v>-5759</v>
      </c>
      <c r="J102" s="752">
        <f t="shared" si="217"/>
        <v>-6958</v>
      </c>
      <c r="K102" s="752">
        <f t="shared" si="217"/>
        <v>-7135</v>
      </c>
      <c r="L102" s="752">
        <f t="shared" si="217"/>
        <v>-8046</v>
      </c>
      <c r="M102" s="752">
        <f t="shared" si="217"/>
        <v>-6951</v>
      </c>
      <c r="N102" s="752">
        <f t="shared" si="217"/>
        <v>-11621</v>
      </c>
      <c r="O102" s="752">
        <f t="shared" si="217"/>
        <v>-7363</v>
      </c>
      <c r="P102" s="752">
        <f t="shared" si="217"/>
        <v>-12454.688</v>
      </c>
      <c r="Q102" s="752">
        <f t="shared" si="217"/>
        <v>-9956.2270000000008</v>
      </c>
      <c r="R102" s="752">
        <f t="shared" si="217"/>
        <v>-10564.296</v>
      </c>
      <c r="S102" s="752">
        <f t="shared" si="217"/>
        <v>-11347.758</v>
      </c>
      <c r="T102" s="752">
        <f>-T435</f>
        <v>-12074.334999999999</v>
      </c>
      <c r="V102" s="752">
        <f t="shared" ref="V102:AA102" si="218">V114</f>
        <v>-9992.8247999999949</v>
      </c>
      <c r="W102" s="752">
        <f t="shared" si="218"/>
        <v>-10926.040499835961</v>
      </c>
      <c r="X102" s="752">
        <f t="shared" si="218"/>
        <v>-10795.014273514837</v>
      </c>
      <c r="Y102" s="752">
        <f t="shared" si="218"/>
        <v>-10686.758794050533</v>
      </c>
      <c r="Z102" s="752">
        <f t="shared" si="218"/>
        <v>-10718.347892544225</v>
      </c>
      <c r="AA102" s="752">
        <f t="shared" si="218"/>
        <v>-10859.575146620527</v>
      </c>
      <c r="AB102" s="756"/>
      <c r="AD102" s="756"/>
      <c r="AE102" s="756"/>
      <c r="AF102" s="756"/>
      <c r="AG102" s="756"/>
    </row>
    <row r="103" spans="1:78" s="752" customFormat="1" ht="13">
      <c r="A103" s="873"/>
      <c r="B103" s="748" t="s">
        <v>1026</v>
      </c>
      <c r="C103" s="756"/>
      <c r="V103" s="752">
        <f t="shared" ref="V103:AA103" si="219">V125</f>
        <v>-6068.1710561141163</v>
      </c>
      <c r="W103" s="752">
        <f t="shared" si="219"/>
        <v>-5627.7587266382316</v>
      </c>
      <c r="X103" s="752">
        <f t="shared" si="219"/>
        <v>-5323.4174681888753</v>
      </c>
      <c r="Y103" s="752">
        <f t="shared" si="219"/>
        <v>-5096.4703884503688</v>
      </c>
      <c r="Z103" s="752">
        <f t="shared" si="219"/>
        <v>-4935.2993298449719</v>
      </c>
      <c r="AA103" s="752">
        <f t="shared" si="219"/>
        <v>-4830.2506169445096</v>
      </c>
      <c r="AB103" s="756"/>
      <c r="AD103" s="756"/>
      <c r="AE103" s="756"/>
      <c r="AF103" s="756"/>
      <c r="AG103" s="756"/>
    </row>
    <row r="104" spans="1:78" s="752" customFormat="1" ht="13">
      <c r="A104" s="873"/>
      <c r="B104" s="748" t="s">
        <v>501</v>
      </c>
      <c r="C104" s="756"/>
      <c r="D104" s="752">
        <f>D105-D102-D100-D99-D101-D103</f>
        <v>-633</v>
      </c>
      <c r="E104" s="752">
        <f t="shared" ref="E104:S104" si="220">E105-E102-E100-E99-E101-E103</f>
        <v>-1105.7000000000007</v>
      </c>
      <c r="F104" s="752">
        <f t="shared" si="220"/>
        <v>-1145</v>
      </c>
      <c r="G104" s="752">
        <f t="shared" si="220"/>
        <v>579</v>
      </c>
      <c r="H104" s="752">
        <f t="shared" si="220"/>
        <v>-1082</v>
      </c>
      <c r="I104" s="752">
        <f t="shared" si="220"/>
        <v>0</v>
      </c>
      <c r="J104" s="752">
        <f t="shared" si="220"/>
        <v>4444</v>
      </c>
      <c r="K104" s="752">
        <f t="shared" si="220"/>
        <v>556.69999999999709</v>
      </c>
      <c r="L104" s="752">
        <f t="shared" si="220"/>
        <v>2217.3000000000029</v>
      </c>
      <c r="M104" s="752">
        <f t="shared" si="220"/>
        <v>2006</v>
      </c>
      <c r="N104" s="752">
        <f t="shared" si="220"/>
        <v>7172.7769999999946</v>
      </c>
      <c r="O104" s="752">
        <f t="shared" si="220"/>
        <v>3589.0130000000136</v>
      </c>
      <c r="P104" s="752">
        <f t="shared" si="220"/>
        <v>3579.015999999996</v>
      </c>
      <c r="Q104" s="752">
        <f t="shared" si="220"/>
        <v>7713.1399999999994</v>
      </c>
      <c r="R104" s="752">
        <f t="shared" si="220"/>
        <v>-24.773000000008324</v>
      </c>
      <c r="S104" s="752">
        <f t="shared" si="220"/>
        <v>-934.74999999999636</v>
      </c>
      <c r="T104" s="752">
        <f>T105-T102-T100-T99-T101-T103</f>
        <v>-792.57200000000012</v>
      </c>
      <c r="V104" s="756"/>
      <c r="W104" s="756"/>
      <c r="X104" s="756"/>
      <c r="Y104" s="756"/>
      <c r="Z104" s="756"/>
      <c r="AA104" s="756"/>
      <c r="AB104" s="756"/>
      <c r="AC104" s="756"/>
      <c r="AD104" s="756"/>
      <c r="AE104" s="756"/>
      <c r="AF104" s="756"/>
    </row>
    <row r="105" spans="1:78" s="752" customFormat="1" ht="13">
      <c r="A105" s="873"/>
      <c r="B105" s="750" t="s">
        <v>976</v>
      </c>
      <c r="C105" s="754">
        <v>15810</v>
      </c>
      <c r="D105" s="754">
        <v>23180</v>
      </c>
      <c r="E105" s="754">
        <v>23616</v>
      </c>
      <c r="F105" s="754">
        <v>23197</v>
      </c>
      <c r="G105" s="754">
        <v>25615</v>
      </c>
      <c r="H105" s="754">
        <v>29643</v>
      </c>
      <c r="I105" s="754">
        <v>31278</v>
      </c>
      <c r="J105" s="754">
        <v>35859</v>
      </c>
      <c r="K105" s="754">
        <v>33426.699999999997</v>
      </c>
      <c r="L105" s="754">
        <v>33182</v>
      </c>
      <c r="M105" s="754">
        <v>34934</v>
      </c>
      <c r="N105" s="754">
        <v>36759.529999999992</v>
      </c>
      <c r="O105" s="754">
        <v>42081.680000000008</v>
      </c>
      <c r="P105" s="754">
        <v>47162</v>
      </c>
      <c r="Q105" s="754">
        <v>51912.214</v>
      </c>
      <c r="R105" s="754">
        <v>60481.576999999997</v>
      </c>
      <c r="S105" s="754">
        <v>63896.923999999999</v>
      </c>
      <c r="T105" s="754">
        <f>Inputs!BO63</f>
        <v>61034.472000000002</v>
      </c>
      <c r="U105" s="754">
        <v>70101.048999999999</v>
      </c>
      <c r="V105" s="755">
        <f t="shared" ref="V105:AA105" si="221">SUM(V99:V103)</f>
        <v>77825.552409787037</v>
      </c>
      <c r="W105" s="755">
        <f t="shared" si="221"/>
        <v>75456.21081224666</v>
      </c>
      <c r="X105" s="755">
        <f t="shared" si="221"/>
        <v>73647.197085498716</v>
      </c>
      <c r="Y105" s="755">
        <f t="shared" si="221"/>
        <v>72796.365067413702</v>
      </c>
      <c r="Z105" s="755">
        <f t="shared" si="221"/>
        <v>72724.358338197548</v>
      </c>
      <c r="AA105" s="755">
        <f t="shared" si="221"/>
        <v>73573.101008065583</v>
      </c>
      <c r="AB105" s="756"/>
      <c r="AC105" s="756"/>
      <c r="AD105" s="756"/>
      <c r="AE105" s="756"/>
      <c r="AF105" s="756"/>
    </row>
    <row r="106" spans="1:78" s="349" customFormat="1" ht="13">
      <c r="A106" s="870"/>
      <c r="B106" s="414"/>
      <c r="C106" s="399"/>
      <c r="D106" s="399"/>
      <c r="E106" s="399"/>
      <c r="F106" s="399"/>
      <c r="G106" s="399"/>
      <c r="H106" s="399"/>
      <c r="I106" s="399"/>
      <c r="J106" s="399"/>
      <c r="K106" s="399"/>
      <c r="L106" s="399"/>
      <c r="M106" s="399"/>
      <c r="N106" s="399"/>
      <c r="O106" s="399"/>
      <c r="P106" s="399"/>
      <c r="Q106" s="399"/>
      <c r="R106" s="399"/>
      <c r="S106" s="399"/>
      <c r="T106" s="399"/>
      <c r="U106" s="399"/>
      <c r="V106" s="399"/>
      <c r="W106" s="399"/>
      <c r="X106" s="399"/>
      <c r="Y106" s="399"/>
      <c r="Z106" s="399"/>
      <c r="AA106" s="399"/>
      <c r="AB106" s="364"/>
      <c r="AC106" s="364"/>
      <c r="AD106" s="364"/>
      <c r="AE106" s="364"/>
      <c r="AF106" s="364"/>
      <c r="AG106" s="347"/>
      <c r="AH106" s="347"/>
      <c r="BY106" s="486"/>
      <c r="BZ106" s="487"/>
    </row>
    <row r="107" spans="1:78" s="349" customFormat="1" ht="13">
      <c r="A107" s="870"/>
      <c r="B107" s="407" t="s">
        <v>91</v>
      </c>
      <c r="C107" s="399"/>
      <c r="D107" s="752">
        <f>D102+D103</f>
        <v>-3379</v>
      </c>
      <c r="E107" s="752">
        <f t="shared" ref="E107:AA107" si="222">E102+E103</f>
        <v>-3741</v>
      </c>
      <c r="F107" s="752">
        <f t="shared" si="222"/>
        <v>-4122</v>
      </c>
      <c r="G107" s="752">
        <f t="shared" si="222"/>
        <v>-4683</v>
      </c>
      <c r="H107" s="752">
        <f t="shared" si="222"/>
        <v>-5066</v>
      </c>
      <c r="I107" s="752">
        <f t="shared" si="222"/>
        <v>-5759</v>
      </c>
      <c r="J107" s="752">
        <f t="shared" si="222"/>
        <v>-6958</v>
      </c>
      <c r="K107" s="752">
        <f t="shared" si="222"/>
        <v>-7135</v>
      </c>
      <c r="L107" s="752">
        <f t="shared" si="222"/>
        <v>-8046</v>
      </c>
      <c r="M107" s="752">
        <f t="shared" si="222"/>
        <v>-6951</v>
      </c>
      <c r="N107" s="752">
        <f t="shared" si="222"/>
        <v>-11621</v>
      </c>
      <c r="O107" s="752">
        <f t="shared" si="222"/>
        <v>-7363</v>
      </c>
      <c r="P107" s="752">
        <f t="shared" si="222"/>
        <v>-12454.688</v>
      </c>
      <c r="Q107" s="752">
        <f t="shared" si="222"/>
        <v>-9956.2270000000008</v>
      </c>
      <c r="R107" s="752">
        <f t="shared" si="222"/>
        <v>-10564.296</v>
      </c>
      <c r="S107" s="752">
        <f t="shared" si="222"/>
        <v>-11347.758</v>
      </c>
      <c r="T107" s="752">
        <f t="shared" si="222"/>
        <v>-12074.334999999999</v>
      </c>
      <c r="U107" s="752"/>
      <c r="V107" s="752">
        <f t="shared" si="222"/>
        <v>-16060.99585611411</v>
      </c>
      <c r="W107" s="752">
        <f t="shared" si="222"/>
        <v>-16553.799226474192</v>
      </c>
      <c r="X107" s="752">
        <f t="shared" si="222"/>
        <v>-16118.431741703713</v>
      </c>
      <c r="Y107" s="752">
        <f t="shared" si="222"/>
        <v>-15783.229182500902</v>
      </c>
      <c r="Z107" s="752">
        <f t="shared" si="222"/>
        <v>-15653.647222389198</v>
      </c>
      <c r="AA107" s="752">
        <f t="shared" si="222"/>
        <v>-15689.825763565037</v>
      </c>
      <c r="AB107" s="364"/>
      <c r="AC107" s="364"/>
      <c r="AD107" s="364"/>
      <c r="AE107" s="364"/>
      <c r="AF107" s="364"/>
      <c r="AG107" s="347"/>
      <c r="AH107" s="347"/>
      <c r="BY107" s="486"/>
      <c r="BZ107" s="487"/>
    </row>
    <row r="108" spans="1:78" s="349" customFormat="1" ht="13">
      <c r="A108" s="870"/>
      <c r="B108" s="407" t="s">
        <v>0</v>
      </c>
      <c r="C108" s="399"/>
      <c r="D108" s="399"/>
      <c r="E108" s="633">
        <f>IFERROR(E107/D107-1,"")</f>
        <v>0.10713228765907079</v>
      </c>
      <c r="F108" s="633">
        <f t="shared" ref="F108:AA108" si="223">IFERROR(F107/E107-1,"")</f>
        <v>0.10184442662389737</v>
      </c>
      <c r="G108" s="633">
        <f t="shared" si="223"/>
        <v>0.13609898107714691</v>
      </c>
      <c r="H108" s="633">
        <f t="shared" si="223"/>
        <v>8.1785180439889027E-2</v>
      </c>
      <c r="I108" s="633">
        <f t="shared" si="223"/>
        <v>0.13679431504145279</v>
      </c>
      <c r="J108" s="633">
        <f t="shared" si="223"/>
        <v>0.20819586733807949</v>
      </c>
      <c r="K108" s="633">
        <f t="shared" si="223"/>
        <v>2.5438344351825126E-2</v>
      </c>
      <c r="L108" s="633">
        <f t="shared" si="223"/>
        <v>0.1276804484933427</v>
      </c>
      <c r="M108" s="633">
        <f t="shared" si="223"/>
        <v>-0.13609246830723343</v>
      </c>
      <c r="N108" s="633">
        <f t="shared" si="223"/>
        <v>0.67184577758595876</v>
      </c>
      <c r="O108" s="633">
        <f t="shared" si="223"/>
        <v>-0.36640564495310213</v>
      </c>
      <c r="P108" s="633">
        <f t="shared" si="223"/>
        <v>0.69152356376476987</v>
      </c>
      <c r="Q108" s="633">
        <f t="shared" si="223"/>
        <v>-0.20060406169949818</v>
      </c>
      <c r="R108" s="633">
        <f t="shared" si="223"/>
        <v>6.1074240271942415E-2</v>
      </c>
      <c r="S108" s="633">
        <f t="shared" si="223"/>
        <v>7.4161307104609664E-2</v>
      </c>
      <c r="T108" s="633">
        <f t="shared" si="223"/>
        <v>6.4028242407002223E-2</v>
      </c>
      <c r="U108" s="633"/>
      <c r="V108" s="633">
        <f>IFERROR(V107/T107-1,"")</f>
        <v>0.3301764325831702</v>
      </c>
      <c r="W108" s="633">
        <f t="shared" si="223"/>
        <v>3.06832387465239E-2</v>
      </c>
      <c r="X108" s="633">
        <f t="shared" si="223"/>
        <v>-2.6300154956223176E-2</v>
      </c>
      <c r="Y108" s="633">
        <f t="shared" si="223"/>
        <v>-2.0796226616484725E-2</v>
      </c>
      <c r="Z108" s="633">
        <f t="shared" si="223"/>
        <v>-8.2101044477876917E-3</v>
      </c>
      <c r="AA108" s="633">
        <f t="shared" si="223"/>
        <v>2.3111892494991348E-3</v>
      </c>
      <c r="AB108" s="364"/>
      <c r="AC108" s="364"/>
      <c r="AD108" s="364"/>
      <c r="AE108" s="364"/>
      <c r="AF108" s="364"/>
      <c r="AG108" s="347"/>
      <c r="AH108" s="347"/>
      <c r="BY108" s="486"/>
      <c r="BZ108" s="487"/>
    </row>
    <row r="109" spans="1:78" s="349" customFormat="1" ht="13">
      <c r="A109" s="870"/>
      <c r="B109" s="407" t="s">
        <v>464</v>
      </c>
      <c r="C109" s="399"/>
      <c r="D109" s="633">
        <f>-(D100+D101)/(D102+D103)</f>
        <v>3.368452204794318</v>
      </c>
      <c r="E109" s="633">
        <f t="shared" ref="E109:AA109" si="224">-(E100+E101)/(E102+E103)</f>
        <v>1.4121090617481957</v>
      </c>
      <c r="F109" s="633">
        <f t="shared" si="224"/>
        <v>1.1761280931586608</v>
      </c>
      <c r="G109" s="633">
        <f t="shared" si="224"/>
        <v>1.3926969891095451</v>
      </c>
      <c r="H109" s="633">
        <f t="shared" si="224"/>
        <v>2.0086853533359652</v>
      </c>
      <c r="I109" s="633">
        <f t="shared" si="224"/>
        <v>1.2839034554610176</v>
      </c>
      <c r="J109" s="633">
        <f t="shared" si="224"/>
        <v>1.019689565967232</v>
      </c>
      <c r="K109" s="633">
        <f t="shared" si="224"/>
        <v>0.58107918710581641</v>
      </c>
      <c r="L109" s="633">
        <f t="shared" si="224"/>
        <v>0.69400944568729805</v>
      </c>
      <c r="M109" s="633">
        <f t="shared" si="224"/>
        <v>0.9634584951805496</v>
      </c>
      <c r="N109" s="633">
        <f t="shared" si="224"/>
        <v>0.53986343688150762</v>
      </c>
      <c r="O109" s="633">
        <f t="shared" si="224"/>
        <v>1.2353846258318621</v>
      </c>
      <c r="P109" s="633">
        <f t="shared" si="224"/>
        <v>1.1205412773085923</v>
      </c>
      <c r="Q109" s="633">
        <f t="shared" si="224"/>
        <v>0.70240473625199573</v>
      </c>
      <c r="R109" s="633">
        <f t="shared" si="224"/>
        <v>1.8135076866456601</v>
      </c>
      <c r="S109" s="633">
        <f t="shared" si="224"/>
        <v>1.3833441812911413</v>
      </c>
      <c r="T109" s="633">
        <f t="shared" si="224"/>
        <v>0.82857192549320546</v>
      </c>
      <c r="U109" s="633"/>
      <c r="V109" s="633">
        <f t="shared" si="224"/>
        <v>1.4809479735247231</v>
      </c>
      <c r="W109" s="633">
        <f t="shared" si="224"/>
        <v>0.85687022265250556</v>
      </c>
      <c r="X109" s="633">
        <f t="shared" si="224"/>
        <v>0.88776738607469874</v>
      </c>
      <c r="Y109" s="633">
        <f t="shared" si="224"/>
        <v>0.94609265263484021</v>
      </c>
      <c r="Z109" s="633">
        <f t="shared" si="224"/>
        <v>0.99540000306681398</v>
      </c>
      <c r="AA109" s="633">
        <f t="shared" si="224"/>
        <v>1.0540950984834387</v>
      </c>
      <c r="AB109" s="364"/>
      <c r="AC109" s="364"/>
      <c r="AD109" s="364"/>
      <c r="AE109" s="364"/>
      <c r="AF109" s="364"/>
      <c r="AG109" s="347"/>
      <c r="AH109" s="347"/>
      <c r="BY109" s="486"/>
      <c r="BZ109" s="487"/>
    </row>
    <row r="110" spans="1:78" s="349" customFormat="1" ht="13">
      <c r="A110" s="870"/>
      <c r="B110" s="414"/>
      <c r="C110" s="399"/>
      <c r="D110" s="399"/>
      <c r="E110" s="399"/>
      <c r="F110" s="399"/>
      <c r="G110" s="399"/>
      <c r="H110" s="399"/>
      <c r="I110" s="399"/>
      <c r="J110" s="399"/>
      <c r="K110" s="399"/>
      <c r="L110" s="399"/>
      <c r="M110" s="399"/>
      <c r="N110" s="399"/>
      <c r="O110" s="399"/>
      <c r="P110" s="399"/>
      <c r="Q110" s="399"/>
      <c r="R110" s="399"/>
      <c r="S110" s="399"/>
      <c r="T110" s="399"/>
      <c r="U110" s="399"/>
      <c r="V110" s="399"/>
      <c r="W110" s="399"/>
      <c r="X110" s="399"/>
      <c r="Y110" s="399"/>
      <c r="Z110" s="399"/>
      <c r="AA110" s="399"/>
      <c r="AB110" s="364"/>
      <c r="AC110" s="364"/>
      <c r="AD110" s="364"/>
      <c r="AE110" s="364"/>
      <c r="AF110" s="364"/>
      <c r="AG110" s="347"/>
      <c r="AH110" s="347"/>
      <c r="BY110" s="486"/>
      <c r="BZ110" s="487"/>
    </row>
    <row r="111" spans="1:78" s="349" customFormat="1" ht="13">
      <c r="A111" s="870"/>
      <c r="B111" s="806" t="s">
        <v>987</v>
      </c>
      <c r="C111" s="399"/>
      <c r="D111" s="399"/>
      <c r="E111" s="399"/>
      <c r="F111" s="399"/>
      <c r="G111" s="399"/>
      <c r="H111" s="399"/>
      <c r="I111" s="399"/>
      <c r="J111" s="399"/>
      <c r="K111" s="399"/>
      <c r="L111" s="399"/>
      <c r="M111" s="399"/>
      <c r="N111" s="399"/>
      <c r="O111" s="399"/>
      <c r="P111" s="399"/>
      <c r="Q111" s="399"/>
      <c r="R111" s="399"/>
      <c r="S111" s="399"/>
      <c r="T111" s="399"/>
      <c r="U111" s="399"/>
      <c r="V111" s="399"/>
      <c r="W111" s="399"/>
      <c r="X111" s="399"/>
      <c r="Y111" s="399"/>
      <c r="Z111" s="399"/>
      <c r="AA111" s="399"/>
      <c r="AB111" s="364"/>
      <c r="AC111" s="364"/>
      <c r="AD111" s="364"/>
      <c r="AE111" s="364"/>
      <c r="AF111" s="364"/>
      <c r="AG111" s="347"/>
      <c r="AH111" s="347"/>
      <c r="BY111" s="486"/>
      <c r="BZ111" s="487"/>
    </row>
    <row r="112" spans="1:78" s="349" customFormat="1" ht="13">
      <c r="A112" s="870"/>
      <c r="B112" s="807" t="s">
        <v>973</v>
      </c>
      <c r="C112" s="752"/>
      <c r="D112" s="752"/>
      <c r="E112" s="752"/>
      <c r="F112" s="752"/>
      <c r="G112" s="752"/>
      <c r="H112" s="752"/>
      <c r="I112" s="752"/>
      <c r="J112" s="752"/>
      <c r="K112" s="752"/>
      <c r="L112" s="752"/>
      <c r="M112" s="752"/>
      <c r="N112" s="752"/>
      <c r="O112" s="752"/>
      <c r="P112" s="752">
        <f>O116</f>
        <v>17271.516000000007</v>
      </c>
      <c r="Q112" s="752">
        <f t="shared" ref="Q112:S112" si="225">P116</f>
        <v>18443.213</v>
      </c>
      <c r="R112" s="752">
        <f t="shared" si="225"/>
        <v>30187.821</v>
      </c>
      <c r="S112" s="752">
        <f t="shared" si="225"/>
        <v>33262.235000000001</v>
      </c>
      <c r="T112" s="752">
        <f>S116</f>
        <v>32961.623</v>
      </c>
      <c r="U112" s="752"/>
      <c r="V112" s="752">
        <f>U116</f>
        <v>33309.415999999983</v>
      </c>
      <c r="W112" s="752">
        <f t="shared" ref="W112:AA112" si="226">V116</f>
        <v>43704.161999343843</v>
      </c>
      <c r="X112" s="752">
        <f t="shared" si="226"/>
        <v>43180.057094059346</v>
      </c>
      <c r="Y112" s="752">
        <f t="shared" si="226"/>
        <v>42747.035176202131</v>
      </c>
      <c r="Z112" s="752">
        <f t="shared" si="226"/>
        <v>42873.3915701769</v>
      </c>
      <c r="AA112" s="752">
        <f t="shared" si="226"/>
        <v>43438.30058648211</v>
      </c>
      <c r="AB112" s="347"/>
      <c r="AC112" s="347"/>
      <c r="AD112" s="347"/>
      <c r="AE112" s="347"/>
      <c r="AF112" s="347"/>
      <c r="AG112" s="347"/>
      <c r="AH112" s="347"/>
      <c r="BY112" s="486"/>
      <c r="BZ112" s="487"/>
    </row>
    <row r="113" spans="1:78" s="349" customFormat="1" ht="13">
      <c r="A113" s="870"/>
      <c r="B113" s="808" t="s">
        <v>985</v>
      </c>
      <c r="C113" s="752"/>
      <c r="D113" s="752"/>
      <c r="E113" s="752"/>
      <c r="F113" s="752"/>
      <c r="G113" s="752"/>
      <c r="H113" s="752"/>
      <c r="I113" s="752"/>
      <c r="J113" s="752"/>
      <c r="K113" s="752"/>
      <c r="L113" s="752"/>
      <c r="M113" s="752"/>
      <c r="N113" s="752"/>
      <c r="O113" s="752"/>
      <c r="P113" s="752">
        <f t="shared" ref="P113:AA113" si="227">P73</f>
        <v>6155</v>
      </c>
      <c r="Q113" s="752">
        <f t="shared" si="227"/>
        <v>9921</v>
      </c>
      <c r="R113" s="752">
        <f t="shared" si="227"/>
        <v>9063</v>
      </c>
      <c r="S113" s="752">
        <f t="shared" si="227"/>
        <v>7158</v>
      </c>
      <c r="T113" s="752">
        <f t="shared" ref="T113" si="228">T73</f>
        <v>7382</v>
      </c>
      <c r="U113" s="752"/>
      <c r="V113" s="752">
        <f t="shared" si="227"/>
        <v>20387.570799343855</v>
      </c>
      <c r="W113" s="752">
        <f t="shared" si="227"/>
        <v>10401.935594551464</v>
      </c>
      <c r="X113" s="752">
        <f t="shared" si="227"/>
        <v>10361.99235565762</v>
      </c>
      <c r="Y113" s="752">
        <f t="shared" si="227"/>
        <v>10813.115188025306</v>
      </c>
      <c r="Z113" s="752">
        <f t="shared" si="227"/>
        <v>11283.256908849437</v>
      </c>
      <c r="AA113" s="752">
        <f t="shared" si="227"/>
        <v>12053.5329260614</v>
      </c>
      <c r="AB113" s="347"/>
      <c r="AC113" s="347"/>
      <c r="AD113" s="347"/>
      <c r="AE113" s="347"/>
      <c r="AF113" s="347"/>
      <c r="AG113" s="347"/>
      <c r="AH113" s="347"/>
      <c r="BY113" s="486"/>
      <c r="BZ113" s="487"/>
    </row>
    <row r="114" spans="1:78" s="349" customFormat="1" ht="13">
      <c r="A114" s="870"/>
      <c r="B114" s="808" t="s">
        <v>986</v>
      </c>
      <c r="C114" s="756"/>
      <c r="D114" s="756"/>
      <c r="E114" s="756"/>
      <c r="F114" s="756"/>
      <c r="G114" s="756"/>
      <c r="H114" s="756"/>
      <c r="I114" s="756"/>
      <c r="J114" s="756"/>
      <c r="K114" s="756"/>
      <c r="L114" s="756"/>
      <c r="M114" s="756"/>
      <c r="N114" s="756"/>
      <c r="O114" s="756"/>
      <c r="P114" s="752">
        <f>P102-P125</f>
        <v>-8562.3189999999995</v>
      </c>
      <c r="Q114" s="752">
        <f>Q102-Q125</f>
        <v>-5889.5320000000011</v>
      </c>
      <c r="R114" s="752">
        <f>R102-R125</f>
        <v>-5963.8130000000001</v>
      </c>
      <c r="S114" s="752">
        <f>S102-S125</f>
        <v>-6523.8620000000001</v>
      </c>
      <c r="T114" s="752">
        <f>T102-T125</f>
        <v>-6972.0689999999995</v>
      </c>
      <c r="U114" s="752"/>
      <c r="V114" s="752">
        <f t="shared" ref="V114:AA114" si="229">-V118*V112</f>
        <v>-9992.8247999999949</v>
      </c>
      <c r="W114" s="752">
        <f>-W118*W112</f>
        <v>-10926.040499835961</v>
      </c>
      <c r="X114" s="752">
        <f t="shared" si="229"/>
        <v>-10795.014273514837</v>
      </c>
      <c r="Y114" s="752">
        <f t="shared" si="229"/>
        <v>-10686.758794050533</v>
      </c>
      <c r="Z114" s="752">
        <f t="shared" si="229"/>
        <v>-10718.347892544225</v>
      </c>
      <c r="AA114" s="752">
        <f t="shared" si="229"/>
        <v>-10859.575146620527</v>
      </c>
      <c r="AB114" s="364"/>
      <c r="AC114" s="364"/>
      <c r="AD114" s="364"/>
      <c r="AE114" s="364"/>
      <c r="AF114" s="364"/>
      <c r="AG114" s="347"/>
      <c r="AH114" s="347"/>
      <c r="BY114" s="486"/>
      <c r="BZ114" s="487"/>
    </row>
    <row r="115" spans="1:78" s="349" customFormat="1" ht="13">
      <c r="A115" s="870"/>
      <c r="B115" s="808" t="s">
        <v>501</v>
      </c>
      <c r="C115" s="756"/>
      <c r="D115" s="756"/>
      <c r="E115" s="756"/>
      <c r="F115" s="756"/>
      <c r="G115" s="756"/>
      <c r="H115" s="756"/>
      <c r="I115" s="756"/>
      <c r="J115" s="756"/>
      <c r="K115" s="756"/>
      <c r="L115" s="756"/>
      <c r="M115" s="756"/>
      <c r="N115" s="756"/>
      <c r="O115" s="756"/>
      <c r="P115" s="752">
        <f>P116-P114-P113-P112</f>
        <v>3579.0159999999923</v>
      </c>
      <c r="Q115" s="752">
        <f>Q116-Q114-Q113-Q112</f>
        <v>7713.1400000000031</v>
      </c>
      <c r="R115" s="752">
        <f>R116-R114-R113-R112</f>
        <v>-24.77299999999741</v>
      </c>
      <c r="S115" s="752">
        <f>S116-S114-S113-S112</f>
        <v>-934.75</v>
      </c>
      <c r="T115" s="752">
        <f>T116-T114-T113-T112</f>
        <v>-792.57200000000012</v>
      </c>
      <c r="U115" s="752"/>
      <c r="V115" s="756"/>
      <c r="W115" s="756"/>
      <c r="X115" s="756"/>
      <c r="Y115" s="756"/>
      <c r="Z115" s="756"/>
      <c r="AA115" s="756"/>
      <c r="AB115" s="364"/>
      <c r="AC115" s="364"/>
      <c r="AD115" s="364"/>
      <c r="AE115" s="364"/>
      <c r="AF115" s="364"/>
      <c r="AG115" s="347"/>
      <c r="AH115" s="347"/>
      <c r="BY115" s="486"/>
      <c r="BZ115" s="487"/>
    </row>
    <row r="116" spans="1:78" s="399" customFormat="1" ht="13">
      <c r="A116" s="872"/>
      <c r="B116" s="809" t="s">
        <v>976</v>
      </c>
      <c r="C116" s="755"/>
      <c r="D116" s="755"/>
      <c r="E116" s="755"/>
      <c r="F116" s="755"/>
      <c r="G116" s="755"/>
      <c r="H116" s="755"/>
      <c r="I116" s="755"/>
      <c r="J116" s="755"/>
      <c r="K116" s="755"/>
      <c r="L116" s="755"/>
      <c r="M116" s="755"/>
      <c r="N116" s="755"/>
      <c r="O116" s="755">
        <f t="shared" ref="O116:T116" si="230">O105-O126</f>
        <v>17271.516000000007</v>
      </c>
      <c r="P116" s="755">
        <f t="shared" si="230"/>
        <v>18443.213</v>
      </c>
      <c r="Q116" s="755">
        <f t="shared" si="230"/>
        <v>30187.821</v>
      </c>
      <c r="R116" s="755">
        <f t="shared" si="230"/>
        <v>33262.235000000001</v>
      </c>
      <c r="S116" s="755">
        <f t="shared" si="230"/>
        <v>32961.623</v>
      </c>
      <c r="T116" s="755">
        <f t="shared" si="230"/>
        <v>32578.982</v>
      </c>
      <c r="U116" s="754">
        <f>132879.667-99570.251</f>
        <v>33309.415999999983</v>
      </c>
      <c r="V116" s="755">
        <f t="shared" ref="V116:AA116" si="231">V112+V113+V114</f>
        <v>43704.161999343843</v>
      </c>
      <c r="W116" s="755">
        <f t="shared" si="231"/>
        <v>43180.057094059346</v>
      </c>
      <c r="X116" s="755">
        <f t="shared" si="231"/>
        <v>42747.035176202131</v>
      </c>
      <c r="Y116" s="755">
        <f t="shared" si="231"/>
        <v>42873.3915701769</v>
      </c>
      <c r="Z116" s="755">
        <f t="shared" si="231"/>
        <v>43438.30058648211</v>
      </c>
      <c r="AA116" s="755">
        <f t="shared" si="231"/>
        <v>44632.258365922986</v>
      </c>
      <c r="AB116" s="364"/>
      <c r="AC116" s="364"/>
      <c r="AD116" s="364"/>
      <c r="AE116" s="364"/>
      <c r="AF116" s="364"/>
      <c r="AG116" s="364"/>
      <c r="AH116" s="364"/>
      <c r="BY116" s="488"/>
      <c r="BZ116" s="489"/>
    </row>
    <row r="117" spans="1:78" s="349" customFormat="1" ht="13">
      <c r="A117" s="870"/>
      <c r="B117" s="414"/>
      <c r="C117" s="399"/>
      <c r="D117" s="399"/>
      <c r="E117" s="399"/>
      <c r="F117" s="399"/>
      <c r="G117" s="399"/>
      <c r="H117" s="399"/>
      <c r="I117" s="399"/>
      <c r="J117" s="757"/>
      <c r="K117" s="757"/>
      <c r="L117" s="757"/>
      <c r="M117" s="757"/>
      <c r="N117" s="757"/>
      <c r="O117" s="757"/>
      <c r="P117" s="757"/>
      <c r="Q117" s="757"/>
      <c r="R117" s="757"/>
      <c r="S117" s="757"/>
      <c r="T117" s="399"/>
      <c r="U117" s="399"/>
      <c r="V117" s="399"/>
      <c r="W117" s="399"/>
      <c r="X117" s="399"/>
      <c r="Y117" s="399"/>
      <c r="Z117" s="399"/>
      <c r="AA117" s="399"/>
      <c r="AB117" s="364"/>
      <c r="AC117" s="364"/>
      <c r="AD117" s="364"/>
      <c r="AE117" s="364"/>
      <c r="AF117" s="364"/>
      <c r="AG117" s="347"/>
      <c r="AH117" s="347"/>
      <c r="BY117" s="486"/>
      <c r="BZ117" s="487"/>
    </row>
    <row r="118" spans="1:78" s="349" customFormat="1" ht="13">
      <c r="A118" s="870"/>
      <c r="B118" s="751" t="s">
        <v>1005</v>
      </c>
      <c r="C118" s="399"/>
      <c r="D118" s="399"/>
      <c r="E118" s="399"/>
      <c r="F118" s="399"/>
      <c r="G118" s="399"/>
      <c r="H118" s="399"/>
      <c r="I118" s="399"/>
      <c r="J118" s="757"/>
      <c r="K118" s="757"/>
      <c r="L118" s="757"/>
      <c r="M118" s="757"/>
      <c r="N118" s="757"/>
      <c r="O118" s="757"/>
      <c r="P118" s="633">
        <f>-P114/P112</f>
        <v>0.49574797024187084</v>
      </c>
      <c r="Q118" s="633">
        <f t="shared" ref="Q118:S118" si="232">-Q114/Q112</f>
        <v>0.31933329621037293</v>
      </c>
      <c r="R118" s="633">
        <f t="shared" si="232"/>
        <v>0.19755692204482067</v>
      </c>
      <c r="S118" s="633">
        <f t="shared" si="232"/>
        <v>0.19613420445138458</v>
      </c>
      <c r="T118" s="633">
        <f>-T114/T112</f>
        <v>0.21152080405749438</v>
      </c>
      <c r="U118" s="633"/>
      <c r="V118" s="1342">
        <v>0.3</v>
      </c>
      <c r="W118" s="1342">
        <v>0.25</v>
      </c>
      <c r="X118" s="1342">
        <v>0.25</v>
      </c>
      <c r="Y118" s="1342">
        <v>0.25</v>
      </c>
      <c r="Z118" s="1342">
        <v>0.25</v>
      </c>
      <c r="AA118" s="1342">
        <v>0.25</v>
      </c>
      <c r="AB118" s="364"/>
      <c r="AC118" s="364"/>
      <c r="AD118" s="364"/>
      <c r="AE118" s="364"/>
      <c r="AF118" s="364"/>
      <c r="AG118" s="347"/>
      <c r="AH118" s="347"/>
      <c r="BY118" s="486"/>
      <c r="BZ118" s="487"/>
    </row>
    <row r="119" spans="1:78" s="349" customFormat="1" ht="13">
      <c r="A119" s="870"/>
      <c r="B119" s="407" t="s">
        <v>464</v>
      </c>
      <c r="C119" s="399"/>
      <c r="D119" s="399"/>
      <c r="E119" s="399"/>
      <c r="F119" s="399"/>
      <c r="G119" s="399"/>
      <c r="H119" s="399"/>
      <c r="I119" s="399"/>
      <c r="J119" s="757"/>
      <c r="K119" s="757"/>
      <c r="L119" s="757"/>
      <c r="M119" s="757"/>
      <c r="N119" s="757"/>
      <c r="O119" s="757"/>
      <c r="P119" s="633">
        <f>-P114/P113</f>
        <v>1.3911160032493906</v>
      </c>
      <c r="Q119" s="633">
        <f t="shared" ref="Q119:S119" si="233">-Q114/Q113</f>
        <v>0.5936429795383531</v>
      </c>
      <c r="R119" s="633">
        <f t="shared" si="233"/>
        <v>0.65803961160763547</v>
      </c>
      <c r="S119" s="633">
        <f t="shared" si="233"/>
        <v>0.91140849399273538</v>
      </c>
      <c r="T119" s="633">
        <f>-T114/T113</f>
        <v>0.94446884313194246</v>
      </c>
      <c r="U119" s="633"/>
      <c r="V119" s="633">
        <f t="shared" ref="V119:AA119" si="234">-V114/V113</f>
        <v>0.49014298458360717</v>
      </c>
      <c r="W119" s="633">
        <f t="shared" si="234"/>
        <v>1.050385324973462</v>
      </c>
      <c r="X119" s="633">
        <f t="shared" si="234"/>
        <v>1.0417894457932879</v>
      </c>
      <c r="Y119" s="633">
        <f t="shared" si="234"/>
        <v>0.98831452437363265</v>
      </c>
      <c r="Z119" s="633">
        <f t="shared" si="234"/>
        <v>0.94993386919497025</v>
      </c>
      <c r="AA119" s="633">
        <f t="shared" si="234"/>
        <v>0.9009454085565759</v>
      </c>
      <c r="AB119" s="364"/>
      <c r="AC119" s="364"/>
      <c r="AD119" s="364"/>
      <c r="AE119" s="364"/>
      <c r="AF119" s="364"/>
      <c r="AG119" s="347"/>
      <c r="AH119" s="347"/>
      <c r="BY119" s="486"/>
      <c r="BZ119" s="487"/>
    </row>
    <row r="120" spans="1:78" s="349" customFormat="1" ht="13">
      <c r="A120" s="870"/>
      <c r="B120" s="407" t="s">
        <v>1006</v>
      </c>
      <c r="C120" s="399"/>
      <c r="D120" s="399"/>
      <c r="E120" s="399"/>
      <c r="F120" s="399"/>
      <c r="G120" s="399"/>
      <c r="H120" s="399"/>
      <c r="I120" s="399"/>
      <c r="J120" s="757"/>
      <c r="K120" s="757"/>
      <c r="L120" s="757"/>
      <c r="M120" s="757"/>
      <c r="N120" s="757"/>
      <c r="O120" s="757"/>
      <c r="P120" s="633">
        <f t="shared" ref="P120:AA120" si="235">P114/P102</f>
        <v>0.68747759879653347</v>
      </c>
      <c r="Q120" s="633">
        <f t="shared" si="235"/>
        <v>0.59154255924458132</v>
      </c>
      <c r="R120" s="633">
        <f t="shared" si="235"/>
        <v>0.56452535975894658</v>
      </c>
      <c r="S120" s="633">
        <f t="shared" si="235"/>
        <v>0.57490316589409118</v>
      </c>
      <c r="T120" s="633">
        <f t="shared" si="235"/>
        <v>0.57742881906125676</v>
      </c>
      <c r="U120" s="633"/>
      <c r="V120" s="633">
        <f t="shared" si="235"/>
        <v>1</v>
      </c>
      <c r="W120" s="633">
        <f t="shared" si="235"/>
        <v>1</v>
      </c>
      <c r="X120" s="633">
        <f t="shared" si="235"/>
        <v>1</v>
      </c>
      <c r="Y120" s="633">
        <f t="shared" si="235"/>
        <v>1</v>
      </c>
      <c r="Z120" s="633">
        <f t="shared" si="235"/>
        <v>1</v>
      </c>
      <c r="AA120" s="633">
        <f t="shared" si="235"/>
        <v>1</v>
      </c>
      <c r="AB120" s="364"/>
      <c r="AC120" s="364"/>
      <c r="AD120" s="364"/>
      <c r="AE120" s="364"/>
      <c r="AF120" s="364"/>
      <c r="AG120" s="347"/>
      <c r="AH120" s="347"/>
      <c r="BY120" s="486"/>
      <c r="BZ120" s="487"/>
    </row>
    <row r="121" spans="1:78" s="349" customFormat="1" ht="13">
      <c r="A121" s="870"/>
      <c r="B121" s="414"/>
      <c r="C121" s="399"/>
      <c r="D121" s="399"/>
      <c r="E121" s="399"/>
      <c r="F121" s="399"/>
      <c r="G121" s="399"/>
      <c r="H121" s="399"/>
      <c r="I121" s="399"/>
      <c r="J121" s="757"/>
      <c r="K121" s="757"/>
      <c r="L121" s="757"/>
      <c r="M121" s="757"/>
      <c r="N121" s="757"/>
      <c r="O121" s="757"/>
      <c r="P121" s="757"/>
      <c r="Q121" s="757"/>
      <c r="R121" s="757"/>
      <c r="S121" s="757"/>
      <c r="T121" s="399"/>
      <c r="U121" s="399"/>
      <c r="V121" s="399"/>
      <c r="W121" s="399"/>
      <c r="X121" s="399"/>
      <c r="Y121" s="399"/>
      <c r="Z121" s="399"/>
      <c r="AA121" s="399"/>
      <c r="AB121" s="364"/>
      <c r="AC121" s="364"/>
      <c r="AD121" s="364"/>
      <c r="AE121" s="364"/>
      <c r="AF121" s="364"/>
      <c r="AG121" s="347"/>
      <c r="AH121" s="347"/>
      <c r="BY121" s="486"/>
      <c r="BZ121" s="487"/>
    </row>
    <row r="122" spans="1:78" s="349" customFormat="1" ht="13">
      <c r="A122" s="870"/>
      <c r="B122" s="806" t="s">
        <v>972</v>
      </c>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47"/>
      <c r="AC122" s="347"/>
      <c r="AD122" s="347"/>
      <c r="AE122" s="347"/>
      <c r="AF122" s="347"/>
      <c r="AG122" s="347"/>
      <c r="AH122" s="347"/>
      <c r="BY122" s="486"/>
      <c r="BZ122" s="487"/>
    </row>
    <row r="123" spans="1:78" s="354" customFormat="1" ht="13">
      <c r="A123" s="874"/>
      <c r="B123" s="807" t="s">
        <v>973</v>
      </c>
      <c r="C123" s="752"/>
      <c r="D123" s="752"/>
      <c r="E123" s="752"/>
      <c r="F123" s="752"/>
      <c r="G123" s="752"/>
      <c r="H123" s="752"/>
      <c r="I123" s="752"/>
      <c r="J123" s="752"/>
      <c r="K123" s="752"/>
      <c r="L123" s="752"/>
      <c r="M123" s="752"/>
      <c r="N123" s="752"/>
      <c r="O123" s="752"/>
      <c r="P123" s="752">
        <f t="shared" ref="P123:T123" si="236">O126</f>
        <v>24810.164000000001</v>
      </c>
      <c r="Q123" s="752">
        <f t="shared" si="236"/>
        <v>28718.787</v>
      </c>
      <c r="R123" s="752">
        <f t="shared" si="236"/>
        <v>21724.393</v>
      </c>
      <c r="S123" s="752">
        <f t="shared" si="236"/>
        <v>27219.342000000001</v>
      </c>
      <c r="T123" s="752">
        <f t="shared" si="236"/>
        <v>30935.300999999999</v>
      </c>
      <c r="U123" s="752"/>
      <c r="V123" s="752">
        <f>U126</f>
        <v>36791.633000000016</v>
      </c>
      <c r="W123" s="752">
        <f t="shared" ref="W123:AA123" si="237">V126</f>
        <v>34121.390410443208</v>
      </c>
      <c r="X123" s="752">
        <f t="shared" si="237"/>
        <v>32276.153718187328</v>
      </c>
      <c r="Y123" s="752">
        <f t="shared" si="237"/>
        <v>30900.161909296592</v>
      </c>
      <c r="Z123" s="752">
        <f t="shared" si="237"/>
        <v>29922.973497236817</v>
      </c>
      <c r="AA123" s="752">
        <f t="shared" si="237"/>
        <v>29286.057751715438</v>
      </c>
    </row>
    <row r="124" spans="1:78" s="354" customFormat="1" ht="13">
      <c r="A124" s="874"/>
      <c r="B124" s="808" t="s">
        <v>974</v>
      </c>
      <c r="C124" s="752"/>
      <c r="D124" s="752"/>
      <c r="E124" s="752"/>
      <c r="F124" s="752"/>
      <c r="G124" s="752"/>
      <c r="H124" s="752"/>
      <c r="I124" s="752"/>
      <c r="J124" s="752"/>
      <c r="K124" s="752"/>
      <c r="L124" s="752"/>
      <c r="M124" s="752"/>
      <c r="N124" s="752"/>
      <c r="O124" s="752"/>
      <c r="P124" s="752">
        <f>P126-P125-P123</f>
        <v>7800.9919999999984</v>
      </c>
      <c r="Q124" s="752">
        <f>Q126-Q125-Q123</f>
        <v>-2927.6990000000005</v>
      </c>
      <c r="R124" s="752">
        <f>R126-R125-R123</f>
        <v>10095.432000000001</v>
      </c>
      <c r="S124" s="752">
        <f>S126-S125-S123</f>
        <v>8539.8549999999996</v>
      </c>
      <c r="T124" s="752">
        <f>T126-T125-T123</f>
        <v>2622.4550000000017</v>
      </c>
      <c r="U124" s="752"/>
      <c r="V124" s="752">
        <f t="shared" ref="V124:AA124" si="238">V218</f>
        <v>3397.9284665573091</v>
      </c>
      <c r="W124" s="752">
        <f t="shared" si="238"/>
        <v>3782.5220343823503</v>
      </c>
      <c r="X124" s="752">
        <f t="shared" si="238"/>
        <v>3947.4256592981405</v>
      </c>
      <c r="Y124" s="752">
        <f t="shared" si="238"/>
        <v>4119.2819763905927</v>
      </c>
      <c r="Z124" s="752">
        <f t="shared" si="238"/>
        <v>4298.3835843235947</v>
      </c>
      <c r="AA124" s="752">
        <f t="shared" si="238"/>
        <v>4485.0355073716846</v>
      </c>
      <c r="AC124" s="354" t="s">
        <v>978</v>
      </c>
    </row>
    <row r="125" spans="1:78" s="354" customFormat="1" ht="13">
      <c r="A125" s="874"/>
      <c r="B125" s="808" t="s">
        <v>975</v>
      </c>
      <c r="C125" s="752"/>
      <c r="D125" s="752"/>
      <c r="E125" s="752"/>
      <c r="F125" s="752"/>
      <c r="G125" s="752"/>
      <c r="H125" s="752"/>
      <c r="I125" s="752"/>
      <c r="J125" s="752"/>
      <c r="K125" s="752"/>
      <c r="L125" s="752"/>
      <c r="M125" s="752"/>
      <c r="N125" s="752"/>
      <c r="O125" s="752"/>
      <c r="P125" s="801">
        <v>-3892.3690000000001</v>
      </c>
      <c r="Q125" s="801">
        <v>-4066.6950000000002</v>
      </c>
      <c r="R125" s="801">
        <v>-4600.4830000000002</v>
      </c>
      <c r="S125" s="801">
        <v>-4823.8959999999997</v>
      </c>
      <c r="T125" s="801">
        <v>-5102.2659999999996</v>
      </c>
      <c r="U125" s="801"/>
      <c r="V125" s="752">
        <f>-V128*V123</f>
        <v>-6068.1710561141163</v>
      </c>
      <c r="W125" s="752">
        <f>-W128*W123</f>
        <v>-5627.7587266382316</v>
      </c>
      <c r="X125" s="752">
        <f t="shared" ref="X125:AA125" si="239">-X128*X123</f>
        <v>-5323.4174681888753</v>
      </c>
      <c r="Y125" s="752">
        <f t="shared" si="239"/>
        <v>-5096.4703884503688</v>
      </c>
      <c r="Z125" s="752">
        <f t="shared" si="239"/>
        <v>-4935.2993298449719</v>
      </c>
      <c r="AA125" s="752">
        <f t="shared" si="239"/>
        <v>-4830.2506169445096</v>
      </c>
    </row>
    <row r="126" spans="1:78" s="365" customFormat="1" ht="13">
      <c r="A126" s="875"/>
      <c r="B126" s="809" t="s">
        <v>976</v>
      </c>
      <c r="C126" s="755"/>
      <c r="D126" s="755"/>
      <c r="E126" s="755"/>
      <c r="F126" s="755"/>
      <c r="G126" s="755"/>
      <c r="H126" s="755"/>
      <c r="I126" s="755"/>
      <c r="J126" s="755"/>
      <c r="K126" s="755"/>
      <c r="L126" s="755"/>
      <c r="M126" s="755"/>
      <c r="N126" s="755"/>
      <c r="O126" s="754">
        <v>24810.164000000001</v>
      </c>
      <c r="P126" s="754">
        <v>28718.787</v>
      </c>
      <c r="Q126" s="754">
        <v>21724.393</v>
      </c>
      <c r="R126" s="754">
        <v>27219.342000000001</v>
      </c>
      <c r="S126" s="754">
        <v>30935.300999999999</v>
      </c>
      <c r="T126" s="754">
        <v>28455.49</v>
      </c>
      <c r="U126" s="754">
        <f>U105-U116</f>
        <v>36791.633000000016</v>
      </c>
      <c r="V126" s="755">
        <f t="shared" ref="V126:AA126" si="240">V123+V124+V125</f>
        <v>34121.390410443208</v>
      </c>
      <c r="W126" s="755">
        <f t="shared" si="240"/>
        <v>32276.153718187328</v>
      </c>
      <c r="X126" s="755">
        <f>X123+X124+X125</f>
        <v>30900.161909296592</v>
      </c>
      <c r="Y126" s="755">
        <f t="shared" si="240"/>
        <v>29922.973497236817</v>
      </c>
      <c r="Z126" s="755">
        <f t="shared" si="240"/>
        <v>29286.057751715438</v>
      </c>
      <c r="AA126" s="755">
        <f t="shared" si="240"/>
        <v>28940.842642142612</v>
      </c>
    </row>
    <row r="127" spans="1:78" s="349" customFormat="1" ht="13">
      <c r="A127" s="870"/>
      <c r="B127" s="749"/>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47"/>
      <c r="AC127" s="347"/>
      <c r="AD127" s="347"/>
      <c r="AE127" s="347"/>
      <c r="AF127" s="347"/>
      <c r="AG127" s="347"/>
      <c r="AH127" s="347"/>
      <c r="BY127" s="486"/>
      <c r="BZ127" s="487"/>
    </row>
    <row r="128" spans="1:78" s="349" customFormat="1" ht="13">
      <c r="A128" s="870"/>
      <c r="B128" s="751" t="s">
        <v>977</v>
      </c>
      <c r="C128" s="356"/>
      <c r="D128" s="356"/>
      <c r="E128" s="356"/>
      <c r="F128" s="356"/>
      <c r="G128" s="356"/>
      <c r="H128" s="356"/>
      <c r="I128" s="356"/>
      <c r="J128" s="356"/>
      <c r="K128" s="356"/>
      <c r="L128" s="356"/>
      <c r="M128" s="356"/>
      <c r="N128" s="356"/>
      <c r="O128" s="356"/>
      <c r="P128" s="356">
        <f>-P125/P123</f>
        <v>0.15688606492081231</v>
      </c>
      <c r="Q128" s="356">
        <f t="shared" ref="Q128:R128" si="241">-Q125/Q123</f>
        <v>0.14160399601835552</v>
      </c>
      <c r="R128" s="356">
        <f t="shared" si="241"/>
        <v>0.21176577868021446</v>
      </c>
      <c r="S128" s="356">
        <f>-S125/S123</f>
        <v>0.17722309378382473</v>
      </c>
      <c r="T128" s="356">
        <f>-T125/T123</f>
        <v>0.16493345256281811</v>
      </c>
      <c r="U128" s="356"/>
      <c r="V128" s="745">
        <f>T128</f>
        <v>0.16493345256281811</v>
      </c>
      <c r="W128" s="745">
        <f t="shared" ref="W128:AA128" si="242">V128</f>
        <v>0.16493345256281811</v>
      </c>
      <c r="X128" s="745">
        <f t="shared" si="242"/>
        <v>0.16493345256281811</v>
      </c>
      <c r="Y128" s="745">
        <f t="shared" si="242"/>
        <v>0.16493345256281811</v>
      </c>
      <c r="Z128" s="745">
        <f t="shared" si="242"/>
        <v>0.16493345256281811</v>
      </c>
      <c r="AA128" s="745">
        <f t="shared" si="242"/>
        <v>0.16493345256281811</v>
      </c>
      <c r="AB128" s="347"/>
      <c r="AC128" s="347"/>
      <c r="AD128" s="347"/>
      <c r="AE128" s="347"/>
      <c r="AF128" s="347"/>
      <c r="AG128" s="347"/>
      <c r="AH128" s="347"/>
      <c r="BY128" s="486"/>
      <c r="BZ128" s="487"/>
    </row>
    <row r="129" spans="1:78" s="759" customFormat="1" ht="13">
      <c r="A129" s="871"/>
      <c r="B129" s="793"/>
      <c r="C129" s="794"/>
      <c r="D129" s="794"/>
      <c r="E129" s="794"/>
      <c r="F129" s="794"/>
      <c r="G129" s="794"/>
      <c r="H129" s="794"/>
      <c r="I129" s="794"/>
      <c r="J129" s="794"/>
      <c r="K129" s="794"/>
      <c r="L129" s="794"/>
      <c r="M129" s="794"/>
      <c r="N129" s="794"/>
      <c r="O129" s="794"/>
      <c r="P129" s="794"/>
      <c r="Q129" s="794"/>
      <c r="R129" s="794"/>
      <c r="S129" s="794"/>
      <c r="T129" s="794"/>
      <c r="U129" s="794"/>
      <c r="V129" s="794"/>
      <c r="W129" s="794"/>
      <c r="X129" s="794"/>
      <c r="Y129" s="794"/>
      <c r="Z129" s="794"/>
      <c r="AA129" s="794"/>
      <c r="AB129" s="758"/>
      <c r="AC129" s="758"/>
      <c r="AD129" s="758"/>
      <c r="AE129" s="758"/>
      <c r="AF129" s="758"/>
      <c r="AG129" s="758"/>
      <c r="AH129" s="758"/>
      <c r="BY129" s="795"/>
      <c r="BZ129" s="796"/>
    </row>
    <row r="130" spans="1:78" s="354" customFormat="1" ht="13" hidden="1" outlineLevel="1">
      <c r="A130" s="874"/>
      <c r="B130" s="790" t="s">
        <v>91</v>
      </c>
      <c r="C130" s="818">
        <f>C435</f>
        <v>1749</v>
      </c>
      <c r="D130" s="818">
        <f t="shared" ref="D130:N130" si="243">D435</f>
        <v>3379</v>
      </c>
      <c r="E130" s="818">
        <f t="shared" si="243"/>
        <v>3741</v>
      </c>
      <c r="F130" s="818">
        <f t="shared" si="243"/>
        <v>4122</v>
      </c>
      <c r="G130" s="818">
        <f t="shared" si="243"/>
        <v>4683</v>
      </c>
      <c r="H130" s="818">
        <f t="shared" si="243"/>
        <v>5066</v>
      </c>
      <c r="I130" s="818">
        <f t="shared" si="243"/>
        <v>5759</v>
      </c>
      <c r="J130" s="818">
        <f t="shared" si="243"/>
        <v>6958</v>
      </c>
      <c r="K130" s="818">
        <f t="shared" si="243"/>
        <v>7135</v>
      </c>
      <c r="L130" s="818">
        <f t="shared" si="243"/>
        <v>8046</v>
      </c>
      <c r="M130" s="818">
        <f t="shared" si="243"/>
        <v>6951</v>
      </c>
      <c r="N130" s="818">
        <f t="shared" si="243"/>
        <v>11621</v>
      </c>
      <c r="O130" s="818">
        <f>'Income Statement'!BK252</f>
        <v>6983</v>
      </c>
      <c r="P130" s="818">
        <f>'Income Statement'!BP252</f>
        <v>12074.688</v>
      </c>
      <c r="Q130" s="818">
        <f>'Income Statement'!BU252</f>
        <v>9956.2270000000008</v>
      </c>
      <c r="R130" s="818">
        <f>'Income Statement'!BZ252</f>
        <v>10564.296</v>
      </c>
      <c r="S130" s="818">
        <f>'Income Statement'!CE252</f>
        <v>11347.758</v>
      </c>
      <c r="T130" s="752">
        <f>T132*S142</f>
        <v>12139.18626</v>
      </c>
      <c r="U130" s="752"/>
      <c r="V130" s="752">
        <f>V132*T142</f>
        <v>11235.320870599999</v>
      </c>
      <c r="W130" s="752">
        <f t="shared" ref="W130:AA130" si="244">W132*V142</f>
        <v>12974.248357061337</v>
      </c>
      <c r="X130" s="752">
        <f t="shared" si="244"/>
        <v>12485.508932184464</v>
      </c>
      <c r="Y130" s="752">
        <f t="shared" si="244"/>
        <v>12082.040782644366</v>
      </c>
      <c r="Z130" s="752">
        <f t="shared" si="244"/>
        <v>11840.944919666748</v>
      </c>
      <c r="AA130" s="752">
        <f t="shared" si="244"/>
        <v>11734.98419761146</v>
      </c>
    </row>
    <row r="131" spans="1:78" s="356" customFormat="1" ht="13" hidden="1" outlineLevel="1">
      <c r="A131" s="876"/>
      <c r="B131" s="791" t="s">
        <v>0</v>
      </c>
      <c r="D131" s="356">
        <f t="shared" ref="D131:S131" si="245">D130/C130-1</f>
        <v>0.93196112064036596</v>
      </c>
      <c r="E131" s="356">
        <f t="shared" si="245"/>
        <v>0.10713228765907079</v>
      </c>
      <c r="F131" s="356">
        <f t="shared" si="245"/>
        <v>0.10184442662389737</v>
      </c>
      <c r="G131" s="356">
        <f t="shared" si="245"/>
        <v>0.13609898107714691</v>
      </c>
      <c r="H131" s="356">
        <f t="shared" si="245"/>
        <v>8.1785180439889027E-2</v>
      </c>
      <c r="I131" s="356">
        <f t="shared" si="245"/>
        <v>0.13679431504145279</v>
      </c>
      <c r="J131" s="356">
        <f t="shared" si="245"/>
        <v>0.20819586733807949</v>
      </c>
      <c r="K131" s="356">
        <f t="shared" si="245"/>
        <v>2.5438344351825126E-2</v>
      </c>
      <c r="L131" s="356">
        <f t="shared" si="245"/>
        <v>0.1276804484933427</v>
      </c>
      <c r="M131" s="356">
        <f t="shared" si="245"/>
        <v>-0.13609246830723343</v>
      </c>
      <c r="N131" s="356">
        <f t="shared" si="245"/>
        <v>0.67184577758595876</v>
      </c>
      <c r="O131" s="356">
        <f t="shared" si="245"/>
        <v>-0.39910506841063587</v>
      </c>
      <c r="P131" s="356">
        <f t="shared" si="245"/>
        <v>0.72915480452527559</v>
      </c>
      <c r="Q131" s="356">
        <f t="shared" si="245"/>
        <v>-0.17544643803632853</v>
      </c>
      <c r="R131" s="356">
        <f t="shared" si="245"/>
        <v>6.1074240271942415E-2</v>
      </c>
      <c r="S131" s="356">
        <f t="shared" si="245"/>
        <v>7.4161307104609664E-2</v>
      </c>
      <c r="T131" s="356">
        <f t="shared" ref="T131:Y131" si="246">T130/S130-1</f>
        <v>6.9743138688717288E-2</v>
      </c>
      <c r="V131" s="356">
        <f>V130/T130-1</f>
        <v>-7.4458482639675805E-2</v>
      </c>
      <c r="W131" s="356">
        <f t="shared" si="246"/>
        <v>0.15477328208860253</v>
      </c>
      <c r="X131" s="356">
        <f t="shared" si="246"/>
        <v>-3.7669960634819533E-2</v>
      </c>
      <c r="Y131" s="356">
        <f t="shared" si="246"/>
        <v>-3.2314914172225651E-2</v>
      </c>
      <c r="Z131" s="356">
        <f t="shared" ref="Z131" si="247">Z130/Y130-1</f>
        <v>-1.9954895643453541E-2</v>
      </c>
      <c r="AA131" s="356">
        <f t="shared" ref="AA131" si="248">AA130/Z130-1</f>
        <v>-8.9486711385082796E-3</v>
      </c>
    </row>
    <row r="132" spans="1:78" s="356" customFormat="1" ht="13" hidden="1" outlineLevel="1">
      <c r="A132" s="876"/>
      <c r="B132" s="791" t="s">
        <v>965</v>
      </c>
      <c r="D132" s="356">
        <f>D130/C142</f>
        <v>0.21372549019607842</v>
      </c>
      <c r="E132" s="356">
        <f t="shared" ref="E132:S132" si="249">E130/D142</f>
        <v>0.16138912855910267</v>
      </c>
      <c r="F132" s="356">
        <f t="shared" si="249"/>
        <v>0.17454268292682926</v>
      </c>
      <c r="G132" s="356">
        <f t="shared" si="249"/>
        <v>0.20187955339052463</v>
      </c>
      <c r="H132" s="356">
        <f t="shared" si="249"/>
        <v>0.19777474136248291</v>
      </c>
      <c r="I132" s="356">
        <f t="shared" si="249"/>
        <v>0.19427858178996726</v>
      </c>
      <c r="J132" s="356">
        <f t="shared" si="249"/>
        <v>0.22245667881578107</v>
      </c>
      <c r="K132" s="356">
        <f t="shared" si="249"/>
        <v>0.19897375833124181</v>
      </c>
      <c r="L132" s="356">
        <f t="shared" si="249"/>
        <v>0.24070578310153262</v>
      </c>
      <c r="M132" s="356">
        <f t="shared" si="249"/>
        <v>0.20948104393948527</v>
      </c>
      <c r="N132" s="356">
        <f t="shared" si="249"/>
        <v>0.33265586534608116</v>
      </c>
      <c r="O132" s="356">
        <f t="shared" si="249"/>
        <v>0.18996434394019732</v>
      </c>
      <c r="P132" s="356">
        <f t="shared" si="249"/>
        <v>0.28693455204259899</v>
      </c>
      <c r="Q132" s="356">
        <f t="shared" si="249"/>
        <v>0.21110697171451595</v>
      </c>
      <c r="R132" s="356">
        <f t="shared" si="249"/>
        <v>0.2035030908140423</v>
      </c>
      <c r="S132" s="356">
        <f t="shared" si="249"/>
        <v>0.1876480407683157</v>
      </c>
      <c r="T132" s="745">
        <v>0.19</v>
      </c>
      <c r="U132" s="745"/>
      <c r="V132" s="745">
        <f>T132</f>
        <v>0.19</v>
      </c>
      <c r="W132" s="745">
        <f t="shared" ref="W132:AA132" si="250">V132</f>
        <v>0.19</v>
      </c>
      <c r="X132" s="745">
        <f t="shared" si="250"/>
        <v>0.19</v>
      </c>
      <c r="Y132" s="745">
        <f t="shared" si="250"/>
        <v>0.19</v>
      </c>
      <c r="Z132" s="745">
        <f t="shared" si="250"/>
        <v>0.19</v>
      </c>
      <c r="AA132" s="745">
        <f t="shared" si="250"/>
        <v>0.19</v>
      </c>
    </row>
    <row r="133" spans="1:78" s="349" customFormat="1" ht="13" hidden="1" outlineLevel="1">
      <c r="A133" s="870"/>
      <c r="B133" s="562" t="s">
        <v>154</v>
      </c>
      <c r="C133" s="356">
        <f>C130/'Income Statement'!C236</f>
        <v>0.21889862327909887</v>
      </c>
      <c r="D133" s="356">
        <f>D130/'Income Statement'!H236</f>
        <v>0.28015152557802497</v>
      </c>
      <c r="E133" s="356">
        <f>E130/'Income Statement'!M236</f>
        <v>0.27292624206609761</v>
      </c>
      <c r="F133" s="356">
        <f>F130/'Income Statement'!R236</f>
        <v>0.23608247422680412</v>
      </c>
      <c r="G133" s="356">
        <f>G130/'Income Statement'!W236</f>
        <v>0.25643412550651629</v>
      </c>
      <c r="H133" s="356">
        <f>H130/'Income Statement'!AB236</f>
        <v>0.24159473508512566</v>
      </c>
      <c r="I133" s="356">
        <f>I130/'Income Statement'!AG236</f>
        <v>0.27080786231543308</v>
      </c>
      <c r="J133" s="356">
        <f>J130/'Income Statement'!AL236</f>
        <v>0.29658994032395569</v>
      </c>
      <c r="K133" s="356">
        <f>K130/'Income Statement'!AQ236</f>
        <v>0.31164009609084953</v>
      </c>
      <c r="L133" s="356">
        <f>L130/'Income Statement'!AV236</f>
        <v>0.37702075816503444</v>
      </c>
      <c r="M133" s="356">
        <f>M130/'Income Statement'!BA236</f>
        <v>0.30352386358674294</v>
      </c>
      <c r="N133" s="356">
        <f>N130/'Income Statement'!BF236</f>
        <v>0.50660862471866464</v>
      </c>
      <c r="O133" s="356">
        <f>O130/'Income Statement'!BK236</f>
        <v>0.27784351732147233</v>
      </c>
      <c r="P133" s="356">
        <f>P130/'Income Statement'!BL236</f>
        <v>1.8584588845172292</v>
      </c>
      <c r="Q133" s="356">
        <f>Q130/'Income Statement'!BU236</f>
        <v>0.37213905931999081</v>
      </c>
      <c r="R133" s="356">
        <f>R130/'Income Statement'!BZ236</f>
        <v>0.3625110896666851</v>
      </c>
      <c r="S133" s="356">
        <f>S130/'Income Statement'!CE236</f>
        <v>0.35107757714551313</v>
      </c>
      <c r="T133" s="356">
        <f>T130/'Income Statement'!CJ236</f>
        <v>0.35296954253098511</v>
      </c>
      <c r="U133" s="356"/>
      <c r="V133" s="356">
        <f>V130/'Income Statement'!CO236</f>
        <v>0.26452165738458472</v>
      </c>
      <c r="W133" s="356">
        <f>W130/'Income Statement'!CP236</f>
        <v>0.27440418301076536</v>
      </c>
      <c r="X133" s="356">
        <f>X130/'Income Statement'!CQ236</f>
        <v>0.25303597858062077</v>
      </c>
      <c r="Y133" s="356">
        <f>Y130/'Income Statement'!CR236</f>
        <v>0.23464362676586509</v>
      </c>
      <c r="Z133" s="356">
        <f>Z130/'Income Statement'!CS236</f>
        <v>0.22037949266047313</v>
      </c>
      <c r="AA133" s="356">
        <f>AA130/'Income Statement'!CT236</f>
        <v>0.20931801638267758</v>
      </c>
      <c r="AB133" s="347"/>
      <c r="AC133" s="347"/>
      <c r="AD133" s="347"/>
      <c r="AE133" s="347"/>
      <c r="AF133" s="347"/>
      <c r="AG133" s="347"/>
      <c r="AH133" s="347"/>
      <c r="BY133" s="486"/>
      <c r="BZ133" s="487"/>
    </row>
    <row r="134" spans="1:78" s="349" customFormat="1" ht="13" hidden="1" outlineLevel="1">
      <c r="A134" s="870"/>
      <c r="B134" s="562" t="s">
        <v>155</v>
      </c>
      <c r="C134" s="636">
        <v>0</v>
      </c>
      <c r="D134" s="636">
        <v>0</v>
      </c>
      <c r="E134" s="636">
        <v>0</v>
      </c>
      <c r="F134" s="636">
        <v>0</v>
      </c>
      <c r="G134" s="636">
        <v>0</v>
      </c>
      <c r="H134" s="636">
        <v>0</v>
      </c>
      <c r="I134" s="636">
        <v>0</v>
      </c>
      <c r="J134" s="636">
        <v>0</v>
      </c>
      <c r="K134" s="636">
        <v>0</v>
      </c>
      <c r="L134" s="636">
        <v>0</v>
      </c>
      <c r="M134" s="636">
        <v>0</v>
      </c>
      <c r="N134" s="636">
        <v>0</v>
      </c>
      <c r="O134" s="636">
        <v>0</v>
      </c>
      <c r="P134" s="636">
        <v>0</v>
      </c>
      <c r="Q134" s="636">
        <v>0</v>
      </c>
      <c r="R134" s="636">
        <v>0</v>
      </c>
      <c r="S134" s="636">
        <v>0</v>
      </c>
      <c r="T134" s="354">
        <v>0</v>
      </c>
      <c r="U134" s="354"/>
      <c r="V134" s="354">
        <v>0</v>
      </c>
      <c r="W134" s="354">
        <v>0</v>
      </c>
      <c r="X134" s="354">
        <v>0</v>
      </c>
      <c r="Y134" s="354">
        <v>0</v>
      </c>
      <c r="Z134" s="354">
        <v>0</v>
      </c>
      <c r="AA134" s="354">
        <v>0</v>
      </c>
      <c r="AB134" s="347"/>
      <c r="AC134" s="347"/>
      <c r="AD134" s="347"/>
      <c r="AE134" s="347"/>
      <c r="AF134" s="347" t="s">
        <v>1007</v>
      </c>
      <c r="AG134" s="347" t="s">
        <v>1007</v>
      </c>
      <c r="AH134" s="347"/>
      <c r="BY134" s="486"/>
      <c r="BZ134" s="487"/>
    </row>
    <row r="135" spans="1:78" s="349" customFormat="1" ht="13" hidden="1" outlineLevel="1">
      <c r="A135" s="870"/>
      <c r="B135" s="562" t="s">
        <v>156</v>
      </c>
      <c r="C135" s="752">
        <f>C130-C134</f>
        <v>1749</v>
      </c>
      <c r="D135" s="752">
        <f t="shared" ref="D135:Q135" si="251">D130</f>
        <v>3379</v>
      </c>
      <c r="E135" s="752">
        <f t="shared" si="251"/>
        <v>3741</v>
      </c>
      <c r="F135" s="752">
        <f t="shared" si="251"/>
        <v>4122</v>
      </c>
      <c r="G135" s="752">
        <f t="shared" si="251"/>
        <v>4683</v>
      </c>
      <c r="H135" s="752">
        <f t="shared" si="251"/>
        <v>5066</v>
      </c>
      <c r="I135" s="752">
        <f t="shared" si="251"/>
        <v>5759</v>
      </c>
      <c r="J135" s="752">
        <f t="shared" si="251"/>
        <v>6958</v>
      </c>
      <c r="K135" s="752">
        <f t="shared" si="251"/>
        <v>7135</v>
      </c>
      <c r="L135" s="752">
        <f t="shared" si="251"/>
        <v>8046</v>
      </c>
      <c r="M135" s="752">
        <f t="shared" si="251"/>
        <v>6951</v>
      </c>
      <c r="N135" s="752">
        <f t="shared" si="251"/>
        <v>11621</v>
      </c>
      <c r="O135" s="752">
        <f t="shared" ref="O135:P135" si="252">O130</f>
        <v>6983</v>
      </c>
      <c r="P135" s="752">
        <f t="shared" si="252"/>
        <v>12074.688</v>
      </c>
      <c r="Q135" s="752">
        <f t="shared" si="251"/>
        <v>9956.2270000000008</v>
      </c>
      <c r="R135" s="752">
        <f t="shared" ref="R135:S135" si="253">R130</f>
        <v>10564.296</v>
      </c>
      <c r="S135" s="752">
        <f t="shared" si="253"/>
        <v>11347.758</v>
      </c>
      <c r="T135" s="752">
        <f t="shared" ref="T135:Y135" si="254">T130</f>
        <v>12139.18626</v>
      </c>
      <c r="U135" s="752"/>
      <c r="V135" s="752">
        <f t="shared" si="254"/>
        <v>11235.320870599999</v>
      </c>
      <c r="W135" s="752">
        <f t="shared" si="254"/>
        <v>12974.248357061337</v>
      </c>
      <c r="X135" s="752">
        <f t="shared" si="254"/>
        <v>12485.508932184464</v>
      </c>
      <c r="Y135" s="752">
        <f t="shared" si="254"/>
        <v>12082.040782644366</v>
      </c>
      <c r="Z135" s="752">
        <f t="shared" ref="Z135:AA135" si="255">Z130</f>
        <v>11840.944919666748</v>
      </c>
      <c r="AA135" s="752">
        <f t="shared" si="255"/>
        <v>11734.98419761146</v>
      </c>
      <c r="AB135" s="347"/>
      <c r="AC135" s="347"/>
      <c r="AD135" s="347"/>
      <c r="AE135" s="347"/>
      <c r="AF135" s="349">
        <v>2020</v>
      </c>
      <c r="AG135" s="347" t="s">
        <v>1009</v>
      </c>
      <c r="AH135" s="347"/>
      <c r="BY135" s="486"/>
      <c r="BZ135" s="487"/>
    </row>
    <row r="136" spans="1:78" s="349" customFormat="1" ht="13" hidden="1" outlineLevel="1">
      <c r="A136" s="870"/>
      <c r="B136" s="562" t="s">
        <v>157</v>
      </c>
      <c r="C136" s="429">
        <f t="shared" ref="C136:J136" si="256">(C139/C135)</f>
        <v>10.039451114922812</v>
      </c>
      <c r="D136" s="429">
        <f t="shared" si="256"/>
        <v>8.5649600473512866</v>
      </c>
      <c r="E136" s="429">
        <f t="shared" si="256"/>
        <v>9.1482758620689655</v>
      </c>
      <c r="F136" s="429">
        <f t="shared" si="256"/>
        <v>9.4788209606986893</v>
      </c>
      <c r="G136" s="429">
        <f t="shared" si="256"/>
        <v>9.7360025624599604</v>
      </c>
      <c r="H136" s="429">
        <f t="shared" si="256"/>
        <v>11.008626135017765</v>
      </c>
      <c r="I136" s="429">
        <f t="shared" si="256"/>
        <v>10.96782427504775</v>
      </c>
      <c r="J136" s="429">
        <f t="shared" si="256"/>
        <v>10.097542397240586</v>
      </c>
      <c r="K136" s="429">
        <f t="shared" ref="K136:Q136" si="257">(K139/K135)</f>
        <v>10.42812894183602</v>
      </c>
      <c r="L136" s="429">
        <f t="shared" si="257"/>
        <v>9.2007208550832704</v>
      </c>
      <c r="M136" s="429">
        <f t="shared" si="257"/>
        <v>12.770536613436915</v>
      </c>
      <c r="N136" s="429">
        <f t="shared" si="257"/>
        <v>8.7473664916960665</v>
      </c>
      <c r="O136" s="429">
        <f t="shared" si="257"/>
        <v>16.230432478877272</v>
      </c>
      <c r="P136" s="429">
        <f t="shared" si="257"/>
        <v>10.779988683765577</v>
      </c>
      <c r="Q136" s="429">
        <f t="shared" si="257"/>
        <v>14.455986489661194</v>
      </c>
      <c r="R136" s="429">
        <f t="shared" ref="R136:AA136" si="258">(R139/R135)</f>
        <v>15.286424481101248</v>
      </c>
      <c r="S136" s="429">
        <f t="shared" si="258"/>
        <v>15.352924516014529</v>
      </c>
      <c r="T136" s="429">
        <f t="shared" si="258"/>
        <v>14.960086130188433</v>
      </c>
      <c r="U136" s="429"/>
      <c r="V136" s="429">
        <f t="shared" si="258"/>
        <v>17.978199743979093</v>
      </c>
      <c r="W136" s="429">
        <f t="shared" si="258"/>
        <v>16.370333952972228</v>
      </c>
      <c r="X136" s="429">
        <f t="shared" si="258"/>
        <v>17.841064546063304</v>
      </c>
      <c r="Y136" s="429">
        <f t="shared" si="258"/>
        <v>19.331823997241784</v>
      </c>
      <c r="Z136" s="429">
        <f t="shared" si="258"/>
        <v>20.678344887809747</v>
      </c>
      <c r="AA136" s="429">
        <f t="shared" si="258"/>
        <v>21.892204663111478</v>
      </c>
      <c r="AB136" s="347"/>
      <c r="AC136" s="347"/>
      <c r="AD136" s="347"/>
      <c r="AE136" s="347"/>
      <c r="AF136" s="347"/>
      <c r="AG136" s="347"/>
      <c r="AH136" s="347"/>
      <c r="BY136" s="486"/>
      <c r="BZ136" s="487"/>
    </row>
    <row r="137" spans="1:78" s="349" customFormat="1" ht="13" hidden="1" outlineLevel="1">
      <c r="A137" s="870"/>
      <c r="B137" s="562" t="s">
        <v>0</v>
      </c>
      <c r="C137" s="379"/>
      <c r="D137" s="379">
        <f t="shared" ref="D137:S137" si="259">D136/C136-1</f>
        <v>-0.14686968945740642</v>
      </c>
      <c r="E137" s="379">
        <f t="shared" si="259"/>
        <v>6.8104907844616092E-2</v>
      </c>
      <c r="F137" s="379">
        <f t="shared" si="259"/>
        <v>3.6131955749197031E-2</v>
      </c>
      <c r="G137" s="379">
        <f t="shared" si="259"/>
        <v>2.713223541488996E-2</v>
      </c>
      <c r="H137" s="379">
        <f t="shared" si="259"/>
        <v>0.1307131509460342</v>
      </c>
      <c r="I137" s="379">
        <f t="shared" si="259"/>
        <v>-3.7063534967571865E-3</v>
      </c>
      <c r="J137" s="379">
        <f t="shared" si="259"/>
        <v>-7.9348634330975831E-2</v>
      </c>
      <c r="K137" s="379">
        <f t="shared" si="259"/>
        <v>3.2739307406698837E-2</v>
      </c>
      <c r="L137" s="379">
        <f t="shared" si="259"/>
        <v>-0.11770165996208393</v>
      </c>
      <c r="M137" s="379">
        <f t="shared" si="259"/>
        <v>0.38799305125982286</v>
      </c>
      <c r="N137" s="379">
        <f t="shared" si="259"/>
        <v>-0.31503532259621303</v>
      </c>
      <c r="O137" s="379">
        <f t="shared" si="259"/>
        <v>0.85546501273096665</v>
      </c>
      <c r="P137" s="379">
        <f t="shared" si="259"/>
        <v>-0.33581630077972668</v>
      </c>
      <c r="Q137" s="379">
        <f t="shared" si="259"/>
        <v>0.3410020097174673</v>
      </c>
      <c r="R137" s="379">
        <f t="shared" si="259"/>
        <v>5.74459579105151E-2</v>
      </c>
      <c r="S137" s="379">
        <f t="shared" si="259"/>
        <v>4.3502674543347553E-3</v>
      </c>
      <c r="T137" s="379">
        <f t="shared" ref="T137:Y137" si="260">T136/S136-1</f>
        <v>-2.5587202322028491E-2</v>
      </c>
      <c r="U137" s="379"/>
      <c r="V137" s="379">
        <f>V136/T136-1</f>
        <v>0.2017444009029008</v>
      </c>
      <c r="W137" s="379">
        <f t="shared" si="260"/>
        <v>-8.9434193295429454E-2</v>
      </c>
      <c r="X137" s="379">
        <f t="shared" si="260"/>
        <v>8.9841208940276251E-2</v>
      </c>
      <c r="Y137" s="379">
        <f t="shared" si="260"/>
        <v>8.3557763457978274E-2</v>
      </c>
      <c r="Z137" s="379">
        <f t="shared" ref="Z137" si="261">Z136/Y136-1</f>
        <v>6.96530700238156E-2</v>
      </c>
      <c r="AA137" s="379">
        <f t="shared" ref="AA137" si="262">AA136/Z136-1</f>
        <v>5.870197938411037E-2</v>
      </c>
      <c r="AB137" s="347"/>
      <c r="AC137" s="347"/>
      <c r="AD137" s="347"/>
      <c r="AE137" s="347"/>
      <c r="AF137" s="347"/>
      <c r="AG137" s="347"/>
      <c r="AH137" s="347"/>
      <c r="BY137" s="486"/>
      <c r="BZ137" s="487"/>
    </row>
    <row r="138" spans="1:78" s="349" customFormat="1" ht="13" hidden="1" outlineLevel="1">
      <c r="A138" s="870"/>
      <c r="B138" s="562"/>
      <c r="T138" s="354"/>
      <c r="U138" s="354"/>
      <c r="V138" s="354"/>
      <c r="W138" s="354"/>
      <c r="X138" s="354"/>
      <c r="Y138" s="354"/>
      <c r="Z138" s="354"/>
      <c r="AA138" s="354"/>
      <c r="AB138" s="347"/>
      <c r="AC138" s="347"/>
      <c r="AD138" s="347"/>
      <c r="AE138" s="347"/>
      <c r="AF138" s="347"/>
      <c r="AG138" s="347"/>
      <c r="AH138" s="347"/>
      <c r="BY138" s="486"/>
      <c r="BZ138" s="487"/>
    </row>
    <row r="139" spans="1:78" s="349" customFormat="1" ht="13" hidden="1" outlineLevel="1">
      <c r="A139" s="870"/>
      <c r="B139" s="562" t="s">
        <v>158</v>
      </c>
      <c r="C139" s="818">
        <f>C142+C140</f>
        <v>17559</v>
      </c>
      <c r="D139" s="818">
        <f t="shared" ref="D139:K139" si="263">C139+D73</f>
        <v>28941</v>
      </c>
      <c r="E139" s="818">
        <f t="shared" si="263"/>
        <v>34223.699999999997</v>
      </c>
      <c r="F139" s="818">
        <f t="shared" si="263"/>
        <v>39071.699999999997</v>
      </c>
      <c r="G139" s="818">
        <f t="shared" si="263"/>
        <v>45593.7</v>
      </c>
      <c r="H139" s="818">
        <f t="shared" si="263"/>
        <v>55769.7</v>
      </c>
      <c r="I139" s="818">
        <f t="shared" si="263"/>
        <v>63163.7</v>
      </c>
      <c r="J139" s="818">
        <f t="shared" si="263"/>
        <v>70258.7</v>
      </c>
      <c r="K139" s="818">
        <f t="shared" si="263"/>
        <v>74404.7</v>
      </c>
      <c r="L139" s="818">
        <v>74029</v>
      </c>
      <c r="M139" s="818">
        <v>88768</v>
      </c>
      <c r="N139" s="818">
        <v>101653.14599999999</v>
      </c>
      <c r="O139" s="818">
        <v>113337.11</v>
      </c>
      <c r="P139" s="818">
        <v>130165</v>
      </c>
      <c r="Q139" s="818">
        <v>143927.08300000001</v>
      </c>
      <c r="R139" s="818">
        <v>161490.31299999999</v>
      </c>
      <c r="S139" s="818">
        <v>174221.272</v>
      </c>
      <c r="T139" s="752">
        <f t="shared" ref="T139:AA139" si="264">S139+T73+S141</f>
        <v>181603.272</v>
      </c>
      <c r="U139" s="752"/>
      <c r="V139" s="752">
        <f>T139+V73+T141</f>
        <v>201990.84279934387</v>
      </c>
      <c r="W139" s="752">
        <f t="shared" si="264"/>
        <v>212392.77839389534</v>
      </c>
      <c r="X139" s="752">
        <f t="shared" si="264"/>
        <v>222754.77074955296</v>
      </c>
      <c r="Y139" s="752">
        <f t="shared" si="264"/>
        <v>233567.88593757828</v>
      </c>
      <c r="Z139" s="752">
        <f t="shared" si="264"/>
        <v>244851.14284642771</v>
      </c>
      <c r="AA139" s="752">
        <f t="shared" si="264"/>
        <v>256904.67577248911</v>
      </c>
      <c r="AB139" s="347"/>
      <c r="AC139" s="347"/>
      <c r="AD139" s="347"/>
      <c r="AE139" s="347"/>
      <c r="AF139" s="788" cm="1">
        <f t="array" ref="AF139">_xll.FDS(AF$134, "FF_AMORT_INTANG(ANN_R,"&amp;AF$135&amp;")")</f>
        <v>21842</v>
      </c>
      <c r="AG139" s="788" cm="1">
        <f t="array" ref="AG139">_xll.FDS(AG$134, "FF_AMORT_INTANG(QTR_R,"&amp;AG$135&amp;")")</f>
        <v>3783</v>
      </c>
      <c r="AH139" s="347"/>
      <c r="BY139" s="486"/>
      <c r="BZ139" s="487"/>
    </row>
    <row r="140" spans="1:78" s="349" customFormat="1" ht="13" hidden="1" outlineLevel="1">
      <c r="A140" s="870"/>
      <c r="B140" s="562" t="s">
        <v>159</v>
      </c>
      <c r="C140" s="818">
        <f>C130</f>
        <v>1749</v>
      </c>
      <c r="D140" s="818">
        <f>D139-D142</f>
        <v>5761</v>
      </c>
      <c r="E140" s="818">
        <f t="shared" ref="E140:J140" si="265">E139-E142</f>
        <v>10607.699999999997</v>
      </c>
      <c r="F140" s="818">
        <f t="shared" si="265"/>
        <v>15874.699999999997</v>
      </c>
      <c r="G140" s="818">
        <f t="shared" si="265"/>
        <v>19978.699999999997</v>
      </c>
      <c r="H140" s="818">
        <f t="shared" si="265"/>
        <v>26126.699999999997</v>
      </c>
      <c r="I140" s="818">
        <f t="shared" si="265"/>
        <v>31885.699999999997</v>
      </c>
      <c r="J140" s="818">
        <f t="shared" si="265"/>
        <v>34399.699999999997</v>
      </c>
      <c r="K140" s="818">
        <v>40978</v>
      </c>
      <c r="L140" s="818">
        <f>40602+245</f>
        <v>40847</v>
      </c>
      <c r="M140" s="818">
        <v>53834</v>
      </c>
      <c r="N140" s="818">
        <v>64893.616000000002</v>
      </c>
      <c r="O140" s="818">
        <v>71255.429999999993</v>
      </c>
      <c r="P140" s="818">
        <v>83003</v>
      </c>
      <c r="Q140" s="818">
        <v>92014.869000000006</v>
      </c>
      <c r="R140" s="818">
        <v>101016.68399999999</v>
      </c>
      <c r="S140" s="818">
        <v>110330.818</v>
      </c>
      <c r="T140" s="752">
        <f t="shared" ref="T140:Y140" si="266">S140+T130</f>
        <v>122470.00426</v>
      </c>
      <c r="U140" s="752"/>
      <c r="V140" s="752">
        <f>T140+V130</f>
        <v>133705.32513059999</v>
      </c>
      <c r="W140" s="752">
        <f t="shared" si="266"/>
        <v>146679.57348766131</v>
      </c>
      <c r="X140" s="752">
        <f t="shared" si="266"/>
        <v>159165.08241984577</v>
      </c>
      <c r="Y140" s="752">
        <f t="shared" si="266"/>
        <v>171247.12320249013</v>
      </c>
      <c r="Z140" s="752">
        <f t="shared" ref="Z140" si="267">Y140+Z130</f>
        <v>183088.06812215687</v>
      </c>
      <c r="AA140" s="752">
        <f t="shared" ref="AA140" si="268">Z140+AA130</f>
        <v>194823.05231976832</v>
      </c>
      <c r="AB140" s="347"/>
      <c r="AC140" s="347"/>
      <c r="AD140" s="347"/>
      <c r="AE140" s="347"/>
      <c r="AF140" s="347"/>
      <c r="AG140" s="347"/>
      <c r="AH140" s="347"/>
      <c r="BY140" s="486"/>
      <c r="BZ140" s="487"/>
    </row>
    <row r="141" spans="1:78" s="349" customFormat="1" ht="13" hidden="1" outlineLevel="1">
      <c r="A141" s="870"/>
      <c r="B141" s="562" t="s">
        <v>160</v>
      </c>
      <c r="C141" s="818">
        <v>0</v>
      </c>
      <c r="D141" s="818">
        <v>0</v>
      </c>
      <c r="E141" s="818">
        <v>0</v>
      </c>
      <c r="F141" s="818">
        <v>0</v>
      </c>
      <c r="G141" s="818">
        <v>0</v>
      </c>
      <c r="H141" s="818">
        <v>0</v>
      </c>
      <c r="I141" s="818">
        <v>0</v>
      </c>
      <c r="J141" s="818">
        <v>0</v>
      </c>
      <c r="K141" s="818">
        <v>0</v>
      </c>
      <c r="L141" s="818">
        <v>0</v>
      </c>
      <c r="M141" s="818">
        <v>0</v>
      </c>
      <c r="N141" s="818">
        <v>0</v>
      </c>
      <c r="O141" s="818">
        <v>0</v>
      </c>
      <c r="P141" s="818">
        <v>0</v>
      </c>
      <c r="Q141" s="818">
        <v>0</v>
      </c>
      <c r="R141" s="818">
        <v>0</v>
      </c>
      <c r="S141" s="818">
        <v>0</v>
      </c>
      <c r="T141" s="752">
        <v>0</v>
      </c>
      <c r="U141" s="752"/>
      <c r="V141" s="752">
        <v>0</v>
      </c>
      <c r="W141" s="752">
        <v>0</v>
      </c>
      <c r="X141" s="752">
        <v>0</v>
      </c>
      <c r="Y141" s="752">
        <v>0</v>
      </c>
      <c r="Z141" s="752">
        <v>0</v>
      </c>
      <c r="AA141" s="752">
        <v>0</v>
      </c>
      <c r="AB141" s="347"/>
      <c r="AC141" s="347"/>
      <c r="AD141" s="347"/>
      <c r="AE141" s="347"/>
      <c r="AF141" s="347"/>
      <c r="AG141" s="347"/>
      <c r="AH141" s="347"/>
      <c r="BY141" s="486"/>
      <c r="BZ141" s="487"/>
    </row>
    <row r="142" spans="1:78" s="349" customFormat="1" ht="13" hidden="1" outlineLevel="1">
      <c r="A142" s="870"/>
      <c r="B142" s="792" t="s">
        <v>119</v>
      </c>
      <c r="C142" s="755">
        <v>15810</v>
      </c>
      <c r="D142" s="755">
        <v>23180</v>
      </c>
      <c r="E142" s="755">
        <v>23616</v>
      </c>
      <c r="F142" s="755">
        <v>23197</v>
      </c>
      <c r="G142" s="755">
        <v>25615</v>
      </c>
      <c r="H142" s="755">
        <v>29643</v>
      </c>
      <c r="I142" s="755">
        <v>31278</v>
      </c>
      <c r="J142" s="755">
        <v>35859</v>
      </c>
      <c r="K142" s="755">
        <f>K139-K140</f>
        <v>33426.699999999997</v>
      </c>
      <c r="L142" s="755">
        <f t="shared" ref="L142:Q142" si="269">L139-L140+L141</f>
        <v>33182</v>
      </c>
      <c r="M142" s="755">
        <f t="shared" si="269"/>
        <v>34934</v>
      </c>
      <c r="N142" s="755">
        <f t="shared" si="269"/>
        <v>36759.529999999992</v>
      </c>
      <c r="O142" s="755">
        <f t="shared" si="269"/>
        <v>42081.680000000008</v>
      </c>
      <c r="P142" s="755">
        <f t="shared" ref="P142" si="270">P139-P140+P141</f>
        <v>47162</v>
      </c>
      <c r="Q142" s="755">
        <f t="shared" si="269"/>
        <v>51912.214000000007</v>
      </c>
      <c r="R142" s="755">
        <f t="shared" ref="R142:Y142" si="271">R139-R140+R141</f>
        <v>60473.629000000001</v>
      </c>
      <c r="S142" s="755">
        <f t="shared" ref="S142" si="272">S139-S140+S141</f>
        <v>63890.453999999998</v>
      </c>
      <c r="T142" s="755">
        <f t="shared" si="271"/>
        <v>59133.267739999996</v>
      </c>
      <c r="U142" s="755"/>
      <c r="V142" s="755">
        <f t="shared" si="271"/>
        <v>68285.51766874388</v>
      </c>
      <c r="W142" s="755">
        <f t="shared" si="271"/>
        <v>65713.204906234023</v>
      </c>
      <c r="X142" s="755">
        <f t="shared" si="271"/>
        <v>63589.688329707191</v>
      </c>
      <c r="Y142" s="755">
        <f t="shared" si="271"/>
        <v>62320.762735088152</v>
      </c>
      <c r="Z142" s="755">
        <f t="shared" ref="Z142:AA142" si="273">Z139-Z140+Z141</f>
        <v>61763.074724270846</v>
      </c>
      <c r="AA142" s="755">
        <f t="shared" si="273"/>
        <v>62081.623452720785</v>
      </c>
      <c r="AB142" s="347"/>
      <c r="AC142" s="347"/>
      <c r="AD142" s="347"/>
      <c r="AE142" s="347"/>
      <c r="AF142" s="347"/>
      <c r="AG142" s="347"/>
      <c r="AH142" s="347"/>
      <c r="BY142" s="486"/>
      <c r="BZ142" s="487"/>
    </row>
    <row r="143" spans="1:78" s="349" customFormat="1" ht="13" hidden="1" outlineLevel="1">
      <c r="A143" s="870"/>
      <c r="B143" s="562" t="s">
        <v>0</v>
      </c>
      <c r="C143" s="356"/>
      <c r="D143" s="356">
        <f>D142/C142-1</f>
        <v>0.46616065781151161</v>
      </c>
      <c r="E143" s="356">
        <f>E142/D142-1</f>
        <v>1.8809318377911888E-2</v>
      </c>
      <c r="F143" s="356">
        <v>7.76</v>
      </c>
      <c r="G143" s="356">
        <f t="shared" ref="G143:S143" si="274">G142/F142-1</f>
        <v>0.1042376169332242</v>
      </c>
      <c r="H143" s="356">
        <f t="shared" si="274"/>
        <v>0.15725161038454027</v>
      </c>
      <c r="I143" s="356">
        <f t="shared" si="274"/>
        <v>5.5156360692237616E-2</v>
      </c>
      <c r="J143" s="356">
        <f t="shared" si="274"/>
        <v>0.14646077114905043</v>
      </c>
      <c r="K143" s="356">
        <f t="shared" si="274"/>
        <v>-6.7829554644580292E-2</v>
      </c>
      <c r="L143" s="356">
        <f t="shared" si="274"/>
        <v>-7.3204952926850808E-3</v>
      </c>
      <c r="M143" s="356">
        <f t="shared" si="274"/>
        <v>5.2799710686516788E-2</v>
      </c>
      <c r="N143" s="356">
        <f t="shared" si="274"/>
        <v>5.2256540905707638E-2</v>
      </c>
      <c r="O143" s="356">
        <f t="shared" si="274"/>
        <v>0.14478286311060073</v>
      </c>
      <c r="P143" s="356">
        <f t="shared" si="274"/>
        <v>0.12072521819471072</v>
      </c>
      <c r="Q143" s="356">
        <f t="shared" si="274"/>
        <v>0.10072121623340835</v>
      </c>
      <c r="R143" s="356">
        <f t="shared" si="274"/>
        <v>0.16492101454197261</v>
      </c>
      <c r="S143" s="356">
        <f t="shared" si="274"/>
        <v>5.6501074212033764E-2</v>
      </c>
      <c r="T143" s="356">
        <f t="shared" ref="T143:Y143" si="275">T142/S142-1</f>
        <v>-7.4458482639675805E-2</v>
      </c>
      <c r="U143" s="356"/>
      <c r="V143" s="356">
        <f>V142/T142-1</f>
        <v>0.15477328208860253</v>
      </c>
      <c r="W143" s="356">
        <f t="shared" si="275"/>
        <v>-3.7669960634819533E-2</v>
      </c>
      <c r="X143" s="356">
        <f t="shared" si="275"/>
        <v>-3.2314914172225651E-2</v>
      </c>
      <c r="Y143" s="356">
        <f t="shared" si="275"/>
        <v>-1.995489564345343E-2</v>
      </c>
      <c r="Z143" s="356">
        <f t="shared" ref="Z143" si="276">Z142/Y142-1</f>
        <v>-8.9486711385082796E-3</v>
      </c>
      <c r="AA143" s="356">
        <f t="shared" ref="AA143" si="277">AA142/Z142-1</f>
        <v>5.1575918114834529E-3</v>
      </c>
      <c r="AB143" s="347"/>
      <c r="AC143" s="347"/>
      <c r="AD143" s="347"/>
      <c r="AE143" s="347"/>
      <c r="AF143" s="347"/>
      <c r="AG143" s="347"/>
      <c r="AH143" s="347"/>
      <c r="BY143" s="486"/>
      <c r="BZ143" s="487"/>
    </row>
    <row r="144" spans="1:78" s="349" customFormat="1" ht="13" hidden="1" outlineLevel="1">
      <c r="A144" s="870"/>
      <c r="B144" s="562"/>
      <c r="AB144" s="347"/>
      <c r="AC144" s="347"/>
      <c r="AD144" s="347"/>
      <c r="AE144" s="347"/>
      <c r="AF144" s="347"/>
      <c r="AG144" s="347"/>
      <c r="AH144" s="347"/>
      <c r="BY144" s="486"/>
      <c r="BZ144" s="487"/>
    </row>
    <row r="145" spans="1:78" s="356" customFormat="1" ht="13" hidden="1" outlineLevel="1">
      <c r="A145" s="876"/>
      <c r="B145" s="791" t="s">
        <v>161</v>
      </c>
      <c r="C145" s="356">
        <f t="shared" ref="C145:AA145" si="278">C73/C135</f>
        <v>3.9268153230417382</v>
      </c>
      <c r="D145" s="356">
        <f t="shared" si="278"/>
        <v>3.368452204794318</v>
      </c>
      <c r="E145" s="356">
        <f t="shared" si="278"/>
        <v>1.4121090617481957</v>
      </c>
      <c r="F145" s="356">
        <f t="shared" si="278"/>
        <v>1.1761280931586608</v>
      </c>
      <c r="G145" s="356">
        <f t="shared" si="278"/>
        <v>1.3926969891095451</v>
      </c>
      <c r="H145" s="356">
        <f t="shared" si="278"/>
        <v>2.0086853533359652</v>
      </c>
      <c r="I145" s="356">
        <f t="shared" si="278"/>
        <v>1.2839034554610176</v>
      </c>
      <c r="J145" s="356">
        <f t="shared" si="278"/>
        <v>1.019689565967232</v>
      </c>
      <c r="K145" s="356">
        <f t="shared" si="278"/>
        <v>0.58107918710581641</v>
      </c>
      <c r="L145" s="356">
        <f t="shared" si="278"/>
        <v>0.69400944568729805</v>
      </c>
      <c r="M145" s="356">
        <f t="shared" si="278"/>
        <v>0.9634584951805496</v>
      </c>
      <c r="N145" s="356">
        <f t="shared" si="278"/>
        <v>0.53986343688150762</v>
      </c>
      <c r="O145" s="356">
        <f t="shared" si="278"/>
        <v>1.3026116282400115</v>
      </c>
      <c r="P145" s="356">
        <f t="shared" si="278"/>
        <v>0.50974401988689066</v>
      </c>
      <c r="Q145" s="356">
        <f t="shared" si="278"/>
        <v>0.99646181229094111</v>
      </c>
      <c r="R145" s="356">
        <f t="shared" si="278"/>
        <v>0.85788963126364504</v>
      </c>
      <c r="S145" s="356">
        <f t="shared" si="278"/>
        <v>0.63078539390776578</v>
      </c>
      <c r="T145" s="356">
        <f t="shared" si="278"/>
        <v>0.60811324926486465</v>
      </c>
      <c r="V145" s="356">
        <f t="shared" si="278"/>
        <v>1.8145962215189588</v>
      </c>
      <c r="W145" s="356">
        <f t="shared" si="278"/>
        <v>0.80173704929042211</v>
      </c>
      <c r="X145" s="356">
        <f t="shared" si="278"/>
        <v>0.82992150435670586</v>
      </c>
      <c r="Y145" s="356">
        <f t="shared" si="278"/>
        <v>0.8949742334555062</v>
      </c>
      <c r="Z145" s="356">
        <f t="shared" si="278"/>
        <v>0.95290173084995589</v>
      </c>
      <c r="AA145" s="356">
        <f t="shared" si="278"/>
        <v>1.0271452200604392</v>
      </c>
    </row>
    <row r="146" spans="1:78" s="349" customFormat="1" ht="13" hidden="1" outlineLevel="1">
      <c r="A146" s="870"/>
      <c r="B146" s="562" t="s">
        <v>162</v>
      </c>
      <c r="C146" s="356">
        <f>C73/'Income Statement'!C236</f>
        <v>0.8595744680851064</v>
      </c>
      <c r="D146" s="356">
        <f>D73/'Income Statement'!H236</f>
        <v>0.94367702400978992</v>
      </c>
      <c r="E146" s="356">
        <f>E73/'Income Statement'!M236</f>
        <v>0.38540161961041802</v>
      </c>
      <c r="F146" s="356">
        <f>F73/'Income Statement'!R236</f>
        <v>0.27766323024054984</v>
      </c>
      <c r="G146" s="356">
        <f>G73/'Income Statement'!W236</f>
        <v>0.35713503449786443</v>
      </c>
      <c r="H146" s="356">
        <f>H73/'Income Statement'!AB236</f>
        <v>0.48528780580857456</v>
      </c>
      <c r="I146" s="356">
        <f>I73/'Income Statement'!AG236</f>
        <v>0.34769115019279601</v>
      </c>
      <c r="J146" s="356">
        <f>J73/'Income Statement'!AL236</f>
        <v>0.3024296675191816</v>
      </c>
      <c r="K146" s="356">
        <f>K73/'Income Statement'!AQ236</f>
        <v>0.18108757370604936</v>
      </c>
      <c r="L146" s="356">
        <f>L73/'Income Statement'!AV236</f>
        <v>0.26165596738672042</v>
      </c>
      <c r="M146" s="356">
        <f>M73/'Income Statement'!BA236</f>
        <v>0.29243264486266973</v>
      </c>
      <c r="N146" s="356">
        <f>N73/'Income Statement'!BF236</f>
        <v>0.27349947329443219</v>
      </c>
      <c r="O146" s="356">
        <f>O73/'Income Statement'!BK236</f>
        <v>0.36192219649405494</v>
      </c>
      <c r="P146" s="356">
        <f>P73/'Income Statement'!BL236</f>
        <v>0.94733830258831908</v>
      </c>
      <c r="Q146" s="356">
        <f>Q73/'Income Statement'!BU236</f>
        <v>0.37082236147424402</v>
      </c>
      <c r="R146" s="356">
        <f>R73/'Income Statement'!BZ236</f>
        <v>0.31099450504313464</v>
      </c>
      <c r="S146" s="356">
        <f>S73/'Income Statement'!CE236</f>
        <v>0.22145460779191653</v>
      </c>
      <c r="T146" s="356">
        <f>T73/'Income Statement'!CJ236</f>
        <v>0.21464545540005017</v>
      </c>
      <c r="U146" s="356"/>
      <c r="V146" s="356">
        <f>V73/'Income Statement'!CO236</f>
        <v>0.48000000000000004</v>
      </c>
      <c r="W146" s="356">
        <f>W73/'Income Statement'!CP236</f>
        <v>0.22</v>
      </c>
      <c r="X146" s="356">
        <f>X73/'Income Statement'!CQ236</f>
        <v>0.21</v>
      </c>
      <c r="Y146" s="356">
        <f>Y73/'Income Statement'!CR236</f>
        <v>0.21</v>
      </c>
      <c r="Z146" s="356">
        <f>Z73/'Income Statement'!CS236</f>
        <v>0.21000000000000002</v>
      </c>
      <c r="AA146" s="356">
        <f>AA73/'Income Statement'!CT236</f>
        <v>0.21499999999999997</v>
      </c>
      <c r="AB146" s="347"/>
      <c r="AC146" s="347"/>
      <c r="AD146" s="347"/>
      <c r="AE146" s="347"/>
      <c r="AF146" s="347"/>
      <c r="AG146" s="347"/>
      <c r="AH146" s="347"/>
      <c r="BY146" s="486"/>
      <c r="BZ146" s="487"/>
    </row>
    <row r="147" spans="1:78" s="349" customFormat="1" ht="13" collapsed="1">
      <c r="A147" s="870"/>
      <c r="B147" s="407"/>
      <c r="C147" s="356"/>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47"/>
      <c r="AC147" s="347"/>
      <c r="AD147" s="347"/>
      <c r="AE147" s="347"/>
      <c r="AF147" s="347"/>
      <c r="AG147" s="347"/>
      <c r="AH147" s="347"/>
      <c r="BY147" s="486"/>
      <c r="BZ147" s="487"/>
    </row>
    <row r="148" spans="1:78" s="349" customFormat="1" ht="13">
      <c r="A148" s="870"/>
      <c r="B148" s="407"/>
      <c r="C148" s="356"/>
      <c r="D148" s="356"/>
      <c r="E148" s="356"/>
      <c r="F148" s="356"/>
      <c r="G148" s="356"/>
      <c r="H148" s="356"/>
      <c r="I148" s="356"/>
      <c r="J148" s="356"/>
      <c r="K148" s="356"/>
      <c r="L148" s="356"/>
      <c r="M148" s="356"/>
      <c r="N148" s="356"/>
      <c r="O148" s="356"/>
      <c r="P148" s="356"/>
      <c r="Q148" s="356"/>
      <c r="R148" s="356"/>
      <c r="S148" s="356"/>
      <c r="T148" s="356"/>
      <c r="U148" s="356"/>
      <c r="V148" s="356"/>
      <c r="W148" s="356"/>
      <c r="X148" s="356"/>
      <c r="Y148" s="356"/>
      <c r="Z148" s="356"/>
      <c r="AA148" s="356"/>
      <c r="AB148" s="347"/>
      <c r="AC148" s="347"/>
      <c r="AD148" s="347"/>
      <c r="AE148" s="347"/>
      <c r="AF148" s="347"/>
      <c r="AG148" s="347"/>
      <c r="AH148" s="347"/>
      <c r="BY148" s="486"/>
      <c r="BZ148" s="487"/>
    </row>
    <row r="149" spans="1:78" s="349" customFormat="1" ht="13">
      <c r="A149" s="870"/>
      <c r="B149" s="483" t="s">
        <v>93</v>
      </c>
      <c r="C149" s="485">
        <f>C$2</f>
        <v>2007</v>
      </c>
      <c r="D149" s="485">
        <f t="shared" ref="D149:S149" si="279">C149+1</f>
        <v>2008</v>
      </c>
      <c r="E149" s="485">
        <f t="shared" si="279"/>
        <v>2009</v>
      </c>
      <c r="F149" s="485">
        <f t="shared" si="279"/>
        <v>2010</v>
      </c>
      <c r="G149" s="485">
        <f t="shared" si="279"/>
        <v>2011</v>
      </c>
      <c r="H149" s="485">
        <f t="shared" si="279"/>
        <v>2012</v>
      </c>
      <c r="I149" s="485">
        <f t="shared" si="279"/>
        <v>2013</v>
      </c>
      <c r="J149" s="485">
        <f t="shared" si="279"/>
        <v>2014</v>
      </c>
      <c r="K149" s="485">
        <f t="shared" si="279"/>
        <v>2015</v>
      </c>
      <c r="L149" s="485">
        <f t="shared" si="279"/>
        <v>2016</v>
      </c>
      <c r="M149" s="485">
        <f t="shared" si="279"/>
        <v>2017</v>
      </c>
      <c r="N149" s="485">
        <f t="shared" si="279"/>
        <v>2018</v>
      </c>
      <c r="O149" s="485">
        <f t="shared" si="279"/>
        <v>2019</v>
      </c>
      <c r="P149" s="485">
        <f t="shared" si="279"/>
        <v>2020</v>
      </c>
      <c r="Q149" s="485">
        <f t="shared" si="279"/>
        <v>2021</v>
      </c>
      <c r="R149" s="485">
        <f t="shared" si="279"/>
        <v>2022</v>
      </c>
      <c r="S149" s="485">
        <f t="shared" si="279"/>
        <v>2023</v>
      </c>
      <c r="T149" s="485">
        <f t="shared" ref="T149:Y149" si="280">S149+1</f>
        <v>2024</v>
      </c>
      <c r="U149" s="485"/>
      <c r="V149" s="485">
        <f>T149+1</f>
        <v>2025</v>
      </c>
      <c r="W149" s="485">
        <f t="shared" si="280"/>
        <v>2026</v>
      </c>
      <c r="X149" s="485">
        <f t="shared" si="280"/>
        <v>2027</v>
      </c>
      <c r="Y149" s="485">
        <f t="shared" si="280"/>
        <v>2028</v>
      </c>
      <c r="Z149" s="485">
        <f t="shared" ref="Z149" si="281">Y149+1</f>
        <v>2029</v>
      </c>
      <c r="AA149" s="485">
        <f t="shared" ref="AA149" si="282">Z149+1</f>
        <v>2030</v>
      </c>
      <c r="AB149" s="347"/>
      <c r="AC149" s="347"/>
      <c r="AD149" s="347"/>
      <c r="AE149" s="347"/>
      <c r="AF149" s="347"/>
      <c r="AG149" s="347"/>
      <c r="AH149" s="347"/>
      <c r="BY149" s="486"/>
      <c r="BZ149" s="487"/>
    </row>
    <row r="150" spans="1:78" s="349" customFormat="1" ht="13">
      <c r="A150" s="870"/>
      <c r="B150" s="407" t="s">
        <v>93</v>
      </c>
      <c r="C150" s="818">
        <f>'Income Statement'!C438</f>
        <v>0</v>
      </c>
      <c r="D150" s="818">
        <f>'Income Statement'!H438</f>
        <v>0</v>
      </c>
      <c r="E150" s="818">
        <f>'Income Statement'!M438</f>
        <v>0</v>
      </c>
      <c r="F150" s="818">
        <v>0</v>
      </c>
      <c r="G150" s="818">
        <v>0</v>
      </c>
      <c r="H150" s="818">
        <v>0</v>
      </c>
      <c r="I150" s="818">
        <v>0</v>
      </c>
      <c r="J150" s="818">
        <v>0</v>
      </c>
      <c r="K150" s="818">
        <v>0</v>
      </c>
      <c r="L150" s="818">
        <v>0</v>
      </c>
      <c r="M150" s="752">
        <f t="shared" ref="M150:P150" si="283">M156/20</f>
        <v>381.7</v>
      </c>
      <c r="N150" s="752">
        <f t="shared" si="283"/>
        <v>381.69740000000002</v>
      </c>
      <c r="O150" s="752">
        <f t="shared" si="283"/>
        <v>381.69740000000002</v>
      </c>
      <c r="P150" s="752">
        <f t="shared" si="283"/>
        <v>382.54245000000003</v>
      </c>
      <c r="Q150" s="752">
        <f>Q156/20</f>
        <v>382.55065000000002</v>
      </c>
      <c r="R150" s="752">
        <f>R156/20</f>
        <v>397.6832</v>
      </c>
      <c r="S150" s="752">
        <f>S156/20</f>
        <v>357.42034999999998</v>
      </c>
      <c r="T150" s="752">
        <f>T156/20</f>
        <v>402.32585</v>
      </c>
      <c r="U150" s="752"/>
      <c r="V150" s="752">
        <f t="shared" ref="V150:Y150" si="284">V156/20</f>
        <v>402.32585</v>
      </c>
      <c r="W150" s="752">
        <f t="shared" si="284"/>
        <v>402.32585</v>
      </c>
      <c r="X150" s="752">
        <f t="shared" si="284"/>
        <v>439.43857727272723</v>
      </c>
      <c r="Y150" s="752">
        <f t="shared" si="284"/>
        <v>476.55130454545451</v>
      </c>
      <c r="Z150" s="752">
        <f t="shared" ref="Z150:AA150" si="285">Z156/20</f>
        <v>513.6640318181818</v>
      </c>
      <c r="AA150" s="752">
        <f t="shared" si="285"/>
        <v>550.77675909090908</v>
      </c>
      <c r="AB150" s="347"/>
      <c r="AC150" s="347"/>
      <c r="AD150" s="347"/>
      <c r="AE150" s="347"/>
      <c r="AF150" s="347"/>
      <c r="AG150" s="347"/>
      <c r="AH150" s="347"/>
      <c r="BY150" s="486"/>
      <c r="BZ150" s="487"/>
    </row>
    <row r="151" spans="1:78" s="349" customFormat="1" ht="13">
      <c r="A151" s="870"/>
      <c r="B151" s="407" t="s">
        <v>163</v>
      </c>
      <c r="C151" s="818">
        <v>0</v>
      </c>
      <c r="D151" s="818">
        <v>0</v>
      </c>
      <c r="E151" s="818">
        <v>0</v>
      </c>
      <c r="F151" s="818">
        <v>0</v>
      </c>
      <c r="G151" s="818">
        <v>0</v>
      </c>
      <c r="H151" s="818">
        <v>0</v>
      </c>
      <c r="I151" s="818">
        <v>0</v>
      </c>
      <c r="J151" s="818">
        <v>0</v>
      </c>
      <c r="K151" s="818">
        <v>0</v>
      </c>
      <c r="L151" s="818">
        <v>0</v>
      </c>
      <c r="M151" s="818">
        <v>0</v>
      </c>
      <c r="N151" s="818">
        <v>0</v>
      </c>
      <c r="O151" s="818">
        <v>0</v>
      </c>
      <c r="P151" s="818">
        <v>0</v>
      </c>
      <c r="Q151" s="818">
        <v>0</v>
      </c>
      <c r="R151" s="752">
        <v>0</v>
      </c>
      <c r="S151" s="752">
        <v>0</v>
      </c>
      <c r="T151" s="752">
        <v>0</v>
      </c>
      <c r="U151" s="752"/>
      <c r="V151" s="752">
        <v>0</v>
      </c>
      <c r="W151" s="752">
        <v>0</v>
      </c>
      <c r="X151" s="752">
        <v>0</v>
      </c>
      <c r="Y151" s="752">
        <v>0</v>
      </c>
      <c r="Z151" s="752">
        <v>0</v>
      </c>
      <c r="AA151" s="752">
        <v>0</v>
      </c>
      <c r="AB151" s="347"/>
      <c r="AC151" s="347"/>
      <c r="AD151" s="347"/>
      <c r="AE151" s="347"/>
      <c r="AF151" s="347"/>
      <c r="AG151" s="347"/>
      <c r="AH151" s="347"/>
      <c r="BY151" s="486"/>
      <c r="BZ151" s="487"/>
    </row>
    <row r="152" spans="1:78" s="349" customFormat="1" ht="13">
      <c r="A152" s="870"/>
      <c r="B152" s="407" t="s">
        <v>164</v>
      </c>
      <c r="C152" s="752"/>
      <c r="D152" s="752"/>
      <c r="E152" s="752"/>
      <c r="F152" s="752"/>
      <c r="G152" s="752"/>
      <c r="H152" s="752"/>
      <c r="I152" s="752"/>
      <c r="J152" s="752"/>
      <c r="K152" s="752"/>
      <c r="L152" s="752"/>
      <c r="M152" s="752"/>
      <c r="N152" s="752"/>
      <c r="O152" s="752"/>
      <c r="P152" s="752"/>
      <c r="Q152" s="752"/>
      <c r="R152" s="752"/>
      <c r="S152" s="752"/>
      <c r="T152" s="752"/>
      <c r="U152" s="752"/>
      <c r="V152" s="752"/>
      <c r="W152" s="752"/>
      <c r="X152" s="752"/>
      <c r="Y152" s="752"/>
      <c r="Z152" s="752"/>
      <c r="AA152" s="752"/>
      <c r="AB152" s="347"/>
      <c r="AC152" s="347"/>
      <c r="AD152" s="347"/>
      <c r="AE152" s="347"/>
      <c r="AF152" s="347"/>
      <c r="AG152" s="347"/>
      <c r="AH152" s="347"/>
      <c r="BY152" s="486"/>
      <c r="BZ152" s="487"/>
    </row>
    <row r="153" spans="1:78" s="349" customFormat="1" ht="13">
      <c r="A153" s="870"/>
      <c r="B153" s="407" t="s">
        <v>165</v>
      </c>
      <c r="C153" s="752"/>
      <c r="D153" s="752"/>
      <c r="E153" s="752"/>
      <c r="F153" s="752"/>
      <c r="G153" s="752"/>
      <c r="H153" s="752"/>
      <c r="I153" s="752"/>
      <c r="J153" s="752"/>
      <c r="K153" s="752"/>
      <c r="L153" s="752"/>
      <c r="M153" s="752">
        <f t="shared" ref="M153:R153" si="286">(M159)/M150</f>
        <v>15.496463190987686</v>
      </c>
      <c r="N153" s="752">
        <f t="shared" si="286"/>
        <v>15.108690811098006</v>
      </c>
      <c r="O153" s="752">
        <f t="shared" si="286"/>
        <v>15.022855801480441</v>
      </c>
      <c r="P153" s="752">
        <f t="shared" ref="P153" si="287">(P159)/P150</f>
        <v>14.943246167843595</v>
      </c>
      <c r="Q153" s="752">
        <f t="shared" si="286"/>
        <v>14.932814778905747</v>
      </c>
      <c r="R153" s="752">
        <f t="shared" si="286"/>
        <v>15.058388184363835</v>
      </c>
      <c r="S153" s="752">
        <f t="shared" ref="S153" si="288">(S159)/S150</f>
        <v>18.056850987919407</v>
      </c>
      <c r="T153" s="752">
        <f t="shared" ref="T153:Y153" si="289">(T159)/T150</f>
        <v>17.360455461661235</v>
      </c>
      <c r="U153" s="752"/>
      <c r="V153" s="752">
        <f t="shared" si="289"/>
        <v>16.360455461661239</v>
      </c>
      <c r="W153" s="752">
        <f t="shared" si="289"/>
        <v>17.205364371825834</v>
      </c>
      <c r="X153" s="752">
        <f t="shared" si="289"/>
        <v>16.441384956406203</v>
      </c>
      <c r="Y153" s="752">
        <f t="shared" si="289"/>
        <v>15.71852176900499</v>
      </c>
      <c r="Z153" s="752">
        <f t="shared" ref="Z153:AA153" si="290">(Z159)/Z150</f>
        <v>15.027862746897872</v>
      </c>
      <c r="AA153" s="752">
        <f t="shared" si="290"/>
        <v>14.362897896422924</v>
      </c>
      <c r="AB153" s="347"/>
      <c r="AC153" s="347"/>
      <c r="AD153" s="347"/>
      <c r="AE153" s="347"/>
      <c r="AF153" s="347"/>
      <c r="AG153" s="347"/>
      <c r="AH153" s="347"/>
      <c r="BY153" s="486"/>
      <c r="BZ153" s="487"/>
    </row>
    <row r="154" spans="1:78" s="349" customFormat="1" ht="13">
      <c r="A154" s="870"/>
      <c r="B154" s="407"/>
      <c r="C154" s="752"/>
      <c r="D154" s="752"/>
      <c r="E154" s="752"/>
      <c r="F154" s="752"/>
      <c r="G154" s="752"/>
      <c r="H154" s="752"/>
      <c r="I154" s="752"/>
      <c r="J154" s="752"/>
      <c r="K154" s="752"/>
      <c r="L154" s="752"/>
      <c r="M154" s="752"/>
      <c r="N154" s="752"/>
      <c r="O154" s="752"/>
      <c r="P154" s="752"/>
      <c r="Q154" s="752"/>
      <c r="R154" s="752"/>
      <c r="S154" s="752"/>
      <c r="T154" s="752"/>
      <c r="U154" s="752"/>
      <c r="V154" s="752"/>
      <c r="W154" s="752"/>
      <c r="X154" s="752"/>
      <c r="Y154" s="752"/>
      <c r="Z154" s="752"/>
      <c r="AA154" s="752"/>
      <c r="AB154" s="347"/>
      <c r="AC154" s="347"/>
      <c r="AD154" s="347"/>
      <c r="AE154" s="347"/>
      <c r="AF154" s="347"/>
      <c r="AG154" s="347"/>
      <c r="AH154" s="347"/>
      <c r="BY154" s="486"/>
      <c r="BZ154" s="487"/>
    </row>
    <row r="155" spans="1:78" s="349" customFormat="1" ht="13">
      <c r="A155" s="870"/>
      <c r="B155" s="407"/>
      <c r="C155" s="752"/>
      <c r="D155" s="752"/>
      <c r="E155" s="752"/>
      <c r="F155" s="752"/>
      <c r="G155" s="752"/>
      <c r="H155" s="752"/>
      <c r="I155" s="752"/>
      <c r="J155" s="752"/>
      <c r="K155" s="752"/>
      <c r="L155" s="752"/>
      <c r="M155" s="752"/>
      <c r="N155" s="752"/>
      <c r="O155" s="752"/>
      <c r="P155" s="752"/>
      <c r="Q155" s="752"/>
      <c r="R155" s="752"/>
      <c r="S155" s="752"/>
      <c r="T155" s="752"/>
      <c r="U155" s="752"/>
      <c r="V155" s="752"/>
      <c r="W155" s="752"/>
      <c r="X155" s="752"/>
      <c r="Y155" s="752"/>
      <c r="Z155" s="752"/>
      <c r="AA155" s="752"/>
      <c r="AB155" s="347"/>
      <c r="AC155" s="347"/>
      <c r="AD155" s="347"/>
      <c r="AE155" s="347"/>
      <c r="AF155" s="347"/>
      <c r="AG155" s="347"/>
      <c r="AH155" s="347"/>
      <c r="BY155" s="486"/>
      <c r="BZ155" s="487"/>
    </row>
    <row r="156" spans="1:78" s="349" customFormat="1" ht="13">
      <c r="A156" s="870"/>
      <c r="B156" s="407" t="s">
        <v>166</v>
      </c>
      <c r="C156" s="818"/>
      <c r="D156" s="818"/>
      <c r="E156" s="818"/>
      <c r="F156" s="818"/>
      <c r="G156" s="818"/>
      <c r="H156" s="818"/>
      <c r="I156" s="818"/>
      <c r="J156" s="818"/>
      <c r="K156" s="818">
        <v>6326</v>
      </c>
      <c r="L156" s="818">
        <v>7634</v>
      </c>
      <c r="M156" s="818">
        <v>7634</v>
      </c>
      <c r="N156" s="818">
        <v>7633.9480000000003</v>
      </c>
      <c r="O156" s="818">
        <v>7633.9480000000003</v>
      </c>
      <c r="P156" s="818">
        <v>7650.8490000000002</v>
      </c>
      <c r="Q156" s="818">
        <v>7651.0129999999999</v>
      </c>
      <c r="R156" s="818">
        <v>7953.6639999999998</v>
      </c>
      <c r="S156" s="818">
        <v>7148.4070000000002</v>
      </c>
      <c r="T156" s="818">
        <v>8046.5169999999998</v>
      </c>
      <c r="U156" s="818"/>
      <c r="V156" s="752">
        <f>T156+T158</f>
        <v>8046.5169999999998</v>
      </c>
      <c r="W156" s="752">
        <f t="shared" ref="W156:Y156" si="291">V156+V158</f>
        <v>8046.5169999999998</v>
      </c>
      <c r="X156" s="752">
        <f t="shared" si="291"/>
        <v>8788.771545454545</v>
      </c>
      <c r="Y156" s="752">
        <f t="shared" si="291"/>
        <v>9531.0260909090903</v>
      </c>
      <c r="Z156" s="752">
        <f t="shared" ref="Z156" si="292">Y156+Y158</f>
        <v>10273.280636363635</v>
      </c>
      <c r="AA156" s="752">
        <f t="shared" ref="AA156" si="293">Z156+Z158</f>
        <v>11015.535181818181</v>
      </c>
      <c r="AB156" s="347"/>
      <c r="AC156" s="347"/>
      <c r="AD156" s="347"/>
      <c r="AE156" s="347"/>
      <c r="AF156" s="347"/>
      <c r="AG156" s="347"/>
      <c r="AH156" s="347"/>
      <c r="BY156" s="486"/>
      <c r="BZ156" s="487"/>
    </row>
    <row r="157" spans="1:78" s="349" customFormat="1" ht="13">
      <c r="A157" s="870"/>
      <c r="B157" s="407" t="s">
        <v>167</v>
      </c>
      <c r="C157" s="818"/>
      <c r="D157" s="818"/>
      <c r="E157" s="818"/>
      <c r="F157" s="818"/>
      <c r="G157" s="818"/>
      <c r="H157" s="818"/>
      <c r="I157" s="818"/>
      <c r="J157" s="818"/>
      <c r="K157" s="818"/>
      <c r="L157" s="818">
        <v>1526</v>
      </c>
      <c r="M157" s="818">
        <v>1719</v>
      </c>
      <c r="N157" s="818">
        <v>1867</v>
      </c>
      <c r="O157" s="818">
        <v>1899.7629999999999</v>
      </c>
      <c r="P157" s="818">
        <v>1934.423</v>
      </c>
      <c r="Q157" s="818">
        <v>1938.4549999999999</v>
      </c>
      <c r="R157" s="818">
        <v>1965.1959999999999</v>
      </c>
      <c r="S157" s="818">
        <v>694.52099999999996</v>
      </c>
      <c r="T157" s="818">
        <v>1061.9570000000001</v>
      </c>
      <c r="U157" s="818"/>
      <c r="V157" s="752">
        <f>T157+V150</f>
        <v>1464.2828500000001</v>
      </c>
      <c r="W157" s="752">
        <f t="shared" ref="W157:Y157" si="294">V157+W150</f>
        <v>1866.6087</v>
      </c>
      <c r="X157" s="752">
        <f t="shared" si="294"/>
        <v>2306.0472772727271</v>
      </c>
      <c r="Y157" s="752">
        <f t="shared" si="294"/>
        <v>2782.5985818181816</v>
      </c>
      <c r="Z157" s="752">
        <f t="shared" ref="Z157" si="295">Y157+Z150</f>
        <v>3296.2626136363633</v>
      </c>
      <c r="AA157" s="752">
        <f t="shared" ref="AA157" si="296">Z157+AA150</f>
        <v>3847.0393727272722</v>
      </c>
      <c r="AB157" s="347"/>
      <c r="AC157" s="347"/>
      <c r="AD157" s="347"/>
      <c r="AE157" s="347"/>
      <c r="AF157" s="347"/>
      <c r="AG157" s="347"/>
      <c r="AH157" s="347"/>
      <c r="BY157" s="486"/>
      <c r="BZ157" s="487"/>
    </row>
    <row r="158" spans="1:78" s="349" customFormat="1" ht="13">
      <c r="A158" s="870"/>
      <c r="B158" s="407" t="s">
        <v>160</v>
      </c>
      <c r="C158" s="752">
        <f t="shared" ref="C158:AA158" si="297">-C67</f>
        <v>0</v>
      </c>
      <c r="D158" s="752">
        <f t="shared" si="297"/>
        <v>0</v>
      </c>
      <c r="E158" s="752">
        <f t="shared" si="297"/>
        <v>0</v>
      </c>
      <c r="F158" s="752">
        <f t="shared" si="297"/>
        <v>0</v>
      </c>
      <c r="G158" s="752">
        <f t="shared" si="297"/>
        <v>0</v>
      </c>
      <c r="H158" s="752">
        <f t="shared" si="297"/>
        <v>0</v>
      </c>
      <c r="I158" s="752">
        <f t="shared" si="297"/>
        <v>0</v>
      </c>
      <c r="J158" s="752">
        <f t="shared" si="297"/>
        <v>0</v>
      </c>
      <c r="K158" s="752">
        <f t="shared" si="297"/>
        <v>0</v>
      </c>
      <c r="L158" s="752">
        <f t="shared" si="297"/>
        <v>0</v>
      </c>
      <c r="M158" s="752">
        <f t="shared" si="297"/>
        <v>0</v>
      </c>
      <c r="N158" s="752">
        <f t="shared" si="297"/>
        <v>0</v>
      </c>
      <c r="O158" s="752">
        <f t="shared" si="297"/>
        <v>0</v>
      </c>
      <c r="P158" s="752">
        <f t="shared" si="297"/>
        <v>0</v>
      </c>
      <c r="Q158" s="752">
        <f t="shared" si="297"/>
        <v>0</v>
      </c>
      <c r="R158" s="752">
        <f t="shared" si="297"/>
        <v>0</v>
      </c>
      <c r="S158" s="752">
        <f t="shared" si="297"/>
        <v>0</v>
      </c>
      <c r="T158" s="752">
        <f t="shared" si="297"/>
        <v>0</v>
      </c>
      <c r="U158" s="752"/>
      <c r="V158" s="814">
        <f>-V67</f>
        <v>0</v>
      </c>
      <c r="W158" s="814">
        <f t="shared" si="297"/>
        <v>742.25454545454534</v>
      </c>
      <c r="X158" s="814">
        <f t="shared" si="297"/>
        <v>742.25454545454534</v>
      </c>
      <c r="Y158" s="814">
        <f t="shared" si="297"/>
        <v>742.25454545454534</v>
      </c>
      <c r="Z158" s="814">
        <f t="shared" si="297"/>
        <v>742.25454545454534</v>
      </c>
      <c r="AA158" s="814">
        <f t="shared" si="297"/>
        <v>742.25454545454534</v>
      </c>
      <c r="AB158" s="347"/>
      <c r="AC158" s="347"/>
      <c r="AD158" s="347"/>
      <c r="AE158" s="347"/>
      <c r="AF158" s="347"/>
      <c r="AG158" s="347"/>
      <c r="AH158" s="347"/>
      <c r="BY158" s="486"/>
      <c r="BZ158" s="487"/>
    </row>
    <row r="159" spans="1:78" s="349" customFormat="1" ht="13">
      <c r="A159" s="870"/>
      <c r="B159" s="462" t="s">
        <v>168</v>
      </c>
      <c r="C159" s="755">
        <f t="shared" ref="C159:Q159" si="298">C156-C157+C158</f>
        <v>0</v>
      </c>
      <c r="D159" s="755">
        <f t="shared" si="298"/>
        <v>0</v>
      </c>
      <c r="E159" s="755">
        <f t="shared" si="298"/>
        <v>0</v>
      </c>
      <c r="F159" s="755">
        <f t="shared" si="298"/>
        <v>0</v>
      </c>
      <c r="G159" s="755">
        <f t="shared" si="298"/>
        <v>0</v>
      </c>
      <c r="H159" s="755">
        <f t="shared" si="298"/>
        <v>0</v>
      </c>
      <c r="I159" s="755">
        <f t="shared" si="298"/>
        <v>0</v>
      </c>
      <c r="J159" s="755">
        <f t="shared" si="298"/>
        <v>0</v>
      </c>
      <c r="K159" s="755">
        <f t="shared" si="298"/>
        <v>6326</v>
      </c>
      <c r="L159" s="755">
        <f t="shared" si="298"/>
        <v>6108</v>
      </c>
      <c r="M159" s="755">
        <f t="shared" si="298"/>
        <v>5915</v>
      </c>
      <c r="N159" s="755">
        <f t="shared" si="298"/>
        <v>5766.9480000000003</v>
      </c>
      <c r="O159" s="755">
        <f t="shared" si="298"/>
        <v>5734.1850000000004</v>
      </c>
      <c r="P159" s="755">
        <f t="shared" ref="P159" si="299">P156-P157+P158</f>
        <v>5716.4260000000004</v>
      </c>
      <c r="Q159" s="755">
        <f t="shared" si="298"/>
        <v>5712.558</v>
      </c>
      <c r="R159" s="755">
        <f t="shared" ref="R159:Y159" si="300">R156-R157+R158</f>
        <v>5988.4679999999998</v>
      </c>
      <c r="S159" s="755">
        <f t="shared" ref="S159" si="301">S156-S157+S158</f>
        <v>6453.8860000000004</v>
      </c>
      <c r="T159" s="755">
        <f>T156-T157+T158</f>
        <v>6984.5599999999995</v>
      </c>
      <c r="U159" s="755"/>
      <c r="V159" s="755">
        <f t="shared" si="300"/>
        <v>6582.2341500000002</v>
      </c>
      <c r="W159" s="755">
        <f t="shared" si="300"/>
        <v>6922.1628454545453</v>
      </c>
      <c r="X159" s="755">
        <f t="shared" si="300"/>
        <v>7224.9788136363632</v>
      </c>
      <c r="Y159" s="755">
        <f t="shared" si="300"/>
        <v>7490.6820545454539</v>
      </c>
      <c r="Z159" s="755">
        <f t="shared" ref="Z159:AA159" si="302">Z156-Z157+Z158</f>
        <v>7719.2725681818174</v>
      </c>
      <c r="AA159" s="755">
        <f t="shared" si="302"/>
        <v>7910.7503545454538</v>
      </c>
      <c r="AB159" s="347"/>
      <c r="AC159" s="347"/>
      <c r="AD159" s="347"/>
      <c r="AE159" s="347"/>
      <c r="AF159" s="347"/>
      <c r="AG159" s="347"/>
      <c r="AH159" s="347"/>
      <c r="BY159" s="486"/>
      <c r="BZ159" s="487"/>
    </row>
    <row r="160" spans="1:78" s="349" customFormat="1" ht="13">
      <c r="A160" s="870"/>
      <c r="B160" s="407"/>
      <c r="C160" s="752"/>
      <c r="D160" s="752"/>
      <c r="E160" s="752"/>
      <c r="F160" s="752"/>
      <c r="G160" s="752"/>
      <c r="H160" s="752"/>
      <c r="I160" s="752"/>
      <c r="J160" s="752"/>
      <c r="K160" s="752"/>
      <c r="L160" s="752"/>
      <c r="M160" s="752"/>
      <c r="N160" s="752"/>
      <c r="O160" s="752"/>
      <c r="P160" s="752"/>
      <c r="Q160" s="752"/>
      <c r="R160" s="752"/>
      <c r="S160" s="752"/>
      <c r="T160" s="752"/>
      <c r="U160" s="752"/>
      <c r="V160" s="752"/>
      <c r="W160" s="752"/>
      <c r="X160" s="752"/>
      <c r="Y160" s="752"/>
      <c r="Z160" s="752"/>
      <c r="AA160" s="752"/>
      <c r="AB160" s="347"/>
      <c r="AC160" s="347"/>
      <c r="AD160" s="347"/>
      <c r="AE160" s="347"/>
      <c r="AF160" s="347"/>
      <c r="AG160" s="347"/>
      <c r="AH160" s="347"/>
      <c r="BY160" s="486"/>
      <c r="BZ160" s="487"/>
    </row>
    <row r="161" spans="1:78" s="349" customFormat="1" ht="13">
      <c r="A161" s="870"/>
      <c r="B161" s="407" t="s">
        <v>169</v>
      </c>
      <c r="C161" s="752">
        <v>0</v>
      </c>
      <c r="D161" s="752">
        <f t="shared" ref="D161:S161" si="303">C161</f>
        <v>0</v>
      </c>
      <c r="E161" s="752">
        <f t="shared" si="303"/>
        <v>0</v>
      </c>
      <c r="F161" s="752">
        <f t="shared" si="303"/>
        <v>0</v>
      </c>
      <c r="G161" s="752">
        <f t="shared" si="303"/>
        <v>0</v>
      </c>
      <c r="H161" s="752">
        <f t="shared" si="303"/>
        <v>0</v>
      </c>
      <c r="I161" s="752">
        <f t="shared" si="303"/>
        <v>0</v>
      </c>
      <c r="J161" s="752">
        <f t="shared" si="303"/>
        <v>0</v>
      </c>
      <c r="K161" s="752">
        <f t="shared" si="303"/>
        <v>0</v>
      </c>
      <c r="L161" s="752">
        <f t="shared" si="303"/>
        <v>0</v>
      </c>
      <c r="M161" s="752">
        <f t="shared" si="303"/>
        <v>0</v>
      </c>
      <c r="N161" s="752">
        <f t="shared" si="303"/>
        <v>0</v>
      </c>
      <c r="O161" s="752">
        <f t="shared" si="303"/>
        <v>0</v>
      </c>
      <c r="P161" s="752">
        <f t="shared" si="303"/>
        <v>0</v>
      </c>
      <c r="Q161" s="752">
        <f t="shared" si="303"/>
        <v>0</v>
      </c>
      <c r="R161" s="752">
        <f t="shared" si="303"/>
        <v>0</v>
      </c>
      <c r="S161" s="752">
        <f t="shared" si="303"/>
        <v>0</v>
      </c>
      <c r="T161" s="752">
        <f t="shared" ref="T161:Y162" si="304">S161</f>
        <v>0</v>
      </c>
      <c r="U161" s="752"/>
      <c r="V161" s="752">
        <f>T161</f>
        <v>0</v>
      </c>
      <c r="W161" s="752">
        <f t="shared" si="304"/>
        <v>0</v>
      </c>
      <c r="X161" s="752">
        <f t="shared" si="304"/>
        <v>0</v>
      </c>
      <c r="Y161" s="752">
        <f t="shared" si="304"/>
        <v>0</v>
      </c>
      <c r="Z161" s="752">
        <f t="shared" ref="Z161:Z162" si="305">Y161</f>
        <v>0</v>
      </c>
      <c r="AA161" s="752">
        <f t="shared" ref="AA161:AA162" si="306">Z161</f>
        <v>0</v>
      </c>
      <c r="AB161" s="347"/>
      <c r="AC161" s="347"/>
      <c r="AD161" s="347"/>
      <c r="AE161" s="347"/>
      <c r="AF161" s="347"/>
      <c r="AG161" s="347"/>
      <c r="AH161" s="347"/>
      <c r="BY161" s="486"/>
      <c r="BZ161" s="487"/>
    </row>
    <row r="162" spans="1:78" s="349" customFormat="1" ht="13">
      <c r="A162" s="870"/>
      <c r="B162" s="407" t="s">
        <v>170</v>
      </c>
      <c r="C162" s="818">
        <v>0</v>
      </c>
      <c r="D162" s="818">
        <v>0</v>
      </c>
      <c r="E162" s="818">
        <v>0</v>
      </c>
      <c r="F162" s="818">
        <v>0</v>
      </c>
      <c r="G162" s="818">
        <v>0</v>
      </c>
      <c r="H162" s="818">
        <v>0</v>
      </c>
      <c r="I162" s="818">
        <v>0</v>
      </c>
      <c r="J162" s="818">
        <v>0</v>
      </c>
      <c r="K162" s="818">
        <v>6681</v>
      </c>
      <c r="L162" s="818">
        <v>6681</v>
      </c>
      <c r="M162" s="818">
        <v>6681.357</v>
      </c>
      <c r="N162" s="818">
        <v>6681.357</v>
      </c>
      <c r="O162" s="818">
        <v>6681.357</v>
      </c>
      <c r="P162" s="818">
        <v>6681.357</v>
      </c>
      <c r="Q162" s="818">
        <v>6681.357</v>
      </c>
      <c r="R162" s="818">
        <v>6681.357</v>
      </c>
      <c r="S162" s="818">
        <v>6681.357</v>
      </c>
      <c r="T162" s="818">
        <f>Inputs!BO66</f>
        <v>6915.5919999999996</v>
      </c>
      <c r="U162" s="818"/>
      <c r="V162" s="752">
        <f>T162</f>
        <v>6915.5919999999996</v>
      </c>
      <c r="W162" s="752">
        <f t="shared" si="304"/>
        <v>6915.5919999999996</v>
      </c>
      <c r="X162" s="752">
        <f t="shared" si="304"/>
        <v>6915.5919999999996</v>
      </c>
      <c r="Y162" s="752">
        <f t="shared" si="304"/>
        <v>6915.5919999999996</v>
      </c>
      <c r="Z162" s="752">
        <f t="shared" si="305"/>
        <v>6915.5919999999996</v>
      </c>
      <c r="AA162" s="752">
        <f t="shared" si="306"/>
        <v>6915.5919999999996</v>
      </c>
      <c r="AB162" s="347"/>
      <c r="AC162" s="347"/>
      <c r="AD162" s="347"/>
      <c r="AE162" s="347"/>
      <c r="AF162" s="347"/>
      <c r="AG162" s="347"/>
      <c r="AH162" s="347"/>
      <c r="BY162" s="486"/>
      <c r="BZ162" s="487"/>
    </row>
    <row r="163" spans="1:78" s="349" customFormat="1" ht="13">
      <c r="A163" s="870"/>
      <c r="B163" s="407"/>
      <c r="I163" s="347"/>
      <c r="J163" s="347"/>
      <c r="K163" s="347"/>
      <c r="L163" s="347"/>
      <c r="M163" s="347"/>
      <c r="N163" s="347"/>
      <c r="O163" s="347"/>
      <c r="P163" s="347"/>
      <c r="Q163" s="347"/>
      <c r="R163" s="347"/>
      <c r="S163" s="347"/>
      <c r="T163" s="347"/>
      <c r="U163" s="347"/>
      <c r="V163" s="347"/>
      <c r="W163" s="347"/>
      <c r="X163" s="347"/>
      <c r="Y163" s="347"/>
      <c r="Z163" s="347"/>
      <c r="AA163" s="347"/>
      <c r="AB163" s="347"/>
      <c r="AC163" s="347"/>
      <c r="AD163" s="347"/>
      <c r="AE163" s="347"/>
      <c r="AF163" s="347"/>
      <c r="AG163" s="347"/>
      <c r="AH163" s="347"/>
      <c r="BY163" s="486"/>
      <c r="BZ163" s="487"/>
    </row>
    <row r="164" spans="1:78" s="349" customFormat="1" ht="13">
      <c r="A164" s="870"/>
      <c r="B164" s="407"/>
      <c r="I164" s="347"/>
      <c r="J164" s="347"/>
      <c r="K164" s="347"/>
      <c r="L164" s="347"/>
      <c r="M164" s="347"/>
      <c r="N164" s="347"/>
      <c r="O164" s="347"/>
      <c r="P164" s="347"/>
      <c r="Q164" s="347"/>
      <c r="R164" s="347"/>
      <c r="S164" s="347"/>
      <c r="T164" s="347"/>
      <c r="U164" s="347"/>
      <c r="V164" s="347"/>
      <c r="W164" s="347"/>
      <c r="X164" s="347"/>
      <c r="Y164" s="347"/>
      <c r="Z164" s="347"/>
      <c r="AA164" s="347"/>
      <c r="AB164" s="347"/>
      <c r="AC164" s="347"/>
      <c r="AD164" s="347"/>
      <c r="AE164" s="347"/>
      <c r="AF164" s="347"/>
      <c r="AG164" s="364"/>
      <c r="AH164" s="364"/>
      <c r="BY164" s="486"/>
      <c r="BZ164" s="487"/>
    </row>
    <row r="165" spans="1:78" s="349" customFormat="1" ht="13">
      <c r="A165" s="870"/>
      <c r="B165" s="407"/>
      <c r="I165" s="347"/>
      <c r="J165" s="347"/>
      <c r="K165" s="347"/>
      <c r="L165" s="347"/>
      <c r="M165" s="347"/>
      <c r="N165" s="347"/>
      <c r="O165" s="347"/>
      <c r="P165" s="347"/>
      <c r="Q165" s="347"/>
      <c r="R165" s="347"/>
      <c r="S165" s="347"/>
      <c r="T165" s="347"/>
      <c r="U165" s="347"/>
      <c r="V165" s="347"/>
      <c r="W165" s="347"/>
      <c r="X165" s="347"/>
      <c r="Y165" s="347"/>
      <c r="Z165" s="347"/>
      <c r="AA165" s="347"/>
      <c r="AB165" s="347"/>
      <c r="AC165" s="347"/>
      <c r="AD165" s="347"/>
      <c r="AE165" s="347"/>
      <c r="AF165" s="347"/>
      <c r="AG165" s="364"/>
      <c r="AH165" s="364"/>
      <c r="BY165" s="486"/>
      <c r="BZ165" s="487"/>
    </row>
    <row r="166" spans="1:78" s="349" customFormat="1" ht="13">
      <c r="A166" s="870"/>
      <c r="B166" s="483" t="s">
        <v>1018</v>
      </c>
      <c r="C166" s="485">
        <f>C$2</f>
        <v>2007</v>
      </c>
      <c r="D166" s="485">
        <f t="shared" ref="D166:S166" si="307">C166+1</f>
        <v>2008</v>
      </c>
      <c r="E166" s="485">
        <f t="shared" si="307"/>
        <v>2009</v>
      </c>
      <c r="F166" s="485">
        <f t="shared" si="307"/>
        <v>2010</v>
      </c>
      <c r="G166" s="485">
        <f t="shared" si="307"/>
        <v>2011</v>
      </c>
      <c r="H166" s="485">
        <f t="shared" si="307"/>
        <v>2012</v>
      </c>
      <c r="I166" s="485">
        <f t="shared" si="307"/>
        <v>2013</v>
      </c>
      <c r="J166" s="485">
        <f t="shared" si="307"/>
        <v>2014</v>
      </c>
      <c r="K166" s="485">
        <f t="shared" si="307"/>
        <v>2015</v>
      </c>
      <c r="L166" s="485">
        <f t="shared" si="307"/>
        <v>2016</v>
      </c>
      <c r="M166" s="485">
        <f t="shared" si="307"/>
        <v>2017</v>
      </c>
      <c r="N166" s="485">
        <f t="shared" si="307"/>
        <v>2018</v>
      </c>
      <c r="O166" s="485">
        <f t="shared" si="307"/>
        <v>2019</v>
      </c>
      <c r="P166" s="485">
        <f t="shared" si="307"/>
        <v>2020</v>
      </c>
      <c r="Q166" s="485">
        <f t="shared" si="307"/>
        <v>2021</v>
      </c>
      <c r="R166" s="485">
        <f t="shared" si="307"/>
        <v>2022</v>
      </c>
      <c r="S166" s="485">
        <f t="shared" si="307"/>
        <v>2023</v>
      </c>
      <c r="T166" s="485">
        <f t="shared" ref="T166:Y166" si="308">S166+1</f>
        <v>2024</v>
      </c>
      <c r="U166" s="485"/>
      <c r="V166" s="485">
        <f>T166+1</f>
        <v>2025</v>
      </c>
      <c r="W166" s="485">
        <f t="shared" si="308"/>
        <v>2026</v>
      </c>
      <c r="X166" s="485">
        <f t="shared" si="308"/>
        <v>2027</v>
      </c>
      <c r="Y166" s="485">
        <f t="shared" si="308"/>
        <v>2028</v>
      </c>
      <c r="Z166" s="485">
        <f t="shared" ref="Z166" si="309">Y166+1</f>
        <v>2029</v>
      </c>
      <c r="AA166" s="485">
        <f t="shared" ref="AA166" si="310">Z166+1</f>
        <v>2030</v>
      </c>
      <c r="AB166" s="364"/>
      <c r="AC166" s="364"/>
      <c r="AD166" s="364"/>
      <c r="AE166" s="364"/>
      <c r="AF166" s="364"/>
      <c r="AG166" s="347"/>
      <c r="AH166" s="347"/>
      <c r="BY166" s="486"/>
      <c r="BZ166" s="487"/>
    </row>
    <row r="167" spans="1:78" s="349" customFormat="1" ht="13">
      <c r="A167" s="870"/>
      <c r="B167" s="414"/>
      <c r="C167" s="399"/>
      <c r="D167" s="399"/>
      <c r="E167" s="399"/>
      <c r="F167" s="399"/>
      <c r="G167" s="399"/>
      <c r="H167" s="399"/>
      <c r="I167" s="399"/>
      <c r="J167" s="399"/>
      <c r="K167" s="399"/>
      <c r="L167" s="399"/>
      <c r="M167" s="399"/>
      <c r="N167" s="399"/>
      <c r="O167" s="399"/>
      <c r="P167" s="399"/>
      <c r="Q167" s="399"/>
      <c r="R167" s="399"/>
      <c r="S167" s="399"/>
      <c r="T167" s="399"/>
      <c r="U167" s="399"/>
      <c r="V167" s="399"/>
      <c r="W167" s="399"/>
      <c r="X167" s="399"/>
      <c r="Y167" s="399"/>
      <c r="Z167" s="399"/>
      <c r="AA167" s="399"/>
      <c r="AB167" s="364"/>
      <c r="AC167" s="364"/>
      <c r="AD167" s="364"/>
      <c r="AE167" s="364"/>
      <c r="AF167" s="364"/>
      <c r="AG167" s="347"/>
      <c r="AH167" s="347"/>
      <c r="BY167" s="486"/>
      <c r="BZ167" s="487"/>
    </row>
    <row r="168" spans="1:78" s="752" customFormat="1" ht="13">
      <c r="A168" s="873"/>
      <c r="B168" s="407" t="s">
        <v>569</v>
      </c>
      <c r="C168" s="756"/>
      <c r="D168" s="756"/>
      <c r="E168" s="756"/>
      <c r="F168" s="756"/>
      <c r="G168" s="756"/>
      <c r="H168" s="756"/>
      <c r="I168" s="756"/>
      <c r="J168" s="756"/>
      <c r="K168" s="756"/>
      <c r="L168" s="756"/>
      <c r="N168" s="752">
        <f t="shared" ref="N168:AA168" si="311">N27</f>
        <v>1248.9590000000001</v>
      </c>
      <c r="O168" s="752">
        <f t="shared" si="311"/>
        <v>1997.4880000000001</v>
      </c>
      <c r="P168" s="752">
        <f t="shared" si="311"/>
        <v>4666.5450000000001</v>
      </c>
      <c r="Q168" s="752">
        <f t="shared" si="311"/>
        <v>4531.3270000000002</v>
      </c>
      <c r="R168" s="752">
        <f t="shared" si="311"/>
        <v>5296.5649999999996</v>
      </c>
      <c r="S168" s="752">
        <f t="shared" si="311"/>
        <v>6022.8360000000002</v>
      </c>
      <c r="T168" s="752">
        <f t="shared" ref="T168:U168" si="312">T27</f>
        <v>5368.8710000000001</v>
      </c>
      <c r="U168" s="752">
        <f t="shared" si="312"/>
        <v>9093.4310000000005</v>
      </c>
      <c r="V168" s="752">
        <f t="shared" si="311"/>
        <v>9093.4310000000005</v>
      </c>
      <c r="W168" s="752">
        <f t="shared" si="311"/>
        <v>9093.4310000000005</v>
      </c>
      <c r="X168" s="752">
        <f t="shared" si="311"/>
        <v>9093.4310000000005</v>
      </c>
      <c r="Y168" s="752">
        <f t="shared" si="311"/>
        <v>9093.4310000000005</v>
      </c>
      <c r="Z168" s="752">
        <f t="shared" si="311"/>
        <v>9093.4310000000005</v>
      </c>
      <c r="AA168" s="752">
        <f t="shared" si="311"/>
        <v>9093.4310000000005</v>
      </c>
      <c r="AB168" s="756"/>
      <c r="AC168" s="756"/>
      <c r="AD168" s="756"/>
      <c r="AE168" s="756"/>
      <c r="AF168" s="756"/>
    </row>
    <row r="169" spans="1:78" s="752" customFormat="1" ht="13">
      <c r="A169" s="873"/>
      <c r="B169" s="407" t="s">
        <v>570</v>
      </c>
      <c r="C169" s="756"/>
      <c r="D169" s="756"/>
      <c r="E169" s="756"/>
      <c r="F169" s="756"/>
      <c r="G169" s="756"/>
      <c r="H169" s="756"/>
      <c r="I169" s="756"/>
      <c r="J169" s="756"/>
      <c r="K169" s="756"/>
      <c r="L169" s="756"/>
      <c r="N169" s="752">
        <f t="shared" ref="N169:AA169" si="313">N32</f>
        <v>9258.3320000000003</v>
      </c>
      <c r="O169" s="752">
        <f t="shared" si="313"/>
        <v>12122.37</v>
      </c>
      <c r="P169" s="752">
        <f t="shared" si="313"/>
        <v>19613.02</v>
      </c>
      <c r="Q169" s="752">
        <f t="shared" si="313"/>
        <v>20845.080000000002</v>
      </c>
      <c r="R169" s="752">
        <f t="shared" si="313"/>
        <v>26553.293000000001</v>
      </c>
      <c r="S169" s="752">
        <f t="shared" si="313"/>
        <v>29790.61</v>
      </c>
      <c r="T169" s="752">
        <f t="shared" ref="T169:U169" si="314">T32</f>
        <v>28225.767</v>
      </c>
      <c r="U169" s="752">
        <f t="shared" si="314"/>
        <v>31075.835999999999</v>
      </c>
      <c r="V169" s="752">
        <f t="shared" si="313"/>
        <v>28609.707758514131</v>
      </c>
      <c r="W169" s="752">
        <f t="shared" si="313"/>
        <v>25864.451492868262</v>
      </c>
      <c r="X169" s="752">
        <f t="shared" si="313"/>
        <v>22999.512458579458</v>
      </c>
      <c r="Y169" s="752">
        <f t="shared" si="313"/>
        <v>20009.844572217778</v>
      </c>
      <c r="Z169" s="752">
        <f t="shared" si="313"/>
        <v>16890.189389841413</v>
      </c>
      <c r="AA169" s="752">
        <f t="shared" si="313"/>
        <v>13635.067088811164</v>
      </c>
      <c r="AB169" s="756"/>
      <c r="AC169" s="756"/>
      <c r="AD169" s="756"/>
      <c r="AE169" s="756"/>
      <c r="AF169" s="756"/>
    </row>
    <row r="170" spans="1:78" s="752" customFormat="1" ht="13">
      <c r="A170" s="873"/>
      <c r="B170" s="462" t="s">
        <v>1014</v>
      </c>
      <c r="C170" s="755"/>
      <c r="D170" s="755"/>
      <c r="E170" s="755"/>
      <c r="F170" s="755"/>
      <c r="G170" s="755"/>
      <c r="H170" s="755"/>
      <c r="I170" s="755"/>
      <c r="J170" s="755"/>
      <c r="K170" s="755"/>
      <c r="L170" s="755"/>
      <c r="M170" s="755"/>
      <c r="N170" s="755">
        <f>SUM(N168:N169)</f>
        <v>10507.291000000001</v>
      </c>
      <c r="O170" s="755">
        <f t="shared" ref="O170:S170" si="315">SUM(O168:O169)</f>
        <v>14119.858</v>
      </c>
      <c r="P170" s="755">
        <f t="shared" si="315"/>
        <v>24279.565000000002</v>
      </c>
      <c r="Q170" s="755">
        <f t="shared" si="315"/>
        <v>25376.407000000003</v>
      </c>
      <c r="R170" s="755">
        <f t="shared" si="315"/>
        <v>31849.858</v>
      </c>
      <c r="S170" s="755">
        <f t="shared" si="315"/>
        <v>35813.446000000004</v>
      </c>
      <c r="T170" s="755">
        <f t="shared" ref="T170:U170" si="316">SUM(T168:T169)</f>
        <v>33594.637999999999</v>
      </c>
      <c r="U170" s="755">
        <f t="shared" si="316"/>
        <v>40169.267</v>
      </c>
      <c r="V170" s="755">
        <f t="shared" ref="V170" si="317">SUM(V168:V169)</f>
        <v>37703.138758514135</v>
      </c>
      <c r="W170" s="755">
        <f t="shared" ref="W170" si="318">SUM(W168:W169)</f>
        <v>34957.882492868259</v>
      </c>
      <c r="X170" s="755">
        <f t="shared" ref="X170" si="319">SUM(X168:X169)</f>
        <v>32092.943458579459</v>
      </c>
      <c r="Y170" s="755">
        <f t="shared" ref="Y170" si="320">SUM(Y168:Y169)</f>
        <v>29103.275572217779</v>
      </c>
      <c r="Z170" s="755">
        <f t="shared" ref="Z170" si="321">SUM(Z168:Z169)</f>
        <v>25983.620389841413</v>
      </c>
      <c r="AA170" s="755">
        <f t="shared" ref="AA170" si="322">SUM(AA168:AA169)</f>
        <v>22728.498088811164</v>
      </c>
      <c r="AB170" s="756"/>
      <c r="AC170" s="756"/>
      <c r="AD170" s="756"/>
      <c r="AE170" s="756"/>
      <c r="AF170" s="756"/>
    </row>
    <row r="171" spans="1:78" s="752" customFormat="1" ht="13">
      <c r="A171" s="873"/>
      <c r="B171" s="407" t="s">
        <v>1015</v>
      </c>
      <c r="O171" s="752">
        <f>AVERAGE(N170,O170)</f>
        <v>12313.574500000001</v>
      </c>
      <c r="P171" s="752">
        <f t="shared" ref="P171:T171" si="323">AVERAGE(O170,P170)</f>
        <v>19199.711500000001</v>
      </c>
      <c r="Q171" s="752">
        <f t="shared" si="323"/>
        <v>24827.986000000004</v>
      </c>
      <c r="R171" s="752">
        <f t="shared" si="323"/>
        <v>28613.1325</v>
      </c>
      <c r="S171" s="752">
        <f t="shared" si="323"/>
        <v>33831.652000000002</v>
      </c>
      <c r="T171" s="752">
        <f t="shared" si="323"/>
        <v>34704.042000000001</v>
      </c>
      <c r="V171" s="752">
        <f t="shared" ref="V171" si="324">AVERAGE(T170,V170)</f>
        <v>35648.88837925707</v>
      </c>
      <c r="W171" s="752">
        <f t="shared" ref="W171" si="325">AVERAGE(V170,W170)</f>
        <v>36330.510625691197</v>
      </c>
      <c r="X171" s="752">
        <f t="shared" ref="X171" si="326">AVERAGE(W170,X170)</f>
        <v>33525.412975723855</v>
      </c>
      <c r="Y171" s="752">
        <f t="shared" ref="Y171" si="327">AVERAGE(X170,Y170)</f>
        <v>30598.109515398617</v>
      </c>
      <c r="Z171" s="752">
        <f t="shared" ref="Z171" si="328">AVERAGE(Y170,Z170)</f>
        <v>27543.447981029596</v>
      </c>
      <c r="AA171" s="752">
        <f t="shared" ref="AA171" si="329">AVERAGE(Z170,AA170)</f>
        <v>24356.059239326289</v>
      </c>
    </row>
    <row r="172" spans="1:78" s="752" customFormat="1" ht="13">
      <c r="A172" s="873"/>
      <c r="B172" s="414"/>
      <c r="C172" s="756"/>
      <c r="D172" s="756"/>
      <c r="E172" s="756"/>
      <c r="F172" s="756"/>
      <c r="G172" s="756"/>
      <c r="H172" s="756"/>
      <c r="I172" s="756"/>
      <c r="J172" s="756"/>
      <c r="K172" s="756"/>
      <c r="L172" s="756"/>
      <c r="M172" s="756"/>
      <c r="N172" s="756"/>
      <c r="O172" s="756"/>
      <c r="P172" s="756"/>
      <c r="Q172" s="756"/>
      <c r="R172" s="756"/>
      <c r="S172" s="756"/>
      <c r="T172" s="756"/>
      <c r="U172" s="756"/>
      <c r="V172" s="756"/>
      <c r="W172" s="756"/>
      <c r="X172" s="756"/>
      <c r="Y172" s="756"/>
      <c r="Z172" s="756"/>
      <c r="AA172" s="756"/>
      <c r="AB172" s="756"/>
      <c r="AC172" s="756"/>
      <c r="AD172" s="756"/>
      <c r="AE172" s="756"/>
      <c r="AF172" s="756"/>
    </row>
    <row r="173" spans="1:78" s="752" customFormat="1" ht="13">
      <c r="A173" s="873"/>
      <c r="B173" s="407" t="s">
        <v>735</v>
      </c>
      <c r="C173" s="752">
        <f t="shared" ref="C173:AA173" si="330">C26</f>
        <v>3323</v>
      </c>
      <c r="D173" s="752">
        <f t="shared" si="330"/>
        <v>1279</v>
      </c>
      <c r="E173" s="752">
        <f t="shared" si="330"/>
        <v>2476</v>
      </c>
      <c r="F173" s="752">
        <f t="shared" si="330"/>
        <v>977</v>
      </c>
      <c r="G173" s="752">
        <f t="shared" si="330"/>
        <v>3820</v>
      </c>
      <c r="H173" s="752">
        <f t="shared" si="330"/>
        <v>4306</v>
      </c>
      <c r="I173" s="752">
        <f t="shared" si="330"/>
        <v>3125</v>
      </c>
      <c r="J173" s="752">
        <f t="shared" si="330"/>
        <v>3922</v>
      </c>
      <c r="K173" s="752">
        <f t="shared" si="330"/>
        <v>3922</v>
      </c>
      <c r="L173" s="752">
        <f t="shared" si="330"/>
        <v>3645</v>
      </c>
      <c r="M173" s="752">
        <f t="shared" si="330"/>
        <v>3771</v>
      </c>
      <c r="N173" s="752">
        <f t="shared" si="330"/>
        <v>1329.0160000000001</v>
      </c>
      <c r="O173" s="752">
        <f t="shared" si="330"/>
        <v>5461.5159999999996</v>
      </c>
      <c r="P173" s="752">
        <f t="shared" si="330"/>
        <v>1575.702</v>
      </c>
      <c r="Q173" s="752">
        <f t="shared" si="330"/>
        <v>1745.0849999999998</v>
      </c>
      <c r="R173" s="752">
        <f t="shared" si="330"/>
        <v>5622.1929999999993</v>
      </c>
      <c r="S173" s="752">
        <f t="shared" si="330"/>
        <v>853.85399999999993</v>
      </c>
      <c r="T173" s="752">
        <f t="shared" ref="T173:U173" si="331">T26</f>
        <v>3721.3</v>
      </c>
      <c r="U173" s="752">
        <f t="shared" si="331"/>
        <v>4918.7260000000006</v>
      </c>
      <c r="V173" s="752">
        <f t="shared" si="330"/>
        <v>4918.7260000000006</v>
      </c>
      <c r="W173" s="752">
        <f t="shared" si="330"/>
        <v>4918.7260000000006</v>
      </c>
      <c r="X173" s="752">
        <f t="shared" si="330"/>
        <v>4918.7260000000006</v>
      </c>
      <c r="Y173" s="752">
        <f t="shared" si="330"/>
        <v>4918.7260000000006</v>
      </c>
      <c r="Z173" s="752">
        <f t="shared" si="330"/>
        <v>4918.7260000000006</v>
      </c>
      <c r="AA173" s="752">
        <f t="shared" si="330"/>
        <v>4918.7260000000006</v>
      </c>
      <c r="AB173" s="756"/>
      <c r="AC173" s="756"/>
      <c r="AD173" s="756"/>
      <c r="AE173" s="756"/>
      <c r="AF173" s="756"/>
    </row>
    <row r="174" spans="1:78" s="752" customFormat="1" ht="13">
      <c r="A174" s="873"/>
      <c r="B174" s="407" t="s">
        <v>962</v>
      </c>
      <c r="C174" s="752">
        <f t="shared" ref="C174:AA174" si="332">C31</f>
        <v>6340</v>
      </c>
      <c r="D174" s="752">
        <f t="shared" si="332"/>
        <v>17661</v>
      </c>
      <c r="E174" s="752">
        <f t="shared" si="332"/>
        <v>11287</v>
      </c>
      <c r="F174" s="752">
        <f t="shared" si="332"/>
        <v>9201</v>
      </c>
      <c r="G174" s="752">
        <f t="shared" si="332"/>
        <v>6906</v>
      </c>
      <c r="H174" s="752">
        <f t="shared" si="332"/>
        <v>9213</v>
      </c>
      <c r="I174" s="752">
        <f t="shared" si="332"/>
        <v>14697</v>
      </c>
      <c r="J174" s="752">
        <f t="shared" si="332"/>
        <v>25707</v>
      </c>
      <c r="K174" s="752">
        <f t="shared" si="332"/>
        <v>23031</v>
      </c>
      <c r="L174" s="752">
        <f t="shared" si="332"/>
        <v>11026</v>
      </c>
      <c r="M174" s="752">
        <f t="shared" si="332"/>
        <v>10980</v>
      </c>
      <c r="N174" s="752">
        <f t="shared" si="332"/>
        <v>11234.550999999999</v>
      </c>
      <c r="O174" s="752">
        <f t="shared" si="332"/>
        <v>7347.8149999999996</v>
      </c>
      <c r="P174" s="752">
        <f t="shared" si="332"/>
        <v>7772.6319999999996</v>
      </c>
      <c r="Q174" s="752">
        <f t="shared" si="332"/>
        <v>8527.1460000000006</v>
      </c>
      <c r="R174" s="752">
        <f t="shared" si="332"/>
        <v>6487.7219999999998</v>
      </c>
      <c r="S174" s="752">
        <f t="shared" si="332"/>
        <v>9250.7340000000004</v>
      </c>
      <c r="T174" s="752">
        <f t="shared" ref="T174:U174" si="333">T31</f>
        <v>8772.0760000000009</v>
      </c>
      <c r="U174" s="752">
        <f t="shared" si="333"/>
        <v>18270.052</v>
      </c>
      <c r="V174" s="752">
        <f>V31</f>
        <v>30375.99451852819</v>
      </c>
      <c r="W174" s="752">
        <f t="shared" si="332"/>
        <v>30263.511872226991</v>
      </c>
      <c r="X174" s="752">
        <f t="shared" si="332"/>
        <v>30481.538416537682</v>
      </c>
      <c r="Y174" s="752">
        <f t="shared" si="332"/>
        <v>30664.962751183892</v>
      </c>
      <c r="Z174" s="752">
        <f t="shared" si="332"/>
        <v>31113.322891424694</v>
      </c>
      <c r="AA174" s="752">
        <f t="shared" si="332"/>
        <v>32013.385594825566</v>
      </c>
      <c r="AB174" s="756"/>
      <c r="AC174" s="756"/>
      <c r="AD174" s="756"/>
      <c r="AE174" s="756"/>
      <c r="AF174" s="756"/>
    </row>
    <row r="175" spans="1:78" s="752" customFormat="1" ht="13">
      <c r="A175" s="873"/>
      <c r="B175" s="462" t="s">
        <v>1016</v>
      </c>
      <c r="C175" s="755">
        <f>SUM(C173:C174)</f>
        <v>9663</v>
      </c>
      <c r="D175" s="755">
        <f t="shared" ref="D175:N175" si="334">SUM(D173:D174)</f>
        <v>18940</v>
      </c>
      <c r="E175" s="755">
        <f t="shared" si="334"/>
        <v>13763</v>
      </c>
      <c r="F175" s="755">
        <f t="shared" si="334"/>
        <v>10178</v>
      </c>
      <c r="G175" s="755">
        <f t="shared" si="334"/>
        <v>10726</v>
      </c>
      <c r="H175" s="755">
        <f t="shared" si="334"/>
        <v>13519</v>
      </c>
      <c r="I175" s="755">
        <f t="shared" si="334"/>
        <v>17822</v>
      </c>
      <c r="J175" s="755">
        <f t="shared" si="334"/>
        <v>29629</v>
      </c>
      <c r="K175" s="755">
        <f t="shared" si="334"/>
        <v>26953</v>
      </c>
      <c r="L175" s="755">
        <f t="shared" si="334"/>
        <v>14671</v>
      </c>
      <c r="M175" s="755">
        <f t="shared" si="334"/>
        <v>14751</v>
      </c>
      <c r="N175" s="755">
        <f t="shared" si="334"/>
        <v>12563.566999999999</v>
      </c>
      <c r="O175" s="755">
        <f t="shared" ref="O175:AA175" si="335">SUM(O173:O174)</f>
        <v>12809.330999999998</v>
      </c>
      <c r="P175" s="755">
        <f t="shared" si="335"/>
        <v>9348.3339999999989</v>
      </c>
      <c r="Q175" s="755">
        <f t="shared" si="335"/>
        <v>10272.231</v>
      </c>
      <c r="R175" s="755">
        <f t="shared" si="335"/>
        <v>12109.914999999999</v>
      </c>
      <c r="S175" s="755">
        <f t="shared" si="335"/>
        <v>10104.588</v>
      </c>
      <c r="T175" s="755">
        <f t="shared" ref="T175:U175" si="336">SUM(T173:T174)</f>
        <v>12493.376</v>
      </c>
      <c r="U175" s="755">
        <f t="shared" si="336"/>
        <v>23188.777999999998</v>
      </c>
      <c r="V175" s="755">
        <f>SUM(V173:V174)</f>
        <v>35294.720518528193</v>
      </c>
      <c r="W175" s="755">
        <f t="shared" si="335"/>
        <v>35182.237872226993</v>
      </c>
      <c r="X175" s="755">
        <f t="shared" si="335"/>
        <v>35400.264416537684</v>
      </c>
      <c r="Y175" s="755">
        <f t="shared" si="335"/>
        <v>35583.688751183894</v>
      </c>
      <c r="Z175" s="755">
        <f t="shared" si="335"/>
        <v>36032.048891424696</v>
      </c>
      <c r="AA175" s="755">
        <f t="shared" si="335"/>
        <v>36932.111594825568</v>
      </c>
      <c r="AB175" s="756"/>
      <c r="AC175" s="756"/>
      <c r="AD175" s="756"/>
      <c r="AE175" s="756"/>
      <c r="AF175" s="756"/>
    </row>
    <row r="176" spans="1:78" s="752" customFormat="1" ht="13">
      <c r="A176" s="873"/>
      <c r="B176" s="407" t="s">
        <v>1017</v>
      </c>
      <c r="C176" s="756"/>
      <c r="D176" s="752">
        <f t="shared" ref="D176" si="337">AVERAGE(C175,D175)</f>
        <v>14301.5</v>
      </c>
      <c r="E176" s="752">
        <f t="shared" ref="E176" si="338">AVERAGE(D175,E175)</f>
        <v>16351.5</v>
      </c>
      <c r="F176" s="752">
        <f t="shared" ref="F176" si="339">AVERAGE(E175,F175)</f>
        <v>11970.5</v>
      </c>
      <c r="G176" s="752">
        <f t="shared" ref="G176" si="340">AVERAGE(F175,G175)</f>
        <v>10452</v>
      </c>
      <c r="H176" s="752">
        <f t="shared" ref="H176" si="341">AVERAGE(G175,H175)</f>
        <v>12122.5</v>
      </c>
      <c r="I176" s="752">
        <f t="shared" ref="I176" si="342">AVERAGE(H175,I175)</f>
        <v>15670.5</v>
      </c>
      <c r="J176" s="752">
        <f t="shared" ref="J176" si="343">AVERAGE(I175,J175)</f>
        <v>23725.5</v>
      </c>
      <c r="K176" s="752">
        <f t="shared" ref="K176" si="344">AVERAGE(J175,K175)</f>
        <v>28291</v>
      </c>
      <c r="L176" s="752">
        <f t="shared" ref="L176" si="345">AVERAGE(K175,L175)</f>
        <v>20812</v>
      </c>
      <c r="M176" s="752">
        <f t="shared" ref="M176" si="346">AVERAGE(L175,M175)</f>
        <v>14711</v>
      </c>
      <c r="N176" s="752">
        <f t="shared" ref="N176" si="347">AVERAGE(M175,N175)</f>
        <v>13657.2835</v>
      </c>
      <c r="O176" s="752">
        <f t="shared" ref="O176" si="348">AVERAGE(N175,O175)</f>
        <v>12686.448999999999</v>
      </c>
      <c r="P176" s="752">
        <f t="shared" ref="P176" si="349">AVERAGE(O175,P175)</f>
        <v>11078.832499999999</v>
      </c>
      <c r="Q176" s="752">
        <f t="shared" ref="Q176" si="350">AVERAGE(P175,Q175)</f>
        <v>9810.2824999999993</v>
      </c>
      <c r="R176" s="752">
        <f t="shared" ref="R176" si="351">AVERAGE(Q175,R175)</f>
        <v>11191.073</v>
      </c>
      <c r="S176" s="752">
        <f t="shared" ref="S176:T176" si="352">AVERAGE(R175,S175)</f>
        <v>11107.251499999998</v>
      </c>
      <c r="T176" s="752">
        <f t="shared" si="352"/>
        <v>11298.982</v>
      </c>
      <c r="V176" s="752">
        <f t="shared" ref="V176" si="353">AVERAGE(T175,V175)</f>
        <v>23894.048259264098</v>
      </c>
      <c r="W176" s="752">
        <f t="shared" ref="W176" si="354">AVERAGE(V175,W175)</f>
        <v>35238.479195377593</v>
      </c>
      <c r="X176" s="752">
        <f t="shared" ref="X176" si="355">AVERAGE(W175,X175)</f>
        <v>35291.251144382339</v>
      </c>
      <c r="Y176" s="752">
        <f t="shared" ref="Y176" si="356">AVERAGE(X175,Y175)</f>
        <v>35491.976583860785</v>
      </c>
      <c r="Z176" s="752">
        <f t="shared" ref="Z176" si="357">AVERAGE(Y175,Z175)</f>
        <v>35807.868821304291</v>
      </c>
      <c r="AA176" s="752">
        <f t="shared" ref="AA176" si="358">AVERAGE(Z175,AA175)</f>
        <v>36482.080243125136</v>
      </c>
      <c r="AB176" s="756"/>
      <c r="AC176" s="756"/>
      <c r="AD176" s="756"/>
      <c r="AE176" s="756"/>
      <c r="AF176" s="756"/>
    </row>
    <row r="177" spans="1:78" s="752" customFormat="1" ht="13">
      <c r="A177" s="873"/>
      <c r="B177" s="414"/>
      <c r="C177" s="756"/>
      <c r="D177" s="756"/>
      <c r="E177" s="756"/>
      <c r="F177" s="756"/>
      <c r="G177" s="756"/>
      <c r="H177" s="756"/>
      <c r="I177" s="756"/>
      <c r="J177" s="756"/>
      <c r="K177" s="756"/>
      <c r="L177" s="756"/>
      <c r="M177" s="756"/>
      <c r="N177" s="756"/>
      <c r="O177" s="756"/>
      <c r="P177" s="756"/>
      <c r="Q177" s="756"/>
      <c r="R177" s="756"/>
      <c r="S177" s="756"/>
      <c r="T177" s="756"/>
      <c r="U177" s="756"/>
      <c r="V177" s="756"/>
      <c r="W177" s="756"/>
      <c r="X177" s="756"/>
      <c r="Y177" s="756"/>
      <c r="Z177" s="756"/>
      <c r="AA177" s="756"/>
      <c r="AB177" s="756"/>
      <c r="AC177" s="756"/>
      <c r="AD177" s="756"/>
      <c r="AE177" s="756"/>
      <c r="AF177" s="756"/>
    </row>
    <row r="178" spans="1:78" s="349" customFormat="1" ht="13">
      <c r="A178" s="870"/>
      <c r="B178" s="414" t="s">
        <v>1010</v>
      </c>
      <c r="C178" s="399"/>
      <c r="D178" s="399"/>
      <c r="E178" s="399"/>
      <c r="F178" s="399"/>
      <c r="G178" s="399"/>
      <c r="H178" s="399"/>
      <c r="I178" s="399"/>
      <c r="J178" s="399"/>
      <c r="K178" s="399"/>
      <c r="L178" s="399"/>
      <c r="M178" s="399"/>
      <c r="N178" s="399"/>
      <c r="O178" s="399"/>
      <c r="P178" s="399"/>
      <c r="Q178" s="399"/>
      <c r="R178" s="399"/>
      <c r="S178" s="399"/>
      <c r="T178" s="399"/>
      <c r="U178" s="399"/>
      <c r="V178" s="399"/>
      <c r="W178" s="399"/>
      <c r="X178" s="399"/>
      <c r="Y178" s="399"/>
      <c r="Z178" s="399"/>
      <c r="AA178" s="399"/>
      <c r="AB178" s="364"/>
      <c r="AC178" s="364"/>
      <c r="AD178" s="364"/>
      <c r="AE178" s="364"/>
      <c r="AF178" s="364"/>
      <c r="AG178" s="347"/>
      <c r="AH178" s="347"/>
      <c r="BY178" s="486"/>
      <c r="BZ178" s="487"/>
    </row>
    <row r="179" spans="1:78" s="349" customFormat="1" ht="13">
      <c r="A179" s="870"/>
      <c r="B179" s="407" t="s">
        <v>1011</v>
      </c>
      <c r="O179" s="633"/>
      <c r="P179" s="633"/>
      <c r="Q179" s="633">
        <f>Q184/Q171</f>
        <v>6.9030246754609892E-2</v>
      </c>
      <c r="R179" s="633">
        <f>R184/R171</f>
        <v>6.1602447757161852E-2</v>
      </c>
      <c r="S179" s="633">
        <f>S184/S171</f>
        <v>6.4053271770471029E-2</v>
      </c>
      <c r="T179" s="633">
        <f>T184/T171</f>
        <v>6.2657254737070678E-2</v>
      </c>
      <c r="U179" s="633"/>
      <c r="V179" s="745">
        <f>T179</f>
        <v>6.2657254737070678E-2</v>
      </c>
      <c r="W179" s="745">
        <f t="shared" ref="W179:AA181" si="359">V179</f>
        <v>6.2657254737070678E-2</v>
      </c>
      <c r="X179" s="745">
        <f t="shared" si="359"/>
        <v>6.2657254737070678E-2</v>
      </c>
      <c r="Y179" s="745">
        <f t="shared" si="359"/>
        <v>6.2657254737070678E-2</v>
      </c>
      <c r="Z179" s="745">
        <f t="shared" si="359"/>
        <v>6.2657254737070678E-2</v>
      </c>
      <c r="AA179" s="745">
        <f t="shared" si="359"/>
        <v>6.2657254737070678E-2</v>
      </c>
      <c r="AB179" s="347"/>
      <c r="AC179" s="347"/>
      <c r="AD179" s="347"/>
      <c r="AE179" s="347"/>
      <c r="AF179" s="347"/>
      <c r="AG179" s="347"/>
      <c r="AH179" s="347"/>
      <c r="BY179" s="486"/>
      <c r="BZ179" s="487"/>
    </row>
    <row r="180" spans="1:78" s="349" customFormat="1" ht="13">
      <c r="A180" s="870"/>
      <c r="B180" s="407" t="s">
        <v>1012</v>
      </c>
      <c r="C180" s="399"/>
      <c r="D180" s="399"/>
      <c r="E180" s="399"/>
      <c r="F180" s="399"/>
      <c r="G180" s="399"/>
      <c r="H180" s="399"/>
      <c r="I180" s="399"/>
      <c r="J180" s="399"/>
      <c r="K180" s="399"/>
      <c r="L180" s="399"/>
      <c r="M180" s="399"/>
      <c r="N180" s="399"/>
      <c r="O180" s="399"/>
      <c r="P180" s="399"/>
      <c r="Q180" s="633">
        <f>Q185/Q176</f>
        <v>6.4741560704291629E-2</v>
      </c>
      <c r="R180" s="633">
        <f>R185/R176</f>
        <v>8.7399126071289135E-2</v>
      </c>
      <c r="S180" s="633">
        <f>S185/S176</f>
        <v>6.5878223789206561E-2</v>
      </c>
      <c r="T180" s="633">
        <f>T185/T176</f>
        <v>7.8912330332059993E-2</v>
      </c>
      <c r="U180" s="633"/>
      <c r="V180" s="745">
        <f>T180</f>
        <v>7.8912330332059993E-2</v>
      </c>
      <c r="W180" s="745">
        <f t="shared" si="359"/>
        <v>7.8912330332059993E-2</v>
      </c>
      <c r="X180" s="745">
        <f t="shared" si="359"/>
        <v>7.8912330332059993E-2</v>
      </c>
      <c r="Y180" s="745">
        <f t="shared" si="359"/>
        <v>7.8912330332059993E-2</v>
      </c>
      <c r="Z180" s="745">
        <f t="shared" si="359"/>
        <v>7.8912330332059993E-2</v>
      </c>
      <c r="AA180" s="745">
        <f t="shared" si="359"/>
        <v>7.8912330332059993E-2</v>
      </c>
      <c r="AB180" s="364"/>
      <c r="AC180" s="364"/>
      <c r="AD180" s="364"/>
      <c r="AE180" s="364"/>
      <c r="AF180" s="364"/>
      <c r="AG180" s="347"/>
      <c r="AH180" s="347"/>
      <c r="BY180" s="486"/>
      <c r="BZ180" s="487"/>
    </row>
    <row r="181" spans="1:78" s="349" customFormat="1" ht="13">
      <c r="A181" s="870"/>
      <c r="B181" s="407" t="s">
        <v>1013</v>
      </c>
      <c r="Q181" s="633">
        <f>Q186/Q$416</f>
        <v>1.0903395934447411E-3</v>
      </c>
      <c r="R181" s="633">
        <f>R186/R$416</f>
        <v>1.231830601571057E-3</v>
      </c>
      <c r="S181" s="633">
        <f>S186/S$416</f>
        <v>1.2754213755548673E-3</v>
      </c>
      <c r="T181" s="633">
        <f>T186/T$416</f>
        <v>1.3582678350179606E-3</v>
      </c>
      <c r="U181" s="633"/>
      <c r="V181" s="745">
        <f>T181</f>
        <v>1.3582678350179606E-3</v>
      </c>
      <c r="W181" s="745">
        <f t="shared" si="359"/>
        <v>1.3582678350179606E-3</v>
      </c>
      <c r="X181" s="745">
        <f t="shared" si="359"/>
        <v>1.3582678350179606E-3</v>
      </c>
      <c r="Y181" s="745">
        <f t="shared" si="359"/>
        <v>1.3582678350179606E-3</v>
      </c>
      <c r="Z181" s="745">
        <f t="shared" si="359"/>
        <v>1.3582678350179606E-3</v>
      </c>
      <c r="AA181" s="745">
        <f t="shared" si="359"/>
        <v>1.3582678350179606E-3</v>
      </c>
      <c r="AB181" s="347"/>
      <c r="AC181" s="347"/>
      <c r="AD181" s="347"/>
      <c r="AE181" s="347"/>
      <c r="AF181" s="347"/>
      <c r="AG181" s="347"/>
      <c r="AH181" s="347"/>
      <c r="BY181" s="486"/>
      <c r="BZ181" s="487"/>
    </row>
    <row r="182" spans="1:78" s="349" customFormat="1" ht="13">
      <c r="A182" s="870"/>
      <c r="B182" s="414"/>
      <c r="C182" s="399"/>
      <c r="D182" s="399"/>
      <c r="E182" s="399"/>
      <c r="F182" s="399"/>
      <c r="G182" s="399"/>
      <c r="H182" s="399"/>
      <c r="I182" s="399"/>
      <c r="J182" s="399"/>
      <c r="K182" s="399"/>
      <c r="L182" s="399"/>
      <c r="M182" s="399"/>
      <c r="N182" s="399"/>
      <c r="O182" s="399"/>
      <c r="P182" s="399"/>
      <c r="Q182" s="399"/>
      <c r="R182" s="399"/>
      <c r="S182" s="399"/>
      <c r="T182" s="399"/>
      <c r="U182" s="399"/>
      <c r="V182" s="399"/>
      <c r="W182" s="399"/>
      <c r="X182" s="399"/>
      <c r="Y182" s="399"/>
      <c r="Z182" s="399"/>
      <c r="AA182" s="399"/>
      <c r="AB182" s="364"/>
      <c r="AC182" s="364"/>
      <c r="AD182" s="364"/>
      <c r="AE182" s="364"/>
      <c r="AF182" s="364"/>
      <c r="AG182" s="347"/>
      <c r="AH182" s="347"/>
      <c r="BY182" s="486"/>
      <c r="BZ182" s="487"/>
    </row>
    <row r="183" spans="1:78" s="752" customFormat="1" ht="13">
      <c r="A183" s="873"/>
      <c r="B183" s="414" t="s">
        <v>173</v>
      </c>
      <c r="C183" s="756"/>
      <c r="D183" s="756"/>
      <c r="E183" s="756"/>
      <c r="F183" s="756"/>
      <c r="G183" s="756"/>
      <c r="H183" s="756"/>
      <c r="I183" s="756"/>
      <c r="J183" s="756"/>
      <c r="K183" s="756"/>
      <c r="L183" s="756"/>
      <c r="M183" s="756"/>
      <c r="N183" s="756"/>
      <c r="O183" s="756"/>
      <c r="P183" s="756"/>
      <c r="Q183" s="756"/>
      <c r="R183" s="756"/>
      <c r="S183" s="756"/>
      <c r="T183" s="756"/>
      <c r="U183" s="756"/>
      <c r="V183" s="756"/>
      <c r="W183" s="756"/>
      <c r="X183" s="756"/>
      <c r="Y183" s="756"/>
      <c r="Z183" s="756"/>
      <c r="AA183" s="756"/>
      <c r="AB183" s="756"/>
      <c r="AC183" s="756"/>
      <c r="AD183" s="756"/>
      <c r="AE183" s="756"/>
      <c r="AF183" s="756"/>
    </row>
    <row r="184" spans="1:78" s="752" customFormat="1" ht="13">
      <c r="A184" s="873"/>
      <c r="B184" s="407" t="s">
        <v>969</v>
      </c>
      <c r="Q184" s="801">
        <v>1713.8820000000001</v>
      </c>
      <c r="R184" s="801">
        <v>1762.6389999999999</v>
      </c>
      <c r="S184" s="801">
        <v>2167.0279999999998</v>
      </c>
      <c r="T184" s="801">
        <v>2174.46</v>
      </c>
      <c r="U184" s="801"/>
      <c r="V184" s="752">
        <f t="shared" ref="V184:AA184" si="360">V179*V171</f>
        <v>2233.6614802725089</v>
      </c>
      <c r="W184" s="752">
        <f t="shared" si="360"/>
        <v>2276.3700590017866</v>
      </c>
      <c r="X184" s="752">
        <f t="shared" si="360"/>
        <v>2100.6103409854245</v>
      </c>
      <c r="Y184" s="752">
        <f t="shared" si="360"/>
        <v>1917.1935423791174</v>
      </c>
      <c r="Z184" s="752">
        <f t="shared" si="360"/>
        <v>1725.7968364846265</v>
      </c>
      <c r="AA184" s="752">
        <f t="shared" si="360"/>
        <v>1526.0838081496511</v>
      </c>
    </row>
    <row r="185" spans="1:78" s="752" customFormat="1" ht="13">
      <c r="A185" s="873"/>
      <c r="B185" s="407" t="s">
        <v>970</v>
      </c>
      <c r="Q185" s="801">
        <f>2349.015-Q184</f>
        <v>635.13299999999981</v>
      </c>
      <c r="R185" s="801">
        <f>2740.729-R184</f>
        <v>978.08999999999992</v>
      </c>
      <c r="S185" s="801">
        <f>2898.754-S184</f>
        <v>731.72600000000011</v>
      </c>
      <c r="T185" s="801">
        <f>3066.089-T184</f>
        <v>891.62899999999991</v>
      </c>
      <c r="U185" s="801"/>
      <c r="V185" s="752">
        <f>V180*T176</f>
        <v>891.62899999999991</v>
      </c>
      <c r="W185" s="752">
        <f>W180*V176</f>
        <v>1885.5350292052317</v>
      </c>
      <c r="X185" s="752">
        <f t="shared" ref="X185:AA185" si="361">X180*W176</f>
        <v>2780.7505106650601</v>
      </c>
      <c r="Y185" s="752">
        <f t="shared" si="361"/>
        <v>2784.9148681371894</v>
      </c>
      <c r="Z185" s="752">
        <f t="shared" si="361"/>
        <v>2800.7545803233606</v>
      </c>
      <c r="AA185" s="752">
        <f t="shared" si="361"/>
        <v>2825.6823729138359</v>
      </c>
      <c r="AC185" s="752" t="s">
        <v>1232</v>
      </c>
    </row>
    <row r="186" spans="1:78" s="752" customFormat="1" ht="13">
      <c r="A186" s="873"/>
      <c r="B186" s="407" t="s">
        <v>501</v>
      </c>
      <c r="Q186" s="752">
        <f>Q187-Q185-Q184</f>
        <v>29.171000000000276</v>
      </c>
      <c r="R186" s="752">
        <f t="shared" ref="R186:T186" si="362">R187-R185-R184</f>
        <v>35.898000000000138</v>
      </c>
      <c r="S186" s="752">
        <f t="shared" si="362"/>
        <v>41.224999999999909</v>
      </c>
      <c r="T186" s="752">
        <f t="shared" si="362"/>
        <v>46.713000000000193</v>
      </c>
      <c r="V186" s="752">
        <f t="shared" ref="V186:AA186" si="363">V181*V$416</f>
        <v>57.691211772708691</v>
      </c>
      <c r="W186" s="752">
        <f t="shared" si="363"/>
        <v>64.220975181853092</v>
      </c>
      <c r="X186" s="752">
        <f t="shared" si="363"/>
        <v>67.020766301865393</v>
      </c>
      <c r="Y186" s="752">
        <f t="shared" si="363"/>
        <v>69.938602648756955</v>
      </c>
      <c r="Z186" s="752">
        <f t="shared" si="363"/>
        <v>72.979452064449376</v>
      </c>
      <c r="AA186" s="752">
        <f t="shared" si="363"/>
        <v>76.148493357205226</v>
      </c>
    </row>
    <row r="187" spans="1:78" s="756" customFormat="1" ht="13">
      <c r="A187" s="877"/>
      <c r="B187" s="462" t="s">
        <v>173</v>
      </c>
      <c r="C187" s="802">
        <v>694</v>
      </c>
      <c r="D187" s="802">
        <v>1122</v>
      </c>
      <c r="E187" s="802">
        <v>1274.0999999999999</v>
      </c>
      <c r="F187" s="802">
        <v>838.5</v>
      </c>
      <c r="G187" s="802">
        <v>617.4</v>
      </c>
      <c r="H187" s="802">
        <v>619.29999999999995</v>
      </c>
      <c r="I187" s="802">
        <v>342.9</v>
      </c>
      <c r="J187" s="802">
        <v>1385.6</v>
      </c>
      <c r="K187" s="802">
        <v>1531.9</v>
      </c>
      <c r="L187" s="802">
        <v>1808</v>
      </c>
      <c r="M187" s="802">
        <v>1539</v>
      </c>
      <c r="N187" s="802">
        <v>1746.1980000000001</v>
      </c>
      <c r="O187" s="802">
        <v>2242.5050000000001</v>
      </c>
      <c r="P187" s="802">
        <v>2667.8240000000001</v>
      </c>
      <c r="Q187" s="802">
        <v>2378.1860000000001</v>
      </c>
      <c r="R187" s="802">
        <v>2776.627</v>
      </c>
      <c r="S187" s="802">
        <v>2939.9789999999998</v>
      </c>
      <c r="T187" s="802">
        <v>3112.8020000000001</v>
      </c>
      <c r="U187" s="802"/>
      <c r="V187" s="755">
        <f t="shared" ref="V187:AA187" si="364">SUM(V184:V186)</f>
        <v>3182.9816920452176</v>
      </c>
      <c r="W187" s="755">
        <f t="shared" si="364"/>
        <v>4226.1260633888714</v>
      </c>
      <c r="X187" s="755">
        <f t="shared" si="364"/>
        <v>4948.3816179523501</v>
      </c>
      <c r="Y187" s="755">
        <f t="shared" si="364"/>
        <v>4772.0470131650636</v>
      </c>
      <c r="Z187" s="755">
        <f t="shared" si="364"/>
        <v>4599.5308688724363</v>
      </c>
      <c r="AA187" s="755">
        <f t="shared" si="364"/>
        <v>4427.9146744206928</v>
      </c>
    </row>
    <row r="188" spans="1:78" s="752" customFormat="1" ht="13">
      <c r="A188" s="873"/>
      <c r="B188" s="414"/>
      <c r="C188" s="756"/>
      <c r="D188" s="756"/>
      <c r="E188" s="756"/>
      <c r="F188" s="756"/>
      <c r="G188" s="756"/>
      <c r="H188" s="756"/>
      <c r="I188" s="756"/>
      <c r="J188" s="756"/>
      <c r="K188" s="756"/>
      <c r="L188" s="756"/>
      <c r="M188" s="756"/>
      <c r="N188" s="756"/>
      <c r="O188" s="756"/>
      <c r="P188" s="756"/>
      <c r="Q188" s="756"/>
      <c r="R188" s="756"/>
      <c r="S188" s="756"/>
      <c r="T188" s="756"/>
      <c r="U188" s="756"/>
      <c r="V188" s="756"/>
      <c r="W188" s="756"/>
      <c r="X188" s="756"/>
      <c r="Y188" s="756"/>
      <c r="Z188" s="756"/>
      <c r="AA188" s="756"/>
      <c r="AB188" s="756"/>
      <c r="AC188" s="756"/>
      <c r="AD188" s="756"/>
      <c r="AE188" s="756"/>
      <c r="AF188" s="756"/>
    </row>
    <row r="189" spans="1:78" s="756" customFormat="1" ht="13">
      <c r="A189" s="877"/>
      <c r="B189" s="414" t="s">
        <v>171</v>
      </c>
      <c r="C189" s="803">
        <v>51</v>
      </c>
      <c r="D189" s="803">
        <v>28</v>
      </c>
      <c r="E189" s="803">
        <v>55.8</v>
      </c>
      <c r="F189" s="803">
        <v>58.5</v>
      </c>
      <c r="G189" s="803">
        <v>37.4</v>
      </c>
      <c r="H189" s="803">
        <v>18.3</v>
      </c>
      <c r="I189" s="803">
        <v>49.900000000000006</v>
      </c>
      <c r="J189" s="803">
        <v>39.6</v>
      </c>
      <c r="K189" s="803">
        <v>65.900000000000006</v>
      </c>
      <c r="L189" s="803">
        <v>728</v>
      </c>
      <c r="M189" s="803">
        <v>244</v>
      </c>
      <c r="N189" s="803">
        <v>487.49700000000001</v>
      </c>
      <c r="O189" s="803">
        <v>111.092</v>
      </c>
      <c r="P189" s="803">
        <v>182.55699999999999</v>
      </c>
      <c r="Q189" s="803">
        <v>87.715000000000003</v>
      </c>
      <c r="R189" s="803">
        <v>111.67</v>
      </c>
      <c r="S189" s="803">
        <v>100.096</v>
      </c>
      <c r="T189" s="803">
        <v>80.256</v>
      </c>
      <c r="U189" s="803"/>
      <c r="V189" s="756">
        <f>V190*AVERAGE(T199:V199)</f>
        <v>97.737823171651328</v>
      </c>
      <c r="W189" s="756">
        <f t="shared" ref="W189:AA189" si="365">W190*AVERAGE(V199:W199)</f>
        <v>123.44961801980592</v>
      </c>
      <c r="X189" s="756">
        <f t="shared" si="365"/>
        <v>132.89682729141558</v>
      </c>
      <c r="Y189" s="756">
        <f t="shared" si="365"/>
        <v>138.68655959300989</v>
      </c>
      <c r="Z189" s="756">
        <f t="shared" si="365"/>
        <v>144.72039016948227</v>
      </c>
      <c r="AA189" s="756">
        <f t="shared" si="365"/>
        <v>151.00859363012893</v>
      </c>
    </row>
    <row r="190" spans="1:78" s="349" customFormat="1" ht="13">
      <c r="A190" s="870"/>
      <c r="B190" s="407" t="s">
        <v>172</v>
      </c>
      <c r="C190" s="356">
        <f>C189/AVERAGE(C199:C199)</f>
        <v>6.3275434243176179E-2</v>
      </c>
      <c r="D190" s="356">
        <f t="shared" ref="D190:T190" si="366">D189/AVERAGE(C199:D199)</f>
        <v>2.8340080971659919E-2</v>
      </c>
      <c r="E190" s="356">
        <f t="shared" si="366"/>
        <v>5.8185610010427526E-2</v>
      </c>
      <c r="F190" s="356">
        <f t="shared" si="366"/>
        <v>0.10502692998204669</v>
      </c>
      <c r="G190" s="356">
        <f t="shared" si="366"/>
        <v>5.4838709677419356E-2</v>
      </c>
      <c r="H190" s="356">
        <f t="shared" si="366"/>
        <v>2.0446927374301677E-2</v>
      </c>
      <c r="I190" s="356">
        <f t="shared" si="366"/>
        <v>4.7298578199052137E-2</v>
      </c>
      <c r="J190" s="356">
        <f t="shared" si="366"/>
        <v>9.5779417100012101E-3</v>
      </c>
      <c r="K190" s="356">
        <f t="shared" si="366"/>
        <v>1.2842248855110592E-2</v>
      </c>
      <c r="L190" s="356">
        <f t="shared" si="366"/>
        <v>0.3089983022071307</v>
      </c>
      <c r="M190" s="356">
        <f t="shared" si="366"/>
        <v>0.12658884565499351</v>
      </c>
      <c r="N190" s="356">
        <f t="shared" si="366"/>
        <v>0.27840148024836425</v>
      </c>
      <c r="O190" s="356">
        <f t="shared" si="366"/>
        <v>8.3825304841241094E-2</v>
      </c>
      <c r="P190" s="356">
        <f t="shared" si="366"/>
        <v>7.9910545642689457E-2</v>
      </c>
      <c r="Q190" s="356">
        <f t="shared" si="366"/>
        <v>3.1159990735306863E-2</v>
      </c>
      <c r="R190" s="356">
        <f t="shared" si="366"/>
        <v>2.8456392941326368E-2</v>
      </c>
      <c r="S190" s="356">
        <f t="shared" si="366"/>
        <v>3.2550803721541295E-2</v>
      </c>
      <c r="T190" s="356">
        <f t="shared" si="366"/>
        <v>6.8225636980036253E-2</v>
      </c>
      <c r="U190" s="356"/>
      <c r="V190" s="745">
        <f>T190</f>
        <v>6.8225636980036253E-2</v>
      </c>
      <c r="W190" s="745">
        <f t="shared" ref="W190:Y190" si="367">V190</f>
        <v>6.8225636980036253E-2</v>
      </c>
      <c r="X190" s="745">
        <f t="shared" si="367"/>
        <v>6.8225636980036253E-2</v>
      </c>
      <c r="Y190" s="745">
        <f t="shared" si="367"/>
        <v>6.8225636980036253E-2</v>
      </c>
      <c r="Z190" s="745">
        <f t="shared" ref="Z190" si="368">Y190</f>
        <v>6.8225636980036253E-2</v>
      </c>
      <c r="AA190" s="745">
        <f t="shared" ref="AA190" si="369">Z190</f>
        <v>6.8225636980036253E-2</v>
      </c>
      <c r="AB190" s="347"/>
      <c r="AC190" s="347"/>
      <c r="AD190" s="347"/>
      <c r="AE190" s="347"/>
      <c r="AF190" s="347"/>
      <c r="AG190" s="347"/>
      <c r="AH190" s="347"/>
      <c r="BY190" s="486"/>
      <c r="BZ190" s="487"/>
    </row>
    <row r="191" spans="1:78" s="349" customFormat="1" ht="13">
      <c r="A191" s="870"/>
      <c r="B191" s="407" t="s">
        <v>39</v>
      </c>
      <c r="C191" s="356"/>
      <c r="D191" s="356">
        <f>D190-C190</f>
        <v>-3.4935353271516256E-2</v>
      </c>
      <c r="E191" s="356">
        <f t="shared" ref="E191:N191" si="370">E190-D190</f>
        <v>2.9845529038767606E-2</v>
      </c>
      <c r="F191" s="356">
        <f t="shared" si="370"/>
        <v>4.6841319971619159E-2</v>
      </c>
      <c r="G191" s="356">
        <f t="shared" si="370"/>
        <v>-5.0188220304627329E-2</v>
      </c>
      <c r="H191" s="356">
        <f t="shared" si="370"/>
        <v>-3.4391782303117679E-2</v>
      </c>
      <c r="I191" s="356">
        <f t="shared" si="370"/>
        <v>2.685165082475046E-2</v>
      </c>
      <c r="J191" s="356">
        <f t="shared" si="370"/>
        <v>-3.7720636489050927E-2</v>
      </c>
      <c r="K191" s="356">
        <f t="shared" si="370"/>
        <v>3.2643071451093821E-3</v>
      </c>
      <c r="L191" s="356">
        <f t="shared" si="370"/>
        <v>0.29615605335202011</v>
      </c>
      <c r="M191" s="356">
        <f t="shared" si="370"/>
        <v>-0.18240945655213719</v>
      </c>
      <c r="N191" s="356">
        <f t="shared" si="370"/>
        <v>0.15181263459337074</v>
      </c>
      <c r="O191" s="356">
        <f t="shared" ref="O191:P191" si="371">O190-N190</f>
        <v>-0.19457617540712316</v>
      </c>
      <c r="P191" s="356">
        <f t="shared" si="371"/>
        <v>-3.9147591985516372E-3</v>
      </c>
      <c r="Q191" s="356">
        <f t="shared" ref="Q191:T191" si="372">Q190-P190</f>
        <v>-4.8750554907382594E-2</v>
      </c>
      <c r="R191" s="356">
        <f t="shared" si="372"/>
        <v>-2.7035977939804945E-3</v>
      </c>
      <c r="S191" s="356">
        <f t="shared" si="372"/>
        <v>4.0944107802149271E-3</v>
      </c>
      <c r="T191" s="356">
        <f t="shared" si="372"/>
        <v>3.5674833258494958E-2</v>
      </c>
      <c r="U191" s="356"/>
      <c r="V191" s="356">
        <f t="shared" ref="V191" si="373">V190-T190</f>
        <v>0</v>
      </c>
      <c r="W191" s="356">
        <f t="shared" ref="W191" si="374">W190-V190</f>
        <v>0</v>
      </c>
      <c r="X191" s="356">
        <f t="shared" ref="X191" si="375">X190-W190</f>
        <v>0</v>
      </c>
      <c r="Y191" s="356">
        <f t="shared" ref="Y191" si="376">Y190-X190</f>
        <v>0</v>
      </c>
      <c r="Z191" s="356">
        <f t="shared" ref="Z191" si="377">Z190-Y190</f>
        <v>0</v>
      </c>
      <c r="AA191" s="356">
        <f t="shared" ref="AA191" si="378">AA190-Z190</f>
        <v>0</v>
      </c>
      <c r="AB191" s="347"/>
      <c r="AC191" s="347"/>
      <c r="AD191" s="347"/>
      <c r="AE191" s="347"/>
      <c r="AF191" s="347"/>
      <c r="AG191" s="347"/>
      <c r="AH191" s="347"/>
      <c r="BY191" s="486"/>
      <c r="BZ191" s="487"/>
    </row>
    <row r="192" spans="1:78" s="349" customFormat="1" ht="13">
      <c r="A192" s="870"/>
      <c r="B192" s="407"/>
      <c r="C192" s="356"/>
      <c r="D192" s="356"/>
      <c r="E192" s="356"/>
      <c r="F192" s="356"/>
      <c r="G192" s="356"/>
      <c r="H192" s="356"/>
      <c r="I192" s="356"/>
      <c r="J192" s="356"/>
      <c r="K192" s="356"/>
      <c r="L192" s="356"/>
      <c r="M192" s="356"/>
      <c r="N192" s="356"/>
      <c r="O192" s="356"/>
      <c r="P192" s="356"/>
      <c r="Q192" s="356"/>
      <c r="R192" s="356"/>
      <c r="S192" s="356"/>
      <c r="T192" s="356" cm="1">
        <f t="array" ref="T192">_xll.FDS([20]Workings!$B$6,"FE_ESTIMATE(EPS,MEAN,ANN_ROLL,+1,NOW,,,'')")</f>
        <v>6.8871199999999994E-2</v>
      </c>
      <c r="U192" s="356"/>
      <c r="V192" s="356"/>
      <c r="W192" s="356"/>
      <c r="X192" s="356"/>
      <c r="Y192" s="356"/>
      <c r="Z192" s="356"/>
      <c r="AA192" s="356"/>
      <c r="AB192" s="347"/>
      <c r="AC192" s="347"/>
      <c r="AD192" s="347"/>
      <c r="AE192" s="347"/>
      <c r="AF192" s="347"/>
      <c r="AG192" s="347"/>
      <c r="AH192" s="347"/>
      <c r="BY192" s="486"/>
      <c r="BZ192" s="487"/>
    </row>
    <row r="193" spans="1:78" s="752" customFormat="1" ht="13">
      <c r="A193" s="873"/>
      <c r="B193" s="462" t="s">
        <v>360</v>
      </c>
      <c r="C193" s="755">
        <f t="shared" ref="C193:AA193" si="379">(-1*C187)+C189</f>
        <v>-643</v>
      </c>
      <c r="D193" s="755">
        <f t="shared" si="379"/>
        <v>-1094</v>
      </c>
      <c r="E193" s="755">
        <f t="shared" si="379"/>
        <v>-1218.3</v>
      </c>
      <c r="F193" s="755">
        <f t="shared" si="379"/>
        <v>-780</v>
      </c>
      <c r="G193" s="755">
        <f t="shared" si="379"/>
        <v>-580</v>
      </c>
      <c r="H193" s="755">
        <f t="shared" si="379"/>
        <v>-601</v>
      </c>
      <c r="I193" s="755">
        <f t="shared" si="379"/>
        <v>-293</v>
      </c>
      <c r="J193" s="755">
        <f t="shared" si="379"/>
        <v>-1346</v>
      </c>
      <c r="K193" s="755">
        <f t="shared" si="379"/>
        <v>-1466</v>
      </c>
      <c r="L193" s="755">
        <f t="shared" si="379"/>
        <v>-1080</v>
      </c>
      <c r="M193" s="755">
        <f t="shared" si="379"/>
        <v>-1295</v>
      </c>
      <c r="N193" s="755">
        <f t="shared" si="379"/>
        <v>-1258.701</v>
      </c>
      <c r="O193" s="755">
        <f t="shared" si="379"/>
        <v>-2131.413</v>
      </c>
      <c r="P193" s="755">
        <f t="shared" si="379"/>
        <v>-2485.2670000000003</v>
      </c>
      <c r="Q193" s="755">
        <f t="shared" si="379"/>
        <v>-2290.471</v>
      </c>
      <c r="R193" s="755">
        <f t="shared" si="379"/>
        <v>-2664.9569999999999</v>
      </c>
      <c r="S193" s="755">
        <f t="shared" si="379"/>
        <v>-2839.8829999999998</v>
      </c>
      <c r="T193" s="755">
        <f t="shared" si="379"/>
        <v>-3032.5460000000003</v>
      </c>
      <c r="U193" s="755"/>
      <c r="V193" s="755">
        <f>(-1*V187)+V189</f>
        <v>-3085.2438688735665</v>
      </c>
      <c r="W193" s="755">
        <f t="shared" si="379"/>
        <v>-4102.6764453690657</v>
      </c>
      <c r="X193" s="755">
        <f t="shared" si="379"/>
        <v>-4815.4847906609348</v>
      </c>
      <c r="Y193" s="755">
        <f t="shared" si="379"/>
        <v>-4633.3604535720533</v>
      </c>
      <c r="Z193" s="755">
        <f t="shared" si="379"/>
        <v>-4454.8104787029542</v>
      </c>
      <c r="AA193" s="755">
        <f t="shared" si="379"/>
        <v>-4276.9060807905635</v>
      </c>
      <c r="AC193" s="752" t="s">
        <v>779</v>
      </c>
    </row>
    <row r="194" spans="1:78" s="752" customFormat="1" ht="13">
      <c r="A194" s="873"/>
      <c r="B194" s="407" t="s">
        <v>174</v>
      </c>
      <c r="C194" s="752">
        <v>0</v>
      </c>
      <c r="D194" s="752">
        <v>0</v>
      </c>
      <c r="E194" s="752">
        <v>0</v>
      </c>
      <c r="F194" s="752">
        <v>0</v>
      </c>
      <c r="G194" s="752">
        <v>0</v>
      </c>
      <c r="H194" s="752">
        <v>0</v>
      </c>
      <c r="I194" s="752">
        <v>0</v>
      </c>
      <c r="J194" s="752">
        <v>0</v>
      </c>
      <c r="K194" s="752">
        <v>0</v>
      </c>
      <c r="L194" s="752">
        <v>0</v>
      </c>
      <c r="M194" s="752">
        <v>0</v>
      </c>
      <c r="N194" s="752">
        <v>0</v>
      </c>
      <c r="O194" s="752">
        <v>0</v>
      </c>
      <c r="P194" s="752">
        <v>0</v>
      </c>
      <c r="Q194" s="752">
        <v>0</v>
      </c>
      <c r="R194" s="752">
        <v>0</v>
      </c>
      <c r="S194" s="752">
        <v>0</v>
      </c>
      <c r="T194" s="752">
        <v>0</v>
      </c>
      <c r="V194" s="752">
        <v>0</v>
      </c>
      <c r="W194" s="752">
        <v>0</v>
      </c>
      <c r="X194" s="752">
        <v>0</v>
      </c>
      <c r="Y194" s="752">
        <v>0</v>
      </c>
      <c r="Z194" s="752">
        <v>0</v>
      </c>
      <c r="AA194" s="752">
        <v>0</v>
      </c>
    </row>
    <row r="195" spans="1:78" s="349" customFormat="1" ht="13">
      <c r="A195" s="870"/>
      <c r="B195" s="407"/>
      <c r="Q195" s="354"/>
      <c r="T195" s="540"/>
      <c r="U195" s="540"/>
      <c r="V195" s="540"/>
      <c r="W195" s="540"/>
      <c r="X195" s="540"/>
      <c r="Y195" s="540"/>
      <c r="Z195" s="540"/>
      <c r="AA195" s="540"/>
      <c r="AB195" s="347"/>
      <c r="AC195" s="347"/>
      <c r="AD195" s="347"/>
      <c r="AG195" s="347"/>
      <c r="AH195" s="347"/>
      <c r="AI195" s="347"/>
      <c r="BY195" s="486"/>
      <c r="BZ195" s="487"/>
    </row>
    <row r="196" spans="1:78" s="349" customFormat="1" ht="13">
      <c r="A196" s="870" t="s">
        <v>615</v>
      </c>
      <c r="B196" s="797" t="s">
        <v>150</v>
      </c>
      <c r="Q196" s="354"/>
      <c r="T196" s="540"/>
      <c r="U196" s="540"/>
      <c r="AB196" s="347"/>
      <c r="AC196" s="347"/>
      <c r="AD196" s="347"/>
      <c r="AG196" s="347"/>
      <c r="AH196" s="347"/>
      <c r="AI196" s="347"/>
      <c r="BY196" s="486"/>
      <c r="BZ196" s="487"/>
    </row>
    <row r="197" spans="1:78" s="349" customFormat="1" ht="13">
      <c r="A197" s="870"/>
      <c r="B197" s="749" t="s">
        <v>735</v>
      </c>
      <c r="C197" s="866">
        <v>3323</v>
      </c>
      <c r="D197" s="866">
        <v>1279</v>
      </c>
      <c r="E197" s="866">
        <v>2476</v>
      </c>
      <c r="F197" s="866">
        <v>977</v>
      </c>
      <c r="G197" s="866">
        <v>3820</v>
      </c>
      <c r="H197" s="866">
        <v>4306</v>
      </c>
      <c r="I197" s="866">
        <v>3125</v>
      </c>
      <c r="J197" s="866">
        <v>3922</v>
      </c>
      <c r="K197" s="818">
        <f>3431+491</f>
        <v>3922</v>
      </c>
      <c r="L197" s="818">
        <f>3645</f>
        <v>3645</v>
      </c>
      <c r="M197" s="818">
        <f>1297+2474</f>
        <v>3771</v>
      </c>
      <c r="N197" s="818">
        <f>356.43+326.491+646.095</f>
        <v>1329.0160000000001</v>
      </c>
      <c r="O197" s="818">
        <f>4076.202+1075.44+309.874</f>
        <v>5461.5159999999996</v>
      </c>
      <c r="P197" s="818">
        <f>727.975+398.417+449.31</f>
        <v>1575.702</v>
      </c>
      <c r="Q197" s="818">
        <f>877.461+676.65+190.974</f>
        <v>1745.0849999999998</v>
      </c>
      <c r="R197" s="818">
        <f>5342.445+148.869+130.879</f>
        <v>5622.1929999999993</v>
      </c>
      <c r="S197" s="818">
        <f>415.892+397.965+39.997</f>
        <v>853.85399999999993</v>
      </c>
      <c r="T197" s="818">
        <f>Inputs!BO86+Inputs!BO87+Inputs!BO88</f>
        <v>3721.3</v>
      </c>
      <c r="U197" s="867">
        <v>4918.7260000000006</v>
      </c>
      <c r="V197" s="752">
        <f>U197</f>
        <v>4918.7260000000006</v>
      </c>
      <c r="W197" s="752">
        <f t="shared" ref="W197:AA197" si="380">V197</f>
        <v>4918.7260000000006</v>
      </c>
      <c r="X197" s="752">
        <f t="shared" si="380"/>
        <v>4918.7260000000006</v>
      </c>
      <c r="Y197" s="752">
        <f t="shared" si="380"/>
        <v>4918.7260000000006</v>
      </c>
      <c r="Z197" s="752">
        <f t="shared" si="380"/>
        <v>4918.7260000000006</v>
      </c>
      <c r="AA197" s="752">
        <f t="shared" si="380"/>
        <v>4918.7260000000006</v>
      </c>
      <c r="AB197" s="347"/>
      <c r="AC197" s="347" t="s">
        <v>736</v>
      </c>
      <c r="AD197" s="347"/>
      <c r="AG197" s="347"/>
      <c r="AH197" s="347"/>
      <c r="AI197" s="347"/>
      <c r="BY197" s="486"/>
      <c r="BZ197" s="487"/>
    </row>
    <row r="198" spans="1:78" s="349" customFormat="1" ht="13">
      <c r="A198" s="870"/>
      <c r="B198" s="749" t="s">
        <v>962</v>
      </c>
      <c r="C198" s="866">
        <v>6340</v>
      </c>
      <c r="D198" s="866">
        <v>17661</v>
      </c>
      <c r="E198" s="866">
        <v>11287</v>
      </c>
      <c r="F198" s="866">
        <v>9201</v>
      </c>
      <c r="G198" s="866">
        <v>6906</v>
      </c>
      <c r="H198" s="866">
        <v>9213</v>
      </c>
      <c r="I198" s="866">
        <v>14697</v>
      </c>
      <c r="J198" s="866">
        <v>25707</v>
      </c>
      <c r="K198" s="818">
        <f>15133+1000+6898</f>
        <v>23031</v>
      </c>
      <c r="L198" s="818">
        <f>10024+1002</f>
        <v>11026</v>
      </c>
      <c r="M198" s="818">
        <f>9097+1883</f>
        <v>10980</v>
      </c>
      <c r="N198" s="818">
        <f>8043.168+2523.058+668.325</f>
        <v>11234.550999999999</v>
      </c>
      <c r="O198" s="818">
        <f>4266.534+2088.832+992.449</f>
        <v>7347.8149999999996</v>
      </c>
      <c r="P198" s="818">
        <f>5535.939+1692.167+544.526</f>
        <v>7772.6319999999996</v>
      </c>
      <c r="Q198" s="818">
        <f>7156.544+1016.533+354.069</f>
        <v>8527.1460000000006</v>
      </c>
      <c r="R198" s="818">
        <f>2411.205+2360.826+1715.691</f>
        <v>6487.7219999999998</v>
      </c>
      <c r="S198" s="818">
        <f>5609.008+1964.422+1677.304</f>
        <v>9250.7340000000004</v>
      </c>
      <c r="T198" s="818">
        <f>Inputs!BO93+Inputs!BO94+Inputs!BO95</f>
        <v>8772.0760000000009</v>
      </c>
      <c r="U198" s="867">
        <v>18270.052</v>
      </c>
      <c r="V198" s="752">
        <f t="shared" ref="V198:AA198" si="381">V200+V199-V197</f>
        <v>30375.99451852819</v>
      </c>
      <c r="W198" s="752">
        <f t="shared" si="381"/>
        <v>30263.511872226991</v>
      </c>
      <c r="X198" s="752">
        <f t="shared" si="381"/>
        <v>30481.538416537682</v>
      </c>
      <c r="Y198" s="752">
        <f t="shared" si="381"/>
        <v>30664.962751183892</v>
      </c>
      <c r="Z198" s="752">
        <f t="shared" si="381"/>
        <v>31113.322891424694</v>
      </c>
      <c r="AA198" s="752">
        <f t="shared" si="381"/>
        <v>32013.385594825566</v>
      </c>
      <c r="AB198" s="347"/>
      <c r="AC198" s="751" t="s">
        <v>1023</v>
      </c>
      <c r="AD198" s="347"/>
      <c r="AG198" s="347"/>
      <c r="AH198" s="347"/>
      <c r="AI198" s="347"/>
      <c r="BY198" s="486"/>
      <c r="BZ198" s="487"/>
    </row>
    <row r="199" spans="1:78" s="349" customFormat="1" ht="13">
      <c r="A199" s="870"/>
      <c r="B199" s="749" t="s">
        <v>788</v>
      </c>
      <c r="C199" s="867">
        <v>806</v>
      </c>
      <c r="D199" s="867">
        <v>1170</v>
      </c>
      <c r="E199" s="867">
        <v>748</v>
      </c>
      <c r="F199" s="867">
        <v>366</v>
      </c>
      <c r="G199" s="867">
        <v>998</v>
      </c>
      <c r="H199" s="867">
        <v>792</v>
      </c>
      <c r="I199" s="867">
        <v>1318</v>
      </c>
      <c r="J199" s="867">
        <v>6951</v>
      </c>
      <c r="K199" s="867">
        <v>3312</v>
      </c>
      <c r="L199" s="867">
        <v>1400</v>
      </c>
      <c r="M199" s="867">
        <v>2455</v>
      </c>
      <c r="N199" s="867">
        <v>1047.115</v>
      </c>
      <c r="O199" s="867">
        <v>1603.4449999999999</v>
      </c>
      <c r="P199" s="867">
        <v>2965.5889999999999</v>
      </c>
      <c r="Q199" s="867">
        <v>2664.3870000000002</v>
      </c>
      <c r="R199" s="867">
        <v>5184.1130000000003</v>
      </c>
      <c r="S199" s="867">
        <v>966.02700000000004</v>
      </c>
      <c r="T199" s="867">
        <f>Inputs!BO45</f>
        <v>1386.6369999999999</v>
      </c>
      <c r="U199" s="867">
        <v>1198.549</v>
      </c>
      <c r="V199" s="812">
        <f>V207*'Income Statement'!CO236</f>
        <v>1712.5161907578859</v>
      </c>
      <c r="W199" s="812">
        <f>W207*'Income Statement'!CP236</f>
        <v>1906.3468491263427</v>
      </c>
      <c r="X199" s="812">
        <f>X207*'Income Statement'!CQ236</f>
        <v>1989.4563466812094</v>
      </c>
      <c r="Y199" s="812">
        <f>Y207*'Income Statement'!CR236</f>
        <v>2076.0699197453382</v>
      </c>
      <c r="Z199" s="812">
        <f>Z207*'Income Statement'!CS236</f>
        <v>2166.3350346218713</v>
      </c>
      <c r="AA199" s="812">
        <f>AA207*'Income Statement'!CT236</f>
        <v>2260.405419976335</v>
      </c>
      <c r="AB199" s="347"/>
      <c r="AC199" s="751"/>
      <c r="AD199" s="347"/>
      <c r="AG199" s="347"/>
      <c r="AH199" s="347"/>
      <c r="AI199" s="347"/>
      <c r="BY199" s="486"/>
      <c r="BZ199" s="487"/>
    </row>
    <row r="200" spans="1:78" s="399" customFormat="1" ht="13">
      <c r="A200" s="872"/>
      <c r="B200" s="798" t="s">
        <v>1019</v>
      </c>
      <c r="C200" s="755">
        <f>C197+C198-C199</f>
        <v>8857</v>
      </c>
      <c r="D200" s="755">
        <f t="shared" ref="D200:S200" si="382">D197+D198-D199</f>
        <v>17770</v>
      </c>
      <c r="E200" s="755">
        <f t="shared" si="382"/>
        <v>13015</v>
      </c>
      <c r="F200" s="755">
        <f t="shared" si="382"/>
        <v>9812</v>
      </c>
      <c r="G200" s="755">
        <f t="shared" si="382"/>
        <v>9728</v>
      </c>
      <c r="H200" s="755">
        <f t="shared" si="382"/>
        <v>12727</v>
      </c>
      <c r="I200" s="755">
        <f t="shared" si="382"/>
        <v>16504</v>
      </c>
      <c r="J200" s="755">
        <f t="shared" si="382"/>
        <v>22678</v>
      </c>
      <c r="K200" s="755">
        <f t="shared" si="382"/>
        <v>23641</v>
      </c>
      <c r="L200" s="755">
        <f t="shared" si="382"/>
        <v>13271</v>
      </c>
      <c r="M200" s="755">
        <f t="shared" si="382"/>
        <v>12296</v>
      </c>
      <c r="N200" s="755">
        <f t="shared" si="382"/>
        <v>11516.451999999999</v>
      </c>
      <c r="O200" s="755">
        <f t="shared" si="382"/>
        <v>11205.885999999999</v>
      </c>
      <c r="P200" s="755">
        <f t="shared" si="382"/>
        <v>6382.744999999999</v>
      </c>
      <c r="Q200" s="755">
        <f t="shared" si="382"/>
        <v>7607.8439999999991</v>
      </c>
      <c r="R200" s="755">
        <f t="shared" si="382"/>
        <v>6925.8019999999988</v>
      </c>
      <c r="S200" s="755">
        <f t="shared" si="382"/>
        <v>9138.5609999999997</v>
      </c>
      <c r="T200" s="755">
        <f t="shared" ref="T200:U200" si="383">T197+T198-T199</f>
        <v>11106.739</v>
      </c>
      <c r="U200" s="755">
        <f t="shared" si="383"/>
        <v>21990.228999999999</v>
      </c>
      <c r="V200" s="755">
        <f>U200-V69</f>
        <v>33582.204327770305</v>
      </c>
      <c r="W200" s="755">
        <f t="shared" ref="W200:AA200" si="384">V200-W69</f>
        <v>33275.891023100652</v>
      </c>
      <c r="X200" s="755">
        <f t="shared" si="384"/>
        <v>33410.808069856474</v>
      </c>
      <c r="Y200" s="755">
        <f t="shared" si="384"/>
        <v>33507.618831438558</v>
      </c>
      <c r="Z200" s="755">
        <f t="shared" si="384"/>
        <v>33865.713856802824</v>
      </c>
      <c r="AA200" s="755">
        <f t="shared" si="384"/>
        <v>34671.706174849234</v>
      </c>
      <c r="AB200" s="364"/>
      <c r="AC200" s="800" t="s">
        <v>1024</v>
      </c>
      <c r="AD200" s="364"/>
      <c r="AG200" s="364"/>
      <c r="AH200" s="364"/>
      <c r="AI200" s="364"/>
      <c r="BY200" s="488"/>
      <c r="BZ200" s="489"/>
    </row>
    <row r="201" spans="1:78" s="349" customFormat="1" ht="13">
      <c r="A201" s="870"/>
      <c r="B201" s="799" t="s">
        <v>1020</v>
      </c>
      <c r="C201" s="752">
        <f t="shared" ref="C201:AA201" si="385">C27</f>
        <v>0</v>
      </c>
      <c r="D201" s="752">
        <f t="shared" si="385"/>
        <v>0</v>
      </c>
      <c r="E201" s="752">
        <f t="shared" si="385"/>
        <v>0</v>
      </c>
      <c r="F201" s="752">
        <f t="shared" si="385"/>
        <v>0</v>
      </c>
      <c r="G201" s="752">
        <f t="shared" si="385"/>
        <v>0</v>
      </c>
      <c r="H201" s="752">
        <f t="shared" si="385"/>
        <v>0</v>
      </c>
      <c r="I201" s="752">
        <f t="shared" si="385"/>
        <v>0</v>
      </c>
      <c r="J201" s="752">
        <f t="shared" si="385"/>
        <v>0</v>
      </c>
      <c r="K201" s="752">
        <f t="shared" si="385"/>
        <v>0</v>
      </c>
      <c r="L201" s="752">
        <f t="shared" si="385"/>
        <v>0</v>
      </c>
      <c r="M201" s="752">
        <f t="shared" si="385"/>
        <v>0</v>
      </c>
      <c r="N201" s="752">
        <f t="shared" si="385"/>
        <v>1248.9590000000001</v>
      </c>
      <c r="O201" s="752">
        <f t="shared" si="385"/>
        <v>1997.4880000000001</v>
      </c>
      <c r="P201" s="752">
        <f t="shared" si="385"/>
        <v>4666.5450000000001</v>
      </c>
      <c r="Q201" s="752">
        <f t="shared" si="385"/>
        <v>4531.3270000000002</v>
      </c>
      <c r="R201" s="752">
        <f t="shared" si="385"/>
        <v>5296.5649999999996</v>
      </c>
      <c r="S201" s="752">
        <f t="shared" si="385"/>
        <v>6022.8360000000002</v>
      </c>
      <c r="T201" s="752">
        <f t="shared" ref="T201" si="386">T27</f>
        <v>5368.8710000000001</v>
      </c>
      <c r="U201" s="801">
        <v>9093.4310000000005</v>
      </c>
      <c r="V201" s="752">
        <f t="shared" si="385"/>
        <v>9093.4310000000005</v>
      </c>
      <c r="W201" s="752">
        <f t="shared" si="385"/>
        <v>9093.4310000000005</v>
      </c>
      <c r="X201" s="752">
        <f t="shared" si="385"/>
        <v>9093.4310000000005</v>
      </c>
      <c r="Y201" s="752">
        <f t="shared" si="385"/>
        <v>9093.4310000000005</v>
      </c>
      <c r="Z201" s="752">
        <f t="shared" si="385"/>
        <v>9093.4310000000005</v>
      </c>
      <c r="AA201" s="752">
        <f t="shared" si="385"/>
        <v>9093.4310000000005</v>
      </c>
      <c r="AB201" s="347"/>
      <c r="AC201" s="347"/>
      <c r="AD201" s="347"/>
      <c r="AG201" s="347"/>
      <c r="AH201" s="347"/>
      <c r="AI201" s="347"/>
      <c r="BY201" s="486"/>
      <c r="BZ201" s="487"/>
    </row>
    <row r="202" spans="1:78" s="349" customFormat="1" ht="13">
      <c r="A202" s="870"/>
      <c r="B202" s="799" t="s">
        <v>1021</v>
      </c>
      <c r="C202" s="752">
        <f t="shared" ref="C202:AA202" si="387">C32</f>
        <v>0</v>
      </c>
      <c r="D202" s="752">
        <f t="shared" si="387"/>
        <v>0</v>
      </c>
      <c r="E202" s="752">
        <f t="shared" si="387"/>
        <v>0</v>
      </c>
      <c r="F202" s="752">
        <f t="shared" si="387"/>
        <v>0</v>
      </c>
      <c r="G202" s="752">
        <f t="shared" si="387"/>
        <v>0</v>
      </c>
      <c r="H202" s="752">
        <f t="shared" si="387"/>
        <v>0</v>
      </c>
      <c r="I202" s="752">
        <f t="shared" si="387"/>
        <v>0</v>
      </c>
      <c r="J202" s="752">
        <f t="shared" si="387"/>
        <v>0</v>
      </c>
      <c r="K202" s="752">
        <f t="shared" si="387"/>
        <v>0</v>
      </c>
      <c r="L202" s="752">
        <f t="shared" si="387"/>
        <v>0</v>
      </c>
      <c r="M202" s="752">
        <f t="shared" si="387"/>
        <v>0</v>
      </c>
      <c r="N202" s="752">
        <f t="shared" si="387"/>
        <v>9258.3320000000003</v>
      </c>
      <c r="O202" s="752">
        <f t="shared" si="387"/>
        <v>12122.37</v>
      </c>
      <c r="P202" s="752">
        <f t="shared" si="387"/>
        <v>19613.02</v>
      </c>
      <c r="Q202" s="752">
        <f t="shared" si="387"/>
        <v>20845.080000000002</v>
      </c>
      <c r="R202" s="752">
        <f t="shared" si="387"/>
        <v>26553.293000000001</v>
      </c>
      <c r="S202" s="752">
        <f t="shared" si="387"/>
        <v>29790.61</v>
      </c>
      <c r="T202" s="752">
        <f t="shared" ref="T202" si="388">T32</f>
        <v>28225.767</v>
      </c>
      <c r="U202" s="801">
        <v>31075.835999999999</v>
      </c>
      <c r="V202" s="752">
        <f t="shared" si="387"/>
        <v>28609.707758514131</v>
      </c>
      <c r="W202" s="752">
        <f t="shared" si="387"/>
        <v>25864.451492868262</v>
      </c>
      <c r="X202" s="752">
        <f t="shared" si="387"/>
        <v>22999.512458579458</v>
      </c>
      <c r="Y202" s="752">
        <f t="shared" si="387"/>
        <v>20009.844572217778</v>
      </c>
      <c r="Z202" s="752">
        <f t="shared" si="387"/>
        <v>16890.189389841413</v>
      </c>
      <c r="AA202" s="752">
        <f t="shared" si="387"/>
        <v>13635.067088811164</v>
      </c>
      <c r="AB202" s="347"/>
      <c r="AC202" s="347"/>
      <c r="AD202" s="347"/>
      <c r="AG202" s="347"/>
      <c r="AH202" s="347"/>
      <c r="AI202" s="347"/>
      <c r="BY202" s="486"/>
      <c r="BZ202" s="487"/>
    </row>
    <row r="203" spans="1:78" s="349" customFormat="1" ht="13">
      <c r="A203" s="870"/>
      <c r="B203" s="798" t="s">
        <v>1022</v>
      </c>
      <c r="C203" s="755">
        <f>C200+C201+C202</f>
        <v>8857</v>
      </c>
      <c r="D203" s="755">
        <f t="shared" ref="D203:AA203" si="389">D200+D201+D202</f>
        <v>17770</v>
      </c>
      <c r="E203" s="755">
        <f t="shared" si="389"/>
        <v>13015</v>
      </c>
      <c r="F203" s="755">
        <f t="shared" si="389"/>
        <v>9812</v>
      </c>
      <c r="G203" s="755">
        <f t="shared" si="389"/>
        <v>9728</v>
      </c>
      <c r="H203" s="755">
        <f t="shared" si="389"/>
        <v>12727</v>
      </c>
      <c r="I203" s="755">
        <f t="shared" si="389"/>
        <v>16504</v>
      </c>
      <c r="J203" s="755">
        <f t="shared" si="389"/>
        <v>22678</v>
      </c>
      <c r="K203" s="755">
        <f t="shared" si="389"/>
        <v>23641</v>
      </c>
      <c r="L203" s="755">
        <f t="shared" si="389"/>
        <v>13271</v>
      </c>
      <c r="M203" s="755">
        <f t="shared" si="389"/>
        <v>12296</v>
      </c>
      <c r="N203" s="755">
        <f t="shared" si="389"/>
        <v>22023.743000000002</v>
      </c>
      <c r="O203" s="755">
        <f t="shared" si="389"/>
        <v>25325.743999999999</v>
      </c>
      <c r="P203" s="755">
        <f t="shared" si="389"/>
        <v>30662.309999999998</v>
      </c>
      <c r="Q203" s="755">
        <f t="shared" si="389"/>
        <v>32984.251000000004</v>
      </c>
      <c r="R203" s="755">
        <f t="shared" si="389"/>
        <v>38775.660000000003</v>
      </c>
      <c r="S203" s="755">
        <f t="shared" si="389"/>
        <v>44952.006999999998</v>
      </c>
      <c r="T203" s="755">
        <f t="shared" ref="T203:U203" si="390">T200+T201+T202</f>
        <v>44701.377</v>
      </c>
      <c r="U203" s="755">
        <f t="shared" si="390"/>
        <v>62159.495999999999</v>
      </c>
      <c r="V203" s="755">
        <f t="shared" si="389"/>
        <v>71285.34308628444</v>
      </c>
      <c r="W203" s="755">
        <f t="shared" si="389"/>
        <v>68233.773515968918</v>
      </c>
      <c r="X203" s="755">
        <f t="shared" si="389"/>
        <v>65503.751528435925</v>
      </c>
      <c r="Y203" s="755">
        <f t="shared" si="389"/>
        <v>62610.894403656341</v>
      </c>
      <c r="Z203" s="755">
        <f t="shared" si="389"/>
        <v>59849.334246644241</v>
      </c>
      <c r="AA203" s="755">
        <f t="shared" si="389"/>
        <v>57400.204263660402</v>
      </c>
      <c r="AB203" s="347"/>
      <c r="AC203" s="347"/>
      <c r="AD203" s="347"/>
      <c r="AG203" s="347"/>
      <c r="AH203" s="347"/>
      <c r="AI203" s="347"/>
      <c r="BY203" s="486"/>
      <c r="BZ203" s="487"/>
    </row>
    <row r="204" spans="1:78" s="349" customFormat="1" ht="13">
      <c r="A204" s="870"/>
      <c r="B204" s="407"/>
      <c r="Q204" s="354"/>
      <c r="W204" s="752">
        <f>W203-V203</f>
        <v>-3051.5695703155216</v>
      </c>
      <c r="X204" s="752">
        <f t="shared" ref="X204:AA204" si="391">X203-W203</f>
        <v>-2730.0219875329931</v>
      </c>
      <c r="Y204" s="752">
        <f t="shared" si="391"/>
        <v>-2892.8571247795844</v>
      </c>
      <c r="Z204" s="752">
        <f t="shared" si="391"/>
        <v>-2761.5601570120998</v>
      </c>
      <c r="AA204" s="752">
        <f t="shared" si="391"/>
        <v>-2449.129982983839</v>
      </c>
      <c r="AB204" s="347"/>
      <c r="AC204" s="347"/>
      <c r="AD204" s="347"/>
      <c r="AG204" s="347"/>
      <c r="AH204" s="347"/>
      <c r="AI204" s="347"/>
      <c r="BY204" s="486"/>
      <c r="BZ204" s="487"/>
    </row>
    <row r="205" spans="1:78" s="349" customFormat="1" ht="13">
      <c r="A205" s="870"/>
      <c r="B205" s="414" t="s">
        <v>1507</v>
      </c>
      <c r="C205" s="1348">
        <f t="shared" ref="C205:T205" si="392">C200/C356</f>
        <v>2.5240809347392421</v>
      </c>
      <c r="D205" s="1348">
        <f t="shared" si="392"/>
        <v>3.4625876851130162</v>
      </c>
      <c r="E205" s="1348">
        <f t="shared" si="392"/>
        <v>2.0975020145044319</v>
      </c>
      <c r="F205" s="1348">
        <f t="shared" si="392"/>
        <v>1.0565306342198773</v>
      </c>
      <c r="G205" s="1348">
        <f t="shared" si="392"/>
        <v>1.0406504065040652</v>
      </c>
      <c r="H205" s="1348">
        <f t="shared" si="392"/>
        <v>1.3060030785017958</v>
      </c>
      <c r="I205" s="1348">
        <f t="shared" si="392"/>
        <v>1.9059937637140547</v>
      </c>
      <c r="J205" s="1348">
        <f t="shared" si="392"/>
        <v>2.6299431752290388</v>
      </c>
      <c r="K205" s="1348">
        <f t="shared" si="392"/>
        <v>2.8167520552841654</v>
      </c>
      <c r="L205" s="1348">
        <f t="shared" si="392"/>
        <v>1.6471391336725829</v>
      </c>
      <c r="M205" s="1348">
        <f t="shared" si="392"/>
        <v>1.4777070063694266</v>
      </c>
      <c r="N205" s="1348">
        <f t="shared" si="392"/>
        <v>1.3528077058616232</v>
      </c>
      <c r="O205" s="1348">
        <f t="shared" si="392"/>
        <v>1.1244115994380894</v>
      </c>
      <c r="P205" s="1348">
        <f t="shared" si="392"/>
        <v>0.48872473200612548</v>
      </c>
      <c r="Q205" s="1348">
        <f t="shared" si="392"/>
        <v>0.57257800857981478</v>
      </c>
      <c r="R205" s="1348">
        <f t="shared" si="392"/>
        <v>0.48653333333333326</v>
      </c>
      <c r="S205" s="1348">
        <f t="shared" si="392"/>
        <v>0.57529499527856465</v>
      </c>
      <c r="T205" s="1348">
        <f t="shared" si="392"/>
        <v>0.62121701437440568</v>
      </c>
      <c r="U205" s="1348"/>
      <c r="V205" s="1348">
        <f t="shared" ref="V205:AA205" si="393">V200/V356</f>
        <v>1.810578302879847</v>
      </c>
      <c r="W205" s="1348">
        <f t="shared" si="393"/>
        <v>1.5107480064853205</v>
      </c>
      <c r="X205" s="1348">
        <f t="shared" si="393"/>
        <v>1.3768108750354524</v>
      </c>
      <c r="Y205" s="1348">
        <f t="shared" si="393"/>
        <v>1.2586978451442861</v>
      </c>
      <c r="Z205" s="1348">
        <f t="shared" si="393"/>
        <v>1.2121090921538564</v>
      </c>
      <c r="AA205" s="1348">
        <f t="shared" si="393"/>
        <v>1.1824904066117319</v>
      </c>
      <c r="AB205" s="347"/>
      <c r="AC205" s="347"/>
      <c r="AD205" s="347"/>
      <c r="AG205" s="347"/>
      <c r="AH205" s="347"/>
      <c r="AI205" s="347"/>
      <c r="BY205" s="486"/>
      <c r="BZ205" s="487"/>
    </row>
    <row r="206" spans="1:78" s="399" customFormat="1" ht="13">
      <c r="A206" s="872"/>
      <c r="B206" s="414" t="s">
        <v>1506</v>
      </c>
      <c r="C206" s="1348">
        <f>C203/C356</f>
        <v>2.5240809347392421</v>
      </c>
      <c r="D206" s="1348">
        <f t="shared" ref="D206:T206" si="394">D203/D356</f>
        <v>3.4625876851130162</v>
      </c>
      <c r="E206" s="1348">
        <f t="shared" si="394"/>
        <v>2.0975020145044319</v>
      </c>
      <c r="F206" s="1348">
        <f t="shared" si="394"/>
        <v>1.0565306342198773</v>
      </c>
      <c r="G206" s="1348">
        <f t="shared" si="394"/>
        <v>1.0406504065040652</v>
      </c>
      <c r="H206" s="1348">
        <f t="shared" si="394"/>
        <v>1.3060030785017958</v>
      </c>
      <c r="I206" s="1348">
        <f t="shared" si="394"/>
        <v>1.9059937637140547</v>
      </c>
      <c r="J206" s="1348">
        <f t="shared" si="394"/>
        <v>2.6299431752290388</v>
      </c>
      <c r="K206" s="1348">
        <f t="shared" si="394"/>
        <v>2.8167520552841654</v>
      </c>
      <c r="L206" s="1348">
        <f t="shared" si="394"/>
        <v>1.6471391336725829</v>
      </c>
      <c r="M206" s="1348">
        <f t="shared" si="394"/>
        <v>1.4777070063694266</v>
      </c>
      <c r="N206" s="1348">
        <f t="shared" si="394"/>
        <v>2.5870718900505114</v>
      </c>
      <c r="O206" s="1348">
        <f t="shared" si="394"/>
        <v>2.54121452939996</v>
      </c>
      <c r="P206" s="1348">
        <f t="shared" si="394"/>
        <v>2.347803215926493</v>
      </c>
      <c r="Q206" s="1348">
        <f t="shared" si="394"/>
        <v>2.4824453224956726</v>
      </c>
      <c r="R206" s="1348">
        <f t="shared" si="394"/>
        <v>2.7239662802950475</v>
      </c>
      <c r="S206" s="1348">
        <f t="shared" si="394"/>
        <v>2.8298399118665407</v>
      </c>
      <c r="T206" s="1348">
        <f t="shared" si="394"/>
        <v>2.5002168465797863</v>
      </c>
      <c r="U206" s="1348"/>
      <c r="V206" s="1348">
        <f>V203/V356</f>
        <v>3.8433360194477135</v>
      </c>
      <c r="W206" s="1348">
        <f t="shared" ref="W206:AA206" si="395">W203/W356</f>
        <v>3.0978595657335912</v>
      </c>
      <c r="X206" s="1348">
        <f t="shared" si="395"/>
        <v>2.6993144634935535</v>
      </c>
      <c r="Y206" s="1348">
        <f t="shared" si="395"/>
        <v>2.3519486199507798</v>
      </c>
      <c r="Z206" s="1348">
        <f t="shared" si="395"/>
        <v>2.1421052131502698</v>
      </c>
      <c r="AA206" s="1348">
        <f t="shared" si="395"/>
        <v>1.9576536134979345</v>
      </c>
      <c r="AB206" s="364"/>
      <c r="AC206" s="364"/>
      <c r="AD206" s="364"/>
      <c r="AG206" s="364"/>
      <c r="AH206" s="364"/>
      <c r="AI206" s="364"/>
      <c r="BY206" s="488"/>
      <c r="BZ206" s="489"/>
    </row>
    <row r="207" spans="1:78" s="349" customFormat="1" ht="13">
      <c r="A207" s="870"/>
      <c r="B207" s="407" t="s">
        <v>176</v>
      </c>
      <c r="C207" s="356">
        <f t="shared" ref="C207:T207" si="396">C199/C416</f>
        <v>0.10087609511889863</v>
      </c>
      <c r="D207" s="356">
        <f t="shared" si="396"/>
        <v>9.7004227560310519E-2</v>
      </c>
      <c r="E207" s="356">
        <f t="shared" si="396"/>
        <v>5.4570657328372366E-2</v>
      </c>
      <c r="F207" s="356">
        <f t="shared" si="396"/>
        <v>2.0962199312714775E-2</v>
      </c>
      <c r="G207" s="356">
        <f t="shared" si="396"/>
        <v>5.4648997919176434E-2</v>
      </c>
      <c r="H207" s="356">
        <f t="shared" si="396"/>
        <v>3.7770041489818301E-2</v>
      </c>
      <c r="I207" s="356">
        <f t="shared" si="396"/>
        <v>6.19768644785103E-2</v>
      </c>
      <c r="J207" s="356">
        <f t="shared" si="396"/>
        <v>0.29629156010230179</v>
      </c>
      <c r="K207" s="356">
        <f t="shared" si="396"/>
        <v>0.14466040620222756</v>
      </c>
      <c r="L207" s="356">
        <f t="shared" si="396"/>
        <v>6.56014244880746E-2</v>
      </c>
      <c r="M207" s="356">
        <f t="shared" si="396"/>
        <v>0.10720055892755775</v>
      </c>
      <c r="N207" s="356">
        <f t="shared" si="396"/>
        <v>4.5648179164640264E-2</v>
      </c>
      <c r="O207" s="356">
        <f t="shared" si="396"/>
        <v>6.3798768241662349E-2</v>
      </c>
      <c r="P207" s="356">
        <f t="shared" si="396"/>
        <v>0.11402122988131651</v>
      </c>
      <c r="Q207" s="356">
        <f t="shared" si="396"/>
        <v>9.9588174500683066E-2</v>
      </c>
      <c r="R207" s="356">
        <f t="shared" si="396"/>
        <v>0.17789149911979255</v>
      </c>
      <c r="S207" s="356">
        <f t="shared" si="396"/>
        <v>2.9886997820816118E-2</v>
      </c>
      <c r="T207" s="356">
        <f t="shared" si="396"/>
        <v>4.0319063985310127E-2</v>
      </c>
      <c r="U207" s="356"/>
      <c r="V207" s="745">
        <f>T207</f>
        <v>4.0319063985310127E-2</v>
      </c>
      <c r="W207" s="745">
        <f t="shared" ref="W207:Y207" si="397">V207</f>
        <v>4.0319063985310127E-2</v>
      </c>
      <c r="X207" s="745">
        <f t="shared" si="397"/>
        <v>4.0319063985310127E-2</v>
      </c>
      <c r="Y207" s="745">
        <f t="shared" si="397"/>
        <v>4.0319063985310127E-2</v>
      </c>
      <c r="Z207" s="745">
        <f t="shared" ref="Z207" si="398">Y207</f>
        <v>4.0319063985310127E-2</v>
      </c>
      <c r="AA207" s="745">
        <f t="shared" ref="AA207" si="399">Z207</f>
        <v>4.0319063985310127E-2</v>
      </c>
      <c r="AB207" s="347"/>
      <c r="AC207" s="347"/>
      <c r="AD207" s="347"/>
      <c r="AG207" s="347"/>
      <c r="AH207" s="347" t="s">
        <v>175</v>
      </c>
      <c r="AI207" s="364">
        <f>SUM(AI195:AI204)</f>
        <v>0</v>
      </c>
      <c r="BY207" s="486"/>
      <c r="BZ207" s="487"/>
    </row>
    <row r="208" spans="1:78" s="349" customFormat="1" ht="13">
      <c r="A208" s="870"/>
      <c r="B208" s="637"/>
      <c r="AB208" s="347"/>
      <c r="AC208" s="347"/>
      <c r="AD208" s="347"/>
      <c r="AE208" s="347"/>
      <c r="AF208" s="347"/>
      <c r="AG208" s="347"/>
      <c r="AH208" s="347"/>
      <c r="BY208" s="486"/>
      <c r="BZ208" s="487"/>
    </row>
    <row r="209" spans="1:78" s="349" customFormat="1" ht="13">
      <c r="A209" s="870"/>
      <c r="B209" s="483" t="s">
        <v>737</v>
      </c>
      <c r="C209" s="485">
        <f>C$2</f>
        <v>2007</v>
      </c>
      <c r="D209" s="485">
        <f t="shared" ref="D209:AA209" si="400">D$2</f>
        <v>2008</v>
      </c>
      <c r="E209" s="485">
        <f t="shared" si="400"/>
        <v>2009</v>
      </c>
      <c r="F209" s="485">
        <f t="shared" si="400"/>
        <v>2010</v>
      </c>
      <c r="G209" s="485">
        <f t="shared" si="400"/>
        <v>2011</v>
      </c>
      <c r="H209" s="485">
        <f t="shared" si="400"/>
        <v>2012</v>
      </c>
      <c r="I209" s="485">
        <f t="shared" si="400"/>
        <v>2013</v>
      </c>
      <c r="J209" s="485">
        <f t="shared" si="400"/>
        <v>2014</v>
      </c>
      <c r="K209" s="485">
        <f t="shared" si="400"/>
        <v>2015</v>
      </c>
      <c r="L209" s="485">
        <f t="shared" si="400"/>
        <v>2016</v>
      </c>
      <c r="M209" s="485">
        <f t="shared" si="400"/>
        <v>2017</v>
      </c>
      <c r="N209" s="485">
        <f t="shared" si="400"/>
        <v>2018</v>
      </c>
      <c r="O209" s="485">
        <f t="shared" si="400"/>
        <v>2019</v>
      </c>
      <c r="P209" s="485">
        <f t="shared" si="400"/>
        <v>2020</v>
      </c>
      <c r="Q209" s="485">
        <f t="shared" si="400"/>
        <v>2021</v>
      </c>
      <c r="R209" s="485">
        <f t="shared" si="400"/>
        <v>2022</v>
      </c>
      <c r="S209" s="485">
        <f t="shared" si="400"/>
        <v>2023</v>
      </c>
      <c r="T209" s="485">
        <f t="shared" si="400"/>
        <v>2024</v>
      </c>
      <c r="U209" s="485"/>
      <c r="V209" s="485">
        <f t="shared" si="400"/>
        <v>2025</v>
      </c>
      <c r="W209" s="485">
        <f t="shared" si="400"/>
        <v>2026</v>
      </c>
      <c r="X209" s="485">
        <f t="shared" si="400"/>
        <v>2027</v>
      </c>
      <c r="Y209" s="485">
        <f t="shared" si="400"/>
        <v>2028</v>
      </c>
      <c r="Z209" s="485">
        <f t="shared" si="400"/>
        <v>2029</v>
      </c>
      <c r="AA209" s="485">
        <f t="shared" si="400"/>
        <v>2030</v>
      </c>
      <c r="AB209" s="347"/>
      <c r="AC209" s="347"/>
      <c r="AD209" s="347"/>
      <c r="AE209" s="347"/>
      <c r="AF209" s="347"/>
      <c r="AG209" s="347"/>
      <c r="AH209" s="347"/>
      <c r="BY209" s="486"/>
      <c r="BZ209" s="487"/>
    </row>
    <row r="210" spans="1:78" s="349" customFormat="1" ht="13">
      <c r="A210" s="870"/>
      <c r="B210" s="414"/>
      <c r="C210" s="399"/>
      <c r="D210" s="399"/>
      <c r="E210" s="399"/>
      <c r="F210" s="399"/>
      <c r="G210" s="399"/>
      <c r="H210" s="399"/>
      <c r="I210" s="399"/>
      <c r="J210" s="399"/>
      <c r="K210" s="399"/>
      <c r="L210" s="399"/>
      <c r="M210" s="399"/>
      <c r="N210" s="399"/>
      <c r="O210" s="399"/>
      <c r="P210" s="399"/>
      <c r="Q210" s="399"/>
      <c r="R210" s="399"/>
      <c r="S210" s="399"/>
      <c r="T210" s="399"/>
      <c r="U210" s="399"/>
      <c r="V210" s="399"/>
      <c r="W210" s="399"/>
      <c r="X210" s="399"/>
      <c r="Y210" s="399"/>
      <c r="Z210" s="399"/>
      <c r="AA210" s="399"/>
      <c r="AB210" s="347"/>
      <c r="AC210" s="347"/>
      <c r="AD210" s="347"/>
      <c r="AE210" s="347"/>
      <c r="AF210" s="347"/>
      <c r="AG210" s="347"/>
      <c r="AH210" s="347"/>
      <c r="BY210" s="486"/>
      <c r="BZ210" s="487"/>
    </row>
    <row r="211" spans="1:78" s="349" customFormat="1" ht="13">
      <c r="A211" s="870"/>
      <c r="B211" s="453" t="s">
        <v>739</v>
      </c>
      <c r="C211" s="752"/>
      <c r="D211" s="752"/>
      <c r="E211" s="752"/>
      <c r="F211" s="752"/>
      <c r="G211" s="752"/>
      <c r="H211" s="752"/>
      <c r="I211" s="752"/>
      <c r="J211" s="752"/>
      <c r="K211" s="752"/>
      <c r="L211" s="752"/>
      <c r="M211" s="752"/>
      <c r="N211" s="752"/>
      <c r="O211" s="752">
        <f>N213</f>
        <v>1248.9590000000001</v>
      </c>
      <c r="P211" s="752">
        <f t="shared" ref="P211:Y211" si="401">O213</f>
        <v>1997.4880000000001</v>
      </c>
      <c r="Q211" s="752">
        <f t="shared" si="401"/>
        <v>4666.5450000000001</v>
      </c>
      <c r="R211" s="752">
        <f t="shared" si="401"/>
        <v>4531.3270000000002</v>
      </c>
      <c r="S211" s="752">
        <f t="shared" si="401"/>
        <v>5296.5649999999996</v>
      </c>
      <c r="T211" s="752">
        <f t="shared" si="401"/>
        <v>6022.8360000000002</v>
      </c>
      <c r="U211" s="752"/>
      <c r="V211" s="752">
        <f>U213</f>
        <v>9093.4310000000005</v>
      </c>
      <c r="W211" s="752">
        <f t="shared" si="401"/>
        <v>9093.4310000000005</v>
      </c>
      <c r="X211" s="752">
        <f t="shared" si="401"/>
        <v>9093.4310000000005</v>
      </c>
      <c r="Y211" s="752">
        <f t="shared" si="401"/>
        <v>9093.4310000000005</v>
      </c>
      <c r="Z211" s="752">
        <f t="shared" ref="Z211" si="402">Y213</f>
        <v>9093.4310000000005</v>
      </c>
      <c r="AA211" s="752">
        <f t="shared" ref="AA211" si="403">Z213</f>
        <v>9093.4310000000005</v>
      </c>
      <c r="AB211" s="347"/>
      <c r="AC211" s="347"/>
      <c r="AD211" s="347"/>
      <c r="AE211" s="347"/>
      <c r="AF211" s="347"/>
      <c r="AG211" s="364"/>
      <c r="AH211" s="364"/>
      <c r="BY211" s="486"/>
      <c r="BZ211" s="487"/>
    </row>
    <row r="212" spans="1:78" s="349" customFormat="1" ht="13">
      <c r="A212" s="870"/>
      <c r="B212" s="453" t="s">
        <v>740</v>
      </c>
      <c r="C212" s="752"/>
      <c r="D212" s="752"/>
      <c r="E212" s="752"/>
      <c r="F212" s="752"/>
      <c r="G212" s="752"/>
      <c r="H212" s="752"/>
      <c r="I212" s="752"/>
      <c r="J212" s="752"/>
      <c r="K212" s="752"/>
      <c r="L212" s="752"/>
      <c r="M212" s="752"/>
      <c r="N212" s="752"/>
      <c r="O212" s="752">
        <f>O213-O211</f>
        <v>748.529</v>
      </c>
      <c r="P212" s="752">
        <f t="shared" ref="P212:R212" si="404">P213-P211</f>
        <v>2669.0569999999998</v>
      </c>
      <c r="Q212" s="752">
        <f t="shared" si="404"/>
        <v>-135.21799999999985</v>
      </c>
      <c r="R212" s="752">
        <f t="shared" si="404"/>
        <v>765.23799999999937</v>
      </c>
      <c r="S212" s="752">
        <f t="shared" ref="S212:T212" si="405">S213-S211</f>
        <v>726.27100000000064</v>
      </c>
      <c r="T212" s="752">
        <f t="shared" si="405"/>
        <v>-653.96500000000015</v>
      </c>
      <c r="U212" s="752"/>
      <c r="V212" s="814">
        <v>0</v>
      </c>
      <c r="W212" s="814">
        <v>0</v>
      </c>
      <c r="X212" s="814">
        <v>0</v>
      </c>
      <c r="Y212" s="814">
        <v>0</v>
      </c>
      <c r="Z212" s="814">
        <v>0</v>
      </c>
      <c r="AA212" s="814">
        <v>0</v>
      </c>
      <c r="AB212" s="347"/>
      <c r="AC212" s="347"/>
      <c r="AD212" s="347"/>
      <c r="AE212" s="347"/>
      <c r="AF212" s="347"/>
      <c r="AG212" s="364"/>
      <c r="AH212" s="364"/>
      <c r="BY212" s="486"/>
      <c r="BZ212" s="487"/>
    </row>
    <row r="213" spans="1:78" s="349" customFormat="1" ht="13">
      <c r="A213" s="870"/>
      <c r="B213" s="747" t="s">
        <v>741</v>
      </c>
      <c r="C213" s="753"/>
      <c r="D213" s="753"/>
      <c r="E213" s="753"/>
      <c r="F213" s="753"/>
      <c r="G213" s="753"/>
      <c r="H213" s="753"/>
      <c r="I213" s="753"/>
      <c r="J213" s="753"/>
      <c r="K213" s="753"/>
      <c r="L213" s="753"/>
      <c r="M213" s="753"/>
      <c r="N213" s="816">
        <v>1248.9590000000001</v>
      </c>
      <c r="O213" s="816">
        <v>1997.4880000000001</v>
      </c>
      <c r="P213" s="816">
        <v>4666.5450000000001</v>
      </c>
      <c r="Q213" s="816">
        <v>4531.3270000000002</v>
      </c>
      <c r="R213" s="816">
        <v>5296.5649999999996</v>
      </c>
      <c r="S213" s="816">
        <v>6022.8360000000002</v>
      </c>
      <c r="T213" s="816">
        <f>Inputs!BO85</f>
        <v>5368.8710000000001</v>
      </c>
      <c r="U213" s="816">
        <f>U201</f>
        <v>9093.4310000000005</v>
      </c>
      <c r="V213" s="817">
        <f t="shared" ref="V213" si="406">V211+V212</f>
        <v>9093.4310000000005</v>
      </c>
      <c r="W213" s="817">
        <f t="shared" ref="W213" si="407">W211+W212</f>
        <v>9093.4310000000005</v>
      </c>
      <c r="X213" s="817">
        <f t="shared" ref="X213" si="408">X211+X212</f>
        <v>9093.4310000000005</v>
      </c>
      <c r="Y213" s="817">
        <f t="shared" ref="Y213:AA213" si="409">Y211+Y212</f>
        <v>9093.4310000000005</v>
      </c>
      <c r="Z213" s="817">
        <f t="shared" si="409"/>
        <v>9093.4310000000005</v>
      </c>
      <c r="AA213" s="817">
        <f t="shared" si="409"/>
        <v>9093.4310000000005</v>
      </c>
      <c r="AB213" s="347"/>
      <c r="AC213" s="347"/>
      <c r="AD213" s="347"/>
      <c r="AE213" s="347"/>
      <c r="AF213" s="347"/>
      <c r="AG213" s="364"/>
      <c r="AH213" s="364"/>
      <c r="BY213" s="486"/>
      <c r="BZ213" s="487"/>
    </row>
    <row r="214" spans="1:78" s="349" customFormat="1" ht="13">
      <c r="A214" s="870"/>
      <c r="B214" s="407"/>
      <c r="I214" s="347"/>
      <c r="J214" s="347"/>
      <c r="K214" s="347"/>
      <c r="L214" s="347"/>
      <c r="M214" s="347"/>
      <c r="N214" s="347"/>
      <c r="O214" s="347"/>
      <c r="P214" s="347"/>
      <c r="Q214" s="347"/>
      <c r="R214" s="347"/>
      <c r="S214" s="347"/>
      <c r="T214" s="347"/>
      <c r="U214" s="347"/>
      <c r="V214" s="347"/>
      <c r="W214" s="347"/>
      <c r="X214" s="347"/>
      <c r="Y214" s="347"/>
      <c r="Z214" s="347"/>
      <c r="AA214" s="347"/>
      <c r="AB214" s="347"/>
      <c r="AC214" s="347"/>
      <c r="AD214" s="347"/>
      <c r="AE214" s="347"/>
      <c r="AF214" s="347"/>
      <c r="AG214" s="364"/>
      <c r="AH214" s="364"/>
      <c r="BY214" s="486"/>
      <c r="BZ214" s="487"/>
    </row>
    <row r="215" spans="1:78" s="349" customFormat="1" ht="13">
      <c r="A215" s="870"/>
      <c r="B215" s="483" t="s">
        <v>738</v>
      </c>
      <c r="C215" s="485">
        <f>C$2</f>
        <v>2007</v>
      </c>
      <c r="D215" s="485">
        <f t="shared" ref="D215:AA215" si="410">D$2</f>
        <v>2008</v>
      </c>
      <c r="E215" s="485">
        <f t="shared" si="410"/>
        <v>2009</v>
      </c>
      <c r="F215" s="485">
        <f t="shared" si="410"/>
        <v>2010</v>
      </c>
      <c r="G215" s="485">
        <f t="shared" si="410"/>
        <v>2011</v>
      </c>
      <c r="H215" s="485">
        <f t="shared" si="410"/>
        <v>2012</v>
      </c>
      <c r="I215" s="485">
        <f t="shared" si="410"/>
        <v>2013</v>
      </c>
      <c r="J215" s="485">
        <f t="shared" si="410"/>
        <v>2014</v>
      </c>
      <c r="K215" s="485">
        <f t="shared" si="410"/>
        <v>2015</v>
      </c>
      <c r="L215" s="485">
        <f t="shared" si="410"/>
        <v>2016</v>
      </c>
      <c r="M215" s="485">
        <f t="shared" si="410"/>
        <v>2017</v>
      </c>
      <c r="N215" s="485">
        <f t="shared" si="410"/>
        <v>2018</v>
      </c>
      <c r="O215" s="485">
        <f t="shared" si="410"/>
        <v>2019</v>
      </c>
      <c r="P215" s="485">
        <f t="shared" si="410"/>
        <v>2020</v>
      </c>
      <c r="Q215" s="485">
        <f t="shared" si="410"/>
        <v>2021</v>
      </c>
      <c r="R215" s="485">
        <f t="shared" si="410"/>
        <v>2022</v>
      </c>
      <c r="S215" s="485">
        <f t="shared" si="410"/>
        <v>2023</v>
      </c>
      <c r="T215" s="485">
        <f t="shared" si="410"/>
        <v>2024</v>
      </c>
      <c r="U215" s="485"/>
      <c r="V215" s="485">
        <f t="shared" si="410"/>
        <v>2025</v>
      </c>
      <c r="W215" s="485">
        <f t="shared" si="410"/>
        <v>2026</v>
      </c>
      <c r="X215" s="485">
        <f t="shared" si="410"/>
        <v>2027</v>
      </c>
      <c r="Y215" s="485">
        <f t="shared" si="410"/>
        <v>2028</v>
      </c>
      <c r="Z215" s="485">
        <f t="shared" si="410"/>
        <v>2029</v>
      </c>
      <c r="AA215" s="485">
        <f t="shared" si="410"/>
        <v>2030</v>
      </c>
      <c r="AB215" s="347"/>
      <c r="AC215" s="347"/>
      <c r="AD215" s="347"/>
      <c r="AE215" s="347"/>
      <c r="AF215" s="347"/>
      <c r="AG215" s="364"/>
      <c r="AH215" s="364"/>
      <c r="BY215" s="486"/>
      <c r="BZ215" s="487"/>
    </row>
    <row r="216" spans="1:78" s="349" customFormat="1" ht="13">
      <c r="A216" s="870"/>
      <c r="B216" s="414"/>
      <c r="C216" s="399"/>
      <c r="D216" s="399"/>
      <c r="E216" s="399"/>
      <c r="F216" s="399"/>
      <c r="G216" s="399"/>
      <c r="H216" s="399"/>
      <c r="I216" s="399"/>
      <c r="J216" s="399"/>
      <c r="K216" s="399"/>
      <c r="L216" s="399"/>
      <c r="M216" s="399"/>
      <c r="N216" s="399"/>
      <c r="O216" s="399"/>
      <c r="P216" s="399"/>
      <c r="Q216" s="399"/>
      <c r="R216" s="399"/>
      <c r="S216" s="399"/>
      <c r="T216" s="399"/>
      <c r="U216" s="399"/>
      <c r="V216" s="756">
        <f>V69</f>
        <v>-11591.975327770302</v>
      </c>
      <c r="W216" s="756">
        <f t="shared" ref="W216:AA216" si="411">W69</f>
        <v>306.31330466965107</v>
      </c>
      <c r="X216" s="756">
        <f t="shared" si="411"/>
        <v>-134.91704675582071</v>
      </c>
      <c r="Y216" s="756">
        <f t="shared" si="411"/>
        <v>-96.810761582082364</v>
      </c>
      <c r="Z216" s="756">
        <f t="shared" si="411"/>
        <v>-358.09502536426282</v>
      </c>
      <c r="AA216" s="756">
        <f t="shared" si="411"/>
        <v>-805.99231804640715</v>
      </c>
      <c r="AB216" s="347"/>
      <c r="AC216" s="347"/>
      <c r="AD216" s="347"/>
      <c r="AE216" s="347"/>
      <c r="AF216" s="347"/>
      <c r="AG216" s="364"/>
      <c r="AH216" s="364"/>
      <c r="BY216" s="486"/>
      <c r="BZ216" s="487"/>
    </row>
    <row r="217" spans="1:78" s="349" customFormat="1" ht="13">
      <c r="A217" s="870"/>
      <c r="B217" s="453" t="s">
        <v>739</v>
      </c>
      <c r="C217" s="752"/>
      <c r="D217" s="752"/>
      <c r="E217" s="752"/>
      <c r="F217" s="752"/>
      <c r="G217" s="752"/>
      <c r="H217" s="752"/>
      <c r="I217" s="752"/>
      <c r="J217" s="752"/>
      <c r="K217" s="752"/>
      <c r="L217" s="752"/>
      <c r="M217" s="752"/>
      <c r="N217" s="752"/>
      <c r="O217" s="752">
        <f>N220</f>
        <v>9258.3320000000003</v>
      </c>
      <c r="P217" s="752">
        <f t="shared" ref="P217:Q217" si="412">O220</f>
        <v>12122.37</v>
      </c>
      <c r="Q217" s="752">
        <f t="shared" si="412"/>
        <v>19613.02</v>
      </c>
      <c r="R217" s="752">
        <f t="shared" ref="R217:Y217" si="413">Q220</f>
        <v>20845.080000000002</v>
      </c>
      <c r="S217" s="752">
        <f t="shared" si="413"/>
        <v>26553.293000000001</v>
      </c>
      <c r="T217" s="752">
        <f t="shared" si="413"/>
        <v>29790.61</v>
      </c>
      <c r="U217" s="752"/>
      <c r="V217" s="752">
        <f>U220</f>
        <v>31075.835999999999</v>
      </c>
      <c r="W217" s="752">
        <f t="shared" si="413"/>
        <v>28609.707758514131</v>
      </c>
      <c r="X217" s="752">
        <f t="shared" si="413"/>
        <v>25864.451492868262</v>
      </c>
      <c r="Y217" s="752">
        <f t="shared" si="413"/>
        <v>22999.512458579458</v>
      </c>
      <c r="Z217" s="752">
        <f t="shared" ref="Z217" si="414">Y220</f>
        <v>20009.844572217778</v>
      </c>
      <c r="AA217" s="752">
        <f t="shared" ref="AA217" si="415">Z220</f>
        <v>16890.189389841413</v>
      </c>
      <c r="AB217" s="347"/>
      <c r="AC217" s="347"/>
      <c r="AD217" s="347"/>
      <c r="AE217" s="347"/>
      <c r="AF217" s="347"/>
      <c r="AG217" s="364"/>
      <c r="AH217" s="364"/>
      <c r="BY217" s="486"/>
      <c r="BZ217" s="487"/>
    </row>
    <row r="218" spans="1:78" s="349" customFormat="1" ht="13">
      <c r="A218" s="870"/>
      <c r="B218" s="748" t="s">
        <v>968</v>
      </c>
      <c r="C218" s="752"/>
      <c r="D218" s="752"/>
      <c r="E218" s="752"/>
      <c r="F218" s="752"/>
      <c r="G218" s="752"/>
      <c r="H218" s="752"/>
      <c r="I218" s="752"/>
      <c r="J218" s="752"/>
      <c r="K218" s="752"/>
      <c r="L218" s="752"/>
      <c r="M218" s="752"/>
      <c r="N218" s="752"/>
      <c r="O218" s="752"/>
      <c r="P218" s="752"/>
      <c r="Q218" s="752">
        <f>Q220-Q219-Q217</f>
        <v>4706.7780000000021</v>
      </c>
      <c r="R218" s="752">
        <f>R220-R219-R217</f>
        <v>9870.6319999999978</v>
      </c>
      <c r="S218" s="752">
        <f>S220-S219-S217</f>
        <v>7564.5640000000021</v>
      </c>
      <c r="T218" s="752">
        <f>T220-T219-T217</f>
        <v>3183.3269999999975</v>
      </c>
      <c r="U218" s="752"/>
      <c r="V218" s="752">
        <f t="shared" ref="V218:AA218" si="416">V222*V$416</f>
        <v>3397.9284665573091</v>
      </c>
      <c r="W218" s="752">
        <f t="shared" si="416"/>
        <v>3782.5220343823503</v>
      </c>
      <c r="X218" s="752">
        <f t="shared" si="416"/>
        <v>3947.4256592981405</v>
      </c>
      <c r="Y218" s="752">
        <f t="shared" si="416"/>
        <v>4119.2819763905927</v>
      </c>
      <c r="Z218" s="752">
        <f t="shared" si="416"/>
        <v>4298.3835843235947</v>
      </c>
      <c r="AA218" s="752">
        <f t="shared" si="416"/>
        <v>4485.0355073716846</v>
      </c>
      <c r="AB218" s="347"/>
      <c r="AC218" s="347"/>
      <c r="AD218" s="347"/>
      <c r="AE218" s="347"/>
      <c r="AF218" s="347"/>
      <c r="AG218" s="364"/>
      <c r="AH218" s="364"/>
      <c r="BY218" s="486"/>
      <c r="BZ218" s="487"/>
    </row>
    <row r="219" spans="1:78" s="349" customFormat="1" ht="13">
      <c r="A219" s="870"/>
      <c r="B219" s="748" t="s">
        <v>1037</v>
      </c>
      <c r="C219" s="752"/>
      <c r="D219" s="752"/>
      <c r="E219" s="752"/>
      <c r="F219" s="752"/>
      <c r="G219" s="752"/>
      <c r="H219" s="752"/>
      <c r="I219" s="752"/>
      <c r="J219" s="752"/>
      <c r="K219" s="752"/>
      <c r="L219" s="752"/>
      <c r="M219" s="752"/>
      <c r="N219" s="752"/>
      <c r="O219" s="752"/>
      <c r="P219" s="752"/>
      <c r="Q219" s="801">
        <v>-3474.7179999999998</v>
      </c>
      <c r="R219" s="801">
        <v>-4162.4189999999999</v>
      </c>
      <c r="S219" s="801">
        <v>-4327.2470000000003</v>
      </c>
      <c r="T219" s="801">
        <v>-4748.17</v>
      </c>
      <c r="U219" s="801"/>
      <c r="V219" s="752">
        <f t="shared" ref="V219:AA219" si="417">-V223*V$416</f>
        <v>-5864.0567080431802</v>
      </c>
      <c r="W219" s="752">
        <f t="shared" si="417"/>
        <v>-6527.778300028217</v>
      </c>
      <c r="X219" s="752">
        <f t="shared" si="417"/>
        <v>-6812.3646935869438</v>
      </c>
      <c r="Y219" s="752">
        <f t="shared" si="417"/>
        <v>-7108.9498627522735</v>
      </c>
      <c r="Z219" s="752">
        <f t="shared" si="417"/>
        <v>-7418.0387666999595</v>
      </c>
      <c r="AA219" s="752">
        <f t="shared" si="417"/>
        <v>-7740.1578084019357</v>
      </c>
      <c r="AB219" s="347"/>
      <c r="AC219" s="347" t="s">
        <v>983</v>
      </c>
      <c r="AD219" s="347"/>
      <c r="AE219" s="347"/>
      <c r="AF219" s="347"/>
      <c r="AG219" s="364"/>
      <c r="AH219" s="364"/>
      <c r="BY219" s="486"/>
      <c r="BZ219" s="487"/>
    </row>
    <row r="220" spans="1:78" s="349" customFormat="1" ht="13">
      <c r="A220" s="870"/>
      <c r="B220" s="747" t="s">
        <v>741</v>
      </c>
      <c r="C220" s="753"/>
      <c r="D220" s="753"/>
      <c r="E220" s="753"/>
      <c r="F220" s="753"/>
      <c r="G220" s="753"/>
      <c r="H220" s="753"/>
      <c r="I220" s="753"/>
      <c r="J220" s="753"/>
      <c r="K220" s="753"/>
      <c r="L220" s="753"/>
      <c r="M220" s="753"/>
      <c r="N220" s="816">
        <v>9258.3320000000003</v>
      </c>
      <c r="O220" s="816">
        <v>12122.37</v>
      </c>
      <c r="P220" s="816">
        <v>19613.02</v>
      </c>
      <c r="Q220" s="816">
        <v>20845.080000000002</v>
      </c>
      <c r="R220" s="816">
        <v>26553.293000000001</v>
      </c>
      <c r="S220" s="816">
        <v>29790.61</v>
      </c>
      <c r="T220" s="816">
        <f>Inputs!BO92</f>
        <v>28225.767</v>
      </c>
      <c r="U220" s="816">
        <f>U202</f>
        <v>31075.835999999999</v>
      </c>
      <c r="V220" s="817">
        <f t="shared" ref="V220:AA220" si="418">SUM(V217:V219)</f>
        <v>28609.707758514131</v>
      </c>
      <c r="W220" s="817">
        <f t="shared" si="418"/>
        <v>25864.451492868262</v>
      </c>
      <c r="X220" s="817">
        <f t="shared" si="418"/>
        <v>22999.512458579458</v>
      </c>
      <c r="Y220" s="817">
        <f t="shared" si="418"/>
        <v>20009.844572217778</v>
      </c>
      <c r="Z220" s="817">
        <f t="shared" si="418"/>
        <v>16890.189389841413</v>
      </c>
      <c r="AA220" s="817">
        <f t="shared" si="418"/>
        <v>13635.067088811164</v>
      </c>
      <c r="AB220" s="347"/>
      <c r="AC220" s="347"/>
      <c r="AD220" s="347"/>
      <c r="AE220" s="347"/>
      <c r="AF220" s="347"/>
      <c r="AG220" s="364"/>
      <c r="AH220" s="364"/>
      <c r="BY220" s="486"/>
      <c r="BZ220" s="487"/>
    </row>
    <row r="221" spans="1:78" s="349" customFormat="1" ht="13">
      <c r="A221" s="870"/>
      <c r="B221" s="407"/>
      <c r="I221" s="347"/>
      <c r="J221" s="347"/>
      <c r="K221" s="347"/>
      <c r="L221" s="347"/>
      <c r="M221" s="347"/>
      <c r="N221" s="347"/>
      <c r="O221" s="347"/>
      <c r="P221" s="347"/>
      <c r="Q221" s="347"/>
      <c r="R221" s="347"/>
      <c r="S221" s="347"/>
      <c r="T221" s="347"/>
      <c r="U221" s="347"/>
      <c r="V221" s="347"/>
      <c r="W221" s="347"/>
      <c r="X221" s="347"/>
      <c r="Y221" s="347"/>
      <c r="Z221" s="347"/>
      <c r="AA221" s="347"/>
      <c r="AB221" s="347"/>
      <c r="AC221" s="347"/>
      <c r="AD221" s="347"/>
      <c r="AE221" s="347"/>
      <c r="AF221" s="347"/>
      <c r="AG221" s="364"/>
      <c r="AH221" s="364"/>
      <c r="BY221" s="486"/>
      <c r="BZ221" s="487"/>
    </row>
    <row r="222" spans="1:78" s="349" customFormat="1" ht="13">
      <c r="A222" s="870"/>
      <c r="B222" s="407" t="s">
        <v>979</v>
      </c>
      <c r="I222" s="347"/>
      <c r="J222" s="347"/>
      <c r="K222" s="347"/>
      <c r="L222" s="347"/>
      <c r="M222" s="347"/>
      <c r="N222" s="347"/>
      <c r="O222" s="347"/>
      <c r="P222" s="347"/>
      <c r="Q222" s="353">
        <f>Q218/Q$416</f>
        <v>0.17592768197712128</v>
      </c>
      <c r="R222" s="353">
        <f>R218/R$416</f>
        <v>0.33870818860233093</v>
      </c>
      <c r="S222" s="353">
        <f>S218/S$416</f>
        <v>0.23403290775871077</v>
      </c>
      <c r="T222" s="353">
        <f>T218/T$416</f>
        <v>9.2561185803613527E-2</v>
      </c>
      <c r="U222" s="353"/>
      <c r="V222" s="595">
        <v>0.08</v>
      </c>
      <c r="W222" s="595">
        <f t="shared" ref="W222:AA223" si="419">V222</f>
        <v>0.08</v>
      </c>
      <c r="X222" s="595">
        <f t="shared" si="419"/>
        <v>0.08</v>
      </c>
      <c r="Y222" s="595">
        <f t="shared" si="419"/>
        <v>0.08</v>
      </c>
      <c r="Z222" s="595">
        <f t="shared" si="419"/>
        <v>0.08</v>
      </c>
      <c r="AA222" s="595">
        <f t="shared" si="419"/>
        <v>0.08</v>
      </c>
      <c r="AB222" s="347"/>
      <c r="AC222" s="347" t="s">
        <v>1505</v>
      </c>
      <c r="AD222" s="347"/>
      <c r="AE222" s="347"/>
      <c r="AF222" s="347"/>
      <c r="AG222" s="364"/>
      <c r="AH222" s="364"/>
      <c r="BY222" s="486"/>
      <c r="BZ222" s="487"/>
    </row>
    <row r="223" spans="1:78" s="349" customFormat="1" ht="13">
      <c r="A223" s="870"/>
      <c r="B223" s="407" t="s">
        <v>980</v>
      </c>
      <c r="I223" s="347"/>
      <c r="J223" s="347"/>
      <c r="K223" s="347"/>
      <c r="L223" s="347"/>
      <c r="M223" s="347"/>
      <c r="N223" s="347"/>
      <c r="O223" s="347"/>
      <c r="P223" s="347"/>
      <c r="Q223" s="353">
        <f>-Q219/Q$416</f>
        <v>0.12987633647989741</v>
      </c>
      <c r="R223" s="353">
        <f>-R219/R$416</f>
        <v>0.14283233329881267</v>
      </c>
      <c r="S223" s="353">
        <f>-S219/S$416</f>
        <v>0.13387661179152663</v>
      </c>
      <c r="T223" s="353">
        <f>-T219/T$416</f>
        <v>0.13806192250973398</v>
      </c>
      <c r="U223" s="353"/>
      <c r="V223" s="595">
        <f>T223</f>
        <v>0.13806192250973398</v>
      </c>
      <c r="W223" s="595">
        <f>V223</f>
        <v>0.13806192250973398</v>
      </c>
      <c r="X223" s="595">
        <f t="shared" si="419"/>
        <v>0.13806192250973398</v>
      </c>
      <c r="Y223" s="595">
        <f t="shared" si="419"/>
        <v>0.13806192250973398</v>
      </c>
      <c r="Z223" s="595">
        <f t="shared" si="419"/>
        <v>0.13806192250973398</v>
      </c>
      <c r="AA223" s="595">
        <f t="shared" si="419"/>
        <v>0.13806192250973398</v>
      </c>
      <c r="AB223" s="347"/>
      <c r="AC223" s="347"/>
      <c r="AD223" s="347"/>
      <c r="AE223" s="347"/>
      <c r="AF223" s="347"/>
      <c r="AG223" s="364"/>
      <c r="AH223" s="364"/>
      <c r="BY223" s="486"/>
      <c r="BZ223" s="487"/>
    </row>
    <row r="224" spans="1:78" s="349" customFormat="1" ht="13">
      <c r="A224" s="870"/>
      <c r="B224" s="407"/>
      <c r="I224" s="347"/>
      <c r="J224" s="347"/>
      <c r="K224" s="347"/>
      <c r="L224" s="347"/>
      <c r="M224" s="347"/>
      <c r="N224" s="347"/>
      <c r="O224" s="347"/>
      <c r="P224" s="347"/>
      <c r="Q224" s="347"/>
      <c r="R224" s="347"/>
      <c r="S224" s="347"/>
      <c r="T224" s="347"/>
      <c r="U224" s="347"/>
      <c r="V224" s="347"/>
      <c r="W224" s="347"/>
      <c r="X224" s="347"/>
      <c r="Y224" s="347"/>
      <c r="Z224" s="347"/>
      <c r="AA224" s="347"/>
      <c r="AB224" s="347"/>
      <c r="AC224" s="347"/>
      <c r="AD224" s="347"/>
      <c r="AE224" s="347"/>
      <c r="AF224" s="347"/>
      <c r="AG224" s="364"/>
      <c r="AH224" s="364"/>
      <c r="BY224" s="486"/>
      <c r="BZ224" s="487"/>
    </row>
    <row r="225" spans="1:78" s="349" customFormat="1" ht="13">
      <c r="A225" s="870"/>
      <c r="B225" s="414" t="s">
        <v>1036</v>
      </c>
      <c r="I225" s="347"/>
      <c r="J225" s="347"/>
      <c r="K225" s="347"/>
      <c r="L225" s="347"/>
      <c r="M225" s="347"/>
      <c r="N225" s="347"/>
      <c r="O225" s="347"/>
      <c r="P225" s="347"/>
      <c r="Q225" s="347"/>
      <c r="R225" s="347"/>
      <c r="S225" s="347"/>
      <c r="T225" s="347"/>
      <c r="U225" s="347"/>
      <c r="V225" s="347"/>
      <c r="W225" s="347"/>
      <c r="X225" s="347"/>
      <c r="Y225" s="347"/>
      <c r="Z225" s="347"/>
      <c r="AA225" s="347"/>
      <c r="AB225" s="347"/>
      <c r="AC225" s="347"/>
      <c r="AD225" s="347"/>
      <c r="AE225" s="347"/>
      <c r="AF225" s="347"/>
      <c r="AG225" s="364"/>
      <c r="AH225" s="364"/>
      <c r="BY225" s="486"/>
      <c r="BZ225" s="487"/>
    </row>
    <row r="226" spans="1:78" s="349" customFormat="1" ht="13">
      <c r="A226" s="870"/>
      <c r="B226" s="407" t="s">
        <v>1038</v>
      </c>
      <c r="I226" s="347"/>
      <c r="J226" s="347"/>
      <c r="K226" s="347"/>
      <c r="L226" s="347"/>
      <c r="M226" s="347"/>
      <c r="N226" s="347"/>
      <c r="O226" s="347"/>
      <c r="P226" s="347"/>
      <c r="Q226" s="347">
        <f>-Q219</f>
        <v>3474.7179999999998</v>
      </c>
      <c r="R226" s="347">
        <f t="shared" ref="R226:AA226" si="420">-R219</f>
        <v>4162.4189999999999</v>
      </c>
      <c r="S226" s="347">
        <f t="shared" si="420"/>
        <v>4327.2470000000003</v>
      </c>
      <c r="T226" s="347">
        <f t="shared" ref="T226" si="421">-T219</f>
        <v>4748.17</v>
      </c>
      <c r="U226" s="347"/>
      <c r="V226" s="347">
        <f t="shared" si="420"/>
        <v>5864.0567080431802</v>
      </c>
      <c r="W226" s="347">
        <f t="shared" si="420"/>
        <v>6527.778300028217</v>
      </c>
      <c r="X226" s="347">
        <f t="shared" si="420"/>
        <v>6812.3646935869438</v>
      </c>
      <c r="Y226" s="347">
        <f t="shared" si="420"/>
        <v>7108.9498627522735</v>
      </c>
      <c r="Z226" s="347">
        <f t="shared" si="420"/>
        <v>7418.0387666999595</v>
      </c>
      <c r="AA226" s="347">
        <f t="shared" si="420"/>
        <v>7740.1578084019357</v>
      </c>
      <c r="AB226" s="347"/>
      <c r="AC226" s="347" t="s">
        <v>181</v>
      </c>
      <c r="AD226" s="347"/>
      <c r="AE226" s="347"/>
      <c r="AF226" s="347"/>
      <c r="AG226" s="364"/>
      <c r="AH226" s="364"/>
      <c r="BY226" s="486"/>
      <c r="BZ226" s="487"/>
    </row>
    <row r="227" spans="1:78" s="349" customFormat="1" ht="13">
      <c r="A227" s="870"/>
      <c r="B227" s="407" t="s">
        <v>969</v>
      </c>
      <c r="I227" s="347"/>
      <c r="J227" s="347"/>
      <c r="K227" s="347"/>
      <c r="L227" s="347"/>
      <c r="M227" s="347"/>
      <c r="N227" s="347"/>
      <c r="O227" s="347"/>
      <c r="P227" s="347"/>
      <c r="Q227" s="347">
        <f>Q184</f>
        <v>1713.8820000000001</v>
      </c>
      <c r="R227" s="347">
        <f>R184</f>
        <v>1762.6389999999999</v>
      </c>
      <c r="S227" s="347">
        <f>S184</f>
        <v>2167.0279999999998</v>
      </c>
      <c r="T227" s="347">
        <f>T184</f>
        <v>2174.46</v>
      </c>
      <c r="U227" s="347"/>
      <c r="V227" s="347">
        <f t="shared" ref="V227:AA227" si="422">V184</f>
        <v>2233.6614802725089</v>
      </c>
      <c r="W227" s="347">
        <f t="shared" si="422"/>
        <v>2276.3700590017866</v>
      </c>
      <c r="X227" s="347">
        <f t="shared" si="422"/>
        <v>2100.6103409854245</v>
      </c>
      <c r="Y227" s="347">
        <f t="shared" si="422"/>
        <v>1917.1935423791174</v>
      </c>
      <c r="Z227" s="347">
        <f t="shared" si="422"/>
        <v>1725.7968364846265</v>
      </c>
      <c r="AA227" s="347">
        <f t="shared" si="422"/>
        <v>1526.0838081496511</v>
      </c>
      <c r="AB227" s="347"/>
      <c r="AC227" s="347" t="s">
        <v>1039</v>
      </c>
      <c r="AD227" s="347"/>
      <c r="AE227" s="347"/>
      <c r="AF227" s="347"/>
      <c r="AG227" s="364"/>
      <c r="AH227" s="364"/>
      <c r="BY227" s="486"/>
      <c r="BZ227" s="487"/>
    </row>
    <row r="228" spans="1:78" s="349" customFormat="1" ht="13">
      <c r="A228" s="870"/>
      <c r="B228" s="462" t="s">
        <v>1036</v>
      </c>
      <c r="C228" s="868"/>
      <c r="D228" s="868"/>
      <c r="E228" s="868"/>
      <c r="F228" s="868"/>
      <c r="G228" s="868"/>
      <c r="H228" s="868"/>
      <c r="I228" s="521"/>
      <c r="J228" s="521"/>
      <c r="K228" s="521"/>
      <c r="L228" s="521"/>
      <c r="M228" s="521"/>
      <c r="N228" s="521"/>
      <c r="O228" s="521"/>
      <c r="P228" s="521"/>
      <c r="Q228" s="526">
        <f>Q226+Q227</f>
        <v>5188.6000000000004</v>
      </c>
      <c r="R228" s="526">
        <f t="shared" ref="R228:AA228" si="423">R226+R227</f>
        <v>5925.058</v>
      </c>
      <c r="S228" s="526">
        <f t="shared" si="423"/>
        <v>6494.2749999999996</v>
      </c>
      <c r="T228" s="526">
        <f t="shared" ref="T228" si="424">T226+T227</f>
        <v>6922.63</v>
      </c>
      <c r="U228" s="526"/>
      <c r="V228" s="526">
        <f t="shared" si="423"/>
        <v>8097.7181883156891</v>
      </c>
      <c r="W228" s="526">
        <f t="shared" si="423"/>
        <v>8804.1483590300031</v>
      </c>
      <c r="X228" s="526">
        <f t="shared" si="423"/>
        <v>8912.9750345723678</v>
      </c>
      <c r="Y228" s="526">
        <f t="shared" si="423"/>
        <v>9026.1434051313918</v>
      </c>
      <c r="Z228" s="526">
        <f t="shared" si="423"/>
        <v>9143.8356031845869</v>
      </c>
      <c r="AA228" s="526">
        <f t="shared" si="423"/>
        <v>9266.241616551586</v>
      </c>
      <c r="AB228" s="347"/>
      <c r="AC228" s="347"/>
      <c r="AD228" s="347"/>
      <c r="AE228" s="347"/>
      <c r="AF228" s="347"/>
      <c r="AG228" s="364"/>
      <c r="AH228" s="364"/>
      <c r="BY228" s="486"/>
      <c r="BZ228" s="487"/>
    </row>
    <row r="229" spans="1:78" s="349" customFormat="1" ht="13">
      <c r="A229" s="870"/>
      <c r="B229" s="407"/>
      <c r="I229" s="347"/>
      <c r="J229" s="347"/>
      <c r="K229" s="347"/>
      <c r="L229" s="347"/>
      <c r="M229" s="347"/>
      <c r="N229" s="347"/>
      <c r="O229" s="347"/>
      <c r="P229" s="347"/>
      <c r="Q229" s="347"/>
      <c r="R229" s="347"/>
      <c r="S229" s="347"/>
      <c r="T229" s="347"/>
      <c r="U229" s="347"/>
      <c r="V229" s="347"/>
      <c r="W229" s="347"/>
      <c r="X229" s="347"/>
      <c r="Y229" s="347"/>
      <c r="Z229" s="347"/>
      <c r="AA229" s="347"/>
      <c r="AB229" s="347"/>
      <c r="AC229" s="347"/>
      <c r="AD229" s="347"/>
      <c r="AE229" s="347"/>
      <c r="AF229" s="347"/>
      <c r="AG229" s="364"/>
      <c r="AH229" s="364"/>
      <c r="BY229" s="486"/>
      <c r="BZ229" s="487"/>
    </row>
    <row r="230" spans="1:78" s="349" customFormat="1" ht="13">
      <c r="A230" s="870"/>
      <c r="B230" s="407"/>
      <c r="I230" s="347"/>
      <c r="J230" s="347"/>
      <c r="K230" s="347"/>
      <c r="L230" s="347"/>
      <c r="M230" s="347"/>
      <c r="N230" s="347"/>
      <c r="O230" s="347"/>
      <c r="P230" s="347"/>
      <c r="Q230" s="347"/>
      <c r="R230" s="347"/>
      <c r="S230" s="347"/>
      <c r="T230" s="347"/>
      <c r="U230" s="347"/>
      <c r="V230" s="347"/>
      <c r="W230" s="347"/>
      <c r="X230" s="347"/>
      <c r="Y230" s="347"/>
      <c r="Z230" s="347"/>
      <c r="AA230" s="347"/>
      <c r="AB230" s="347"/>
      <c r="AC230" s="347"/>
      <c r="AD230" s="347"/>
      <c r="AE230" s="347"/>
      <c r="AF230" s="347"/>
      <c r="AG230" s="364"/>
      <c r="AH230" s="364"/>
      <c r="BY230" s="486"/>
      <c r="BZ230" s="487"/>
    </row>
    <row r="231" spans="1:78" s="349" customFormat="1" ht="13">
      <c r="A231" s="870"/>
      <c r="B231" s="483" t="s">
        <v>177</v>
      </c>
      <c r="C231" s="485">
        <f>C$2</f>
        <v>2007</v>
      </c>
      <c r="D231" s="485">
        <f t="shared" ref="D231:AA231" si="425">D$2</f>
        <v>2008</v>
      </c>
      <c r="E231" s="485">
        <f t="shared" si="425"/>
        <v>2009</v>
      </c>
      <c r="F231" s="485">
        <f t="shared" si="425"/>
        <v>2010</v>
      </c>
      <c r="G231" s="485">
        <f t="shared" si="425"/>
        <v>2011</v>
      </c>
      <c r="H231" s="485">
        <f t="shared" si="425"/>
        <v>2012</v>
      </c>
      <c r="I231" s="485">
        <f t="shared" si="425"/>
        <v>2013</v>
      </c>
      <c r="J231" s="485">
        <f t="shared" si="425"/>
        <v>2014</v>
      </c>
      <c r="K231" s="485">
        <f t="shared" si="425"/>
        <v>2015</v>
      </c>
      <c r="L231" s="485">
        <f t="shared" si="425"/>
        <v>2016</v>
      </c>
      <c r="M231" s="485">
        <f t="shared" si="425"/>
        <v>2017</v>
      </c>
      <c r="N231" s="485">
        <f t="shared" si="425"/>
        <v>2018</v>
      </c>
      <c r="O231" s="485">
        <f t="shared" si="425"/>
        <v>2019</v>
      </c>
      <c r="P231" s="485">
        <f t="shared" si="425"/>
        <v>2020</v>
      </c>
      <c r="Q231" s="485">
        <f t="shared" si="425"/>
        <v>2021</v>
      </c>
      <c r="R231" s="485">
        <f t="shared" si="425"/>
        <v>2022</v>
      </c>
      <c r="S231" s="485">
        <f t="shared" si="425"/>
        <v>2023</v>
      </c>
      <c r="T231" s="485">
        <f t="shared" si="425"/>
        <v>2024</v>
      </c>
      <c r="U231" s="485"/>
      <c r="V231" s="485">
        <f t="shared" si="425"/>
        <v>2025</v>
      </c>
      <c r="W231" s="485">
        <f t="shared" si="425"/>
        <v>2026</v>
      </c>
      <c r="X231" s="485">
        <f t="shared" si="425"/>
        <v>2027</v>
      </c>
      <c r="Y231" s="485">
        <f t="shared" si="425"/>
        <v>2028</v>
      </c>
      <c r="Z231" s="485">
        <f t="shared" si="425"/>
        <v>2029</v>
      </c>
      <c r="AA231" s="485">
        <f t="shared" si="425"/>
        <v>2030</v>
      </c>
      <c r="AB231" s="364"/>
      <c r="AC231" s="364"/>
      <c r="AD231" s="364"/>
      <c r="AE231" s="364"/>
      <c r="AF231" s="364"/>
      <c r="AG231" s="347"/>
      <c r="AH231" s="347"/>
      <c r="BY231" s="486"/>
      <c r="BZ231" s="487"/>
    </row>
    <row r="232" spans="1:78" s="349" customFormat="1" ht="13">
      <c r="A232" s="870"/>
      <c r="B232" s="407"/>
      <c r="I232" s="347"/>
      <c r="J232" s="347"/>
      <c r="K232" s="347"/>
      <c r="L232" s="347"/>
      <c r="M232" s="347"/>
      <c r="N232" s="347"/>
      <c r="O232" s="347"/>
      <c r="P232" s="347"/>
      <c r="Q232" s="347"/>
      <c r="R232" s="347"/>
      <c r="S232" s="347"/>
      <c r="T232" s="347"/>
      <c r="U232" s="347"/>
      <c r="V232" s="347"/>
      <c r="W232" s="347"/>
      <c r="X232" s="347"/>
      <c r="Y232" s="347"/>
      <c r="Z232" s="347"/>
      <c r="AA232" s="347"/>
      <c r="AB232" s="347"/>
      <c r="AC232" s="347"/>
      <c r="AD232" s="347"/>
      <c r="AE232" s="347"/>
      <c r="AF232" s="347"/>
      <c r="AG232" s="347"/>
      <c r="AH232" s="347"/>
      <c r="BY232" s="486"/>
      <c r="BZ232" s="487"/>
    </row>
    <row r="233" spans="1:78" s="349" customFormat="1" ht="13">
      <c r="A233" s="870"/>
      <c r="B233" s="407" t="s">
        <v>178</v>
      </c>
      <c r="C233" s="636">
        <v>0</v>
      </c>
      <c r="D233" s="636">
        <v>0</v>
      </c>
      <c r="E233" s="636">
        <v>0</v>
      </c>
      <c r="F233" s="636">
        <v>0</v>
      </c>
      <c r="G233" s="636">
        <v>0</v>
      </c>
      <c r="H233" s="636">
        <v>0</v>
      </c>
      <c r="I233" s="636">
        <v>0</v>
      </c>
      <c r="J233" s="636">
        <v>0</v>
      </c>
      <c r="K233" s="636">
        <v>0</v>
      </c>
      <c r="L233" s="636">
        <v>0</v>
      </c>
      <c r="M233" s="636">
        <v>0</v>
      </c>
      <c r="N233" s="636">
        <v>0</v>
      </c>
      <c r="O233" s="636">
        <v>0</v>
      </c>
      <c r="P233" s="636">
        <v>0</v>
      </c>
      <c r="Q233" s="636">
        <v>0</v>
      </c>
      <c r="R233" s="354">
        <v>0</v>
      </c>
      <c r="S233" s="354">
        <v>0</v>
      </c>
      <c r="T233" s="354">
        <v>0</v>
      </c>
      <c r="U233" s="354"/>
      <c r="V233" s="354">
        <v>0</v>
      </c>
      <c r="W233" s="354">
        <v>0</v>
      </c>
      <c r="X233" s="354">
        <v>0</v>
      </c>
      <c r="Y233" s="354">
        <v>0</v>
      </c>
      <c r="Z233" s="354">
        <v>0</v>
      </c>
      <c r="AA233" s="354">
        <v>0</v>
      </c>
      <c r="AB233" s="347"/>
      <c r="AC233" s="347"/>
      <c r="AD233" s="347"/>
      <c r="AE233" s="347"/>
      <c r="AF233" s="347"/>
      <c r="AG233" s="347"/>
      <c r="AH233" s="347"/>
      <c r="BY233" s="486"/>
      <c r="BZ233" s="487"/>
    </row>
    <row r="234" spans="1:78" s="349" customFormat="1" ht="13">
      <c r="A234" s="870"/>
      <c r="B234" s="407" t="s">
        <v>68</v>
      </c>
      <c r="C234" s="356"/>
      <c r="D234" s="356"/>
      <c r="E234" s="356"/>
      <c r="F234" s="356"/>
      <c r="G234" s="356"/>
      <c r="H234" s="356"/>
      <c r="I234" s="356"/>
      <c r="J234" s="356"/>
      <c r="K234" s="356"/>
      <c r="L234" s="356"/>
      <c r="M234" s="356"/>
      <c r="N234" s="356"/>
      <c r="O234" s="356"/>
      <c r="P234" s="356"/>
      <c r="Q234" s="356"/>
      <c r="R234" s="356"/>
      <c r="S234" s="356"/>
      <c r="T234" s="356"/>
      <c r="U234" s="356"/>
      <c r="V234" s="356"/>
      <c r="W234" s="356"/>
      <c r="X234" s="356"/>
      <c r="Y234" s="356"/>
      <c r="Z234" s="356"/>
      <c r="AA234" s="356"/>
      <c r="AB234" s="347"/>
      <c r="AC234" s="347"/>
      <c r="AD234" s="347"/>
      <c r="AE234" s="347"/>
      <c r="AF234" s="347"/>
      <c r="AG234" s="347"/>
      <c r="AH234" s="347"/>
      <c r="BY234" s="486"/>
      <c r="BZ234" s="487"/>
    </row>
    <row r="235" spans="1:78" s="349" customFormat="1" ht="13">
      <c r="A235" s="870"/>
      <c r="B235" s="407"/>
      <c r="AB235" s="347"/>
      <c r="AC235" s="347"/>
      <c r="AD235" s="347"/>
      <c r="AE235" s="347"/>
      <c r="AF235" s="347"/>
      <c r="AG235" s="347"/>
      <c r="AH235" s="347"/>
      <c r="BY235" s="486"/>
      <c r="BZ235" s="487"/>
    </row>
    <row r="236" spans="1:78" s="349" customFormat="1" ht="13">
      <c r="A236" s="870"/>
      <c r="B236" s="407" t="s">
        <v>179</v>
      </c>
      <c r="C236" s="636">
        <v>0</v>
      </c>
      <c r="D236" s="636">
        <v>0</v>
      </c>
      <c r="E236" s="636">
        <v>0</v>
      </c>
      <c r="F236" s="636">
        <v>0</v>
      </c>
      <c r="G236" s="636">
        <v>0</v>
      </c>
      <c r="H236" s="636">
        <v>0</v>
      </c>
      <c r="I236" s="636">
        <v>0</v>
      </c>
      <c r="J236" s="636">
        <v>0</v>
      </c>
      <c r="K236" s="636">
        <v>0</v>
      </c>
      <c r="L236" s="636">
        <v>0</v>
      </c>
      <c r="M236" s="636">
        <v>0</v>
      </c>
      <c r="N236" s="636">
        <v>0</v>
      </c>
      <c r="O236" s="636">
        <v>0</v>
      </c>
      <c r="P236" s="636">
        <v>0</v>
      </c>
      <c r="Q236" s="636">
        <v>0</v>
      </c>
      <c r="R236" s="354">
        <v>0</v>
      </c>
      <c r="S236" s="354">
        <v>0</v>
      </c>
      <c r="T236" s="354">
        <v>0</v>
      </c>
      <c r="U236" s="354"/>
      <c r="V236" s="354">
        <v>0</v>
      </c>
      <c r="W236" s="354">
        <v>0</v>
      </c>
      <c r="X236" s="354">
        <v>0</v>
      </c>
      <c r="Y236" s="354">
        <v>0</v>
      </c>
      <c r="Z236" s="354">
        <v>0</v>
      </c>
      <c r="AA236" s="354">
        <v>0</v>
      </c>
      <c r="AB236" s="347"/>
      <c r="AC236" s="347"/>
      <c r="AD236" s="347"/>
      <c r="AE236" s="347"/>
      <c r="AF236" s="347"/>
      <c r="AG236" s="347"/>
      <c r="AH236" s="347"/>
      <c r="BY236" s="486"/>
      <c r="BZ236" s="487"/>
    </row>
    <row r="237" spans="1:78" s="349" customFormat="1" ht="13">
      <c r="A237" s="870"/>
      <c r="B237" s="407"/>
      <c r="AB237" s="347"/>
      <c r="AC237" s="347"/>
      <c r="AD237" s="347"/>
      <c r="AE237" s="347"/>
      <c r="AF237" s="347"/>
      <c r="AG237" s="347"/>
      <c r="AH237" s="347"/>
      <c r="BY237" s="486"/>
      <c r="BZ237" s="487"/>
    </row>
    <row r="238" spans="1:78" s="349" customFormat="1" ht="13">
      <c r="A238" s="870"/>
      <c r="B238" s="407"/>
      <c r="K238" s="532"/>
      <c r="AB238" s="347"/>
      <c r="AC238" s="347"/>
      <c r="AD238" s="347"/>
      <c r="AE238" s="347"/>
      <c r="AF238" s="347"/>
      <c r="AG238" s="364"/>
      <c r="AH238" s="364"/>
      <c r="BY238" s="486"/>
      <c r="BZ238" s="487"/>
    </row>
    <row r="239" spans="1:78" s="349" customFormat="1" ht="13">
      <c r="A239" s="870"/>
      <c r="B239" s="407"/>
      <c r="K239" s="532"/>
      <c r="AB239" s="347"/>
      <c r="AC239" s="347"/>
      <c r="AD239" s="347"/>
      <c r="AE239" s="347"/>
      <c r="AF239" s="347"/>
      <c r="AG239" s="364"/>
      <c r="AH239" s="364"/>
      <c r="BY239" s="486"/>
      <c r="BZ239" s="487"/>
    </row>
    <row r="240" spans="1:78" s="349" customFormat="1" ht="13">
      <c r="A240" s="870"/>
      <c r="B240" s="483" t="s">
        <v>180</v>
      </c>
      <c r="C240" s="485">
        <f>C$2</f>
        <v>2007</v>
      </c>
      <c r="D240" s="485">
        <f t="shared" ref="D240:S240" si="426">C240+1</f>
        <v>2008</v>
      </c>
      <c r="E240" s="485">
        <f t="shared" si="426"/>
        <v>2009</v>
      </c>
      <c r="F240" s="485">
        <f t="shared" si="426"/>
        <v>2010</v>
      </c>
      <c r="G240" s="485">
        <f t="shared" si="426"/>
        <v>2011</v>
      </c>
      <c r="H240" s="485">
        <f t="shared" si="426"/>
        <v>2012</v>
      </c>
      <c r="I240" s="485">
        <f t="shared" si="426"/>
        <v>2013</v>
      </c>
      <c r="J240" s="485">
        <f t="shared" si="426"/>
        <v>2014</v>
      </c>
      <c r="K240" s="485">
        <f t="shared" si="426"/>
        <v>2015</v>
      </c>
      <c r="L240" s="485">
        <f t="shared" si="426"/>
        <v>2016</v>
      </c>
      <c r="M240" s="485">
        <f t="shared" si="426"/>
        <v>2017</v>
      </c>
      <c r="N240" s="485">
        <f t="shared" si="426"/>
        <v>2018</v>
      </c>
      <c r="O240" s="485">
        <f t="shared" si="426"/>
        <v>2019</v>
      </c>
      <c r="P240" s="485">
        <f t="shared" si="426"/>
        <v>2020</v>
      </c>
      <c r="Q240" s="485">
        <f t="shared" si="426"/>
        <v>2021</v>
      </c>
      <c r="R240" s="485">
        <f t="shared" si="426"/>
        <v>2022</v>
      </c>
      <c r="S240" s="485">
        <f t="shared" si="426"/>
        <v>2023</v>
      </c>
      <c r="T240" s="485">
        <f t="shared" ref="T240:Y240" si="427">S240+1</f>
        <v>2024</v>
      </c>
      <c r="U240" s="485"/>
      <c r="V240" s="485">
        <f>T240+1</f>
        <v>2025</v>
      </c>
      <c r="W240" s="485">
        <f t="shared" si="427"/>
        <v>2026</v>
      </c>
      <c r="X240" s="485">
        <f t="shared" si="427"/>
        <v>2027</v>
      </c>
      <c r="Y240" s="485">
        <f t="shared" si="427"/>
        <v>2028</v>
      </c>
      <c r="Z240" s="485">
        <f t="shared" ref="Z240" si="428">Y240+1</f>
        <v>2029</v>
      </c>
      <c r="AA240" s="485">
        <f t="shared" ref="AA240" si="429">Z240+1</f>
        <v>2030</v>
      </c>
      <c r="AB240" s="364"/>
      <c r="AC240" s="364"/>
      <c r="AD240" s="364"/>
      <c r="AE240" s="364"/>
      <c r="AF240" s="364"/>
      <c r="AG240" s="347"/>
      <c r="AH240" s="347"/>
      <c r="BY240" s="486"/>
      <c r="BZ240" s="487"/>
    </row>
    <row r="241" spans="1:78" s="349" customFormat="1" ht="13">
      <c r="A241" s="870"/>
      <c r="B241" s="407" t="s">
        <v>113</v>
      </c>
      <c r="C241" s="636">
        <v>59</v>
      </c>
      <c r="D241" s="636">
        <v>128</v>
      </c>
      <c r="E241" s="636">
        <v>20</v>
      </c>
      <c r="F241" s="636">
        <v>61</v>
      </c>
      <c r="G241" s="636">
        <v>66</v>
      </c>
      <c r="H241" s="636">
        <v>50</v>
      </c>
      <c r="I241" s="636">
        <v>50.705803805617819</v>
      </c>
      <c r="J241" s="636">
        <v>77</v>
      </c>
      <c r="K241" s="636">
        <v>79</v>
      </c>
      <c r="L241" s="636">
        <v>161</v>
      </c>
      <c r="M241" s="636">
        <v>143</v>
      </c>
      <c r="N241" s="636">
        <v>189.06299999999999</v>
      </c>
      <c r="O241" s="636">
        <v>74.608000000000004</v>
      </c>
      <c r="P241" s="636">
        <v>143.37700000000001</v>
      </c>
      <c r="Q241" s="636">
        <v>156.44</v>
      </c>
      <c r="R241" s="636">
        <v>408.178</v>
      </c>
      <c r="S241" s="636">
        <v>377.88400000000001</v>
      </c>
      <c r="T241" s="636">
        <f>Inputs!BO52</f>
        <v>193.554</v>
      </c>
      <c r="U241" s="636"/>
      <c r="V241" s="354">
        <f>V242*'Income Statement'!CO236</f>
        <v>239.0419113192219</v>
      </c>
      <c r="W241" s="354">
        <f>W242*'Income Statement'!CP236</f>
        <v>266.09780211821851</v>
      </c>
      <c r="X241" s="354">
        <f>X242*'Income Statement'!CQ236</f>
        <v>277.69865777816028</v>
      </c>
      <c r="Y241" s="354">
        <f>Y242*'Income Statement'!CR236</f>
        <v>289.78863051136619</v>
      </c>
      <c r="Z241" s="354">
        <f>Z242*'Income Statement'!CS236</f>
        <v>302.38830443093741</v>
      </c>
      <c r="AA241" s="354">
        <f>AA242*'Income Statement'!CT236</f>
        <v>315.51913778306766</v>
      </c>
      <c r="AB241" s="347"/>
      <c r="AC241" s="347"/>
      <c r="AD241" s="347"/>
      <c r="AE241" s="347"/>
      <c r="AF241" s="347"/>
      <c r="AG241" s="347"/>
      <c r="AH241" s="347"/>
      <c r="BY241" s="486"/>
      <c r="BZ241" s="487"/>
    </row>
    <row r="242" spans="1:78" s="349" customFormat="1" ht="13">
      <c r="A242" s="870"/>
      <c r="B242" s="407" t="s">
        <v>181</v>
      </c>
      <c r="C242" s="353">
        <f>C241/'Income Statement'!C236</f>
        <v>7.3842302878598248E-3</v>
      </c>
      <c r="D242" s="353">
        <f>D241/'Income Statement'!H236</f>
        <v>1.061242831429038E-2</v>
      </c>
      <c r="E242" s="353">
        <f>E241/'Income Statement'!M236</f>
        <v>1.4591084847158386E-3</v>
      </c>
      <c r="F242" s="353">
        <f>F241/'Income Statement'!R236</f>
        <v>3.4936998854524629E-3</v>
      </c>
      <c r="G242" s="353">
        <f>G241/'Income Statement'!W236</f>
        <v>3.6140619866389225E-3</v>
      </c>
      <c r="H242" s="353">
        <f>H241/'Income Statement'!AB236</f>
        <v>2.3844723162764082E-3</v>
      </c>
      <c r="I242" s="353">
        <f>I241/'Income Statement'!AG236</f>
        <v>2.3843601902387764E-3</v>
      </c>
      <c r="J242" s="353">
        <f>J241/'Income Statement'!AL236</f>
        <v>3.2821824381926682E-3</v>
      </c>
      <c r="K242" s="353">
        <f>K241/'Income Statement'!AQ236</f>
        <v>3.4505350513212491E-3</v>
      </c>
      <c r="L242" s="353">
        <f>L241/'Income Statement'!AV236</f>
        <v>7.5441638161285792E-3</v>
      </c>
      <c r="M242" s="353">
        <f>M241/'Income Statement'!BA236</f>
        <v>6.2442688092223045E-3</v>
      </c>
      <c r="N242" s="353">
        <f>N241/'Income Statement'!BF236</f>
        <v>8.2420571736670587E-3</v>
      </c>
      <c r="O242" s="353">
        <f>O241/'Income Statement'!BK236</f>
        <v>2.9685449148389529E-3</v>
      </c>
      <c r="P242" s="353">
        <f>P241/'Income Statement'!BP236</f>
        <v>5.5125716600289247E-3</v>
      </c>
      <c r="Q242" s="353">
        <f>Q241/'Income Statement'!BU236</f>
        <v>5.847339001011061E-3</v>
      </c>
      <c r="R242" s="353">
        <f>R241/'Income Statement'!BZ236</f>
        <v>1.4006522683382611E-2</v>
      </c>
      <c r="S242" s="353">
        <f>S241/'Income Statement'!CE236</f>
        <v>1.1690996508918776E-2</v>
      </c>
      <c r="T242" s="353">
        <f>T241/'Income Statement'!CJ236</f>
        <v>5.627944523774223E-3</v>
      </c>
      <c r="U242" s="353"/>
      <c r="V242" s="430">
        <f>T242</f>
        <v>5.627944523774223E-3</v>
      </c>
      <c r="W242" s="430">
        <f t="shared" ref="W242:Y242" si="430">V242</f>
        <v>5.627944523774223E-3</v>
      </c>
      <c r="X242" s="430">
        <f t="shared" si="430"/>
        <v>5.627944523774223E-3</v>
      </c>
      <c r="Y242" s="430">
        <f t="shared" si="430"/>
        <v>5.627944523774223E-3</v>
      </c>
      <c r="Z242" s="430">
        <f t="shared" ref="Z242" si="431">Y242</f>
        <v>5.627944523774223E-3</v>
      </c>
      <c r="AA242" s="430">
        <f t="shared" ref="AA242" si="432">Z242</f>
        <v>5.627944523774223E-3</v>
      </c>
      <c r="AB242" s="347"/>
      <c r="AC242" s="347"/>
      <c r="AD242" s="347"/>
      <c r="AE242" s="347"/>
      <c r="AF242" s="347"/>
      <c r="AG242" s="347"/>
      <c r="AH242" s="347"/>
      <c r="BY242" s="486"/>
      <c r="BZ242" s="487"/>
    </row>
    <row r="243" spans="1:78" s="349" customFormat="1" ht="13">
      <c r="A243" s="870"/>
      <c r="B243" s="407" t="s">
        <v>182</v>
      </c>
      <c r="C243" s="354"/>
      <c r="D243" s="354">
        <f t="shared" ref="D243:T243" si="433">D241-C241</f>
        <v>69</v>
      </c>
      <c r="E243" s="354">
        <f t="shared" si="433"/>
        <v>-108</v>
      </c>
      <c r="F243" s="354">
        <f t="shared" si="433"/>
        <v>41</v>
      </c>
      <c r="G243" s="354">
        <f t="shared" si="433"/>
        <v>5</v>
      </c>
      <c r="H243" s="354">
        <f t="shared" si="433"/>
        <v>-16</v>
      </c>
      <c r="I243" s="354">
        <f t="shared" si="433"/>
        <v>0.70580380561781908</v>
      </c>
      <c r="J243" s="354">
        <f t="shared" si="433"/>
        <v>26.294196194382181</v>
      </c>
      <c r="K243" s="354">
        <f t="shared" si="433"/>
        <v>2</v>
      </c>
      <c r="L243" s="354">
        <f t="shared" si="433"/>
        <v>82</v>
      </c>
      <c r="M243" s="354">
        <f t="shared" si="433"/>
        <v>-18</v>
      </c>
      <c r="N243" s="354">
        <f t="shared" si="433"/>
        <v>46.062999999999988</v>
      </c>
      <c r="O243" s="354">
        <f t="shared" si="433"/>
        <v>-114.45499999999998</v>
      </c>
      <c r="P243" s="354">
        <f t="shared" si="433"/>
        <v>68.769000000000005</v>
      </c>
      <c r="Q243" s="354">
        <f t="shared" si="433"/>
        <v>13.062999999999988</v>
      </c>
      <c r="R243" s="354">
        <f t="shared" si="433"/>
        <v>251.738</v>
      </c>
      <c r="S243" s="354">
        <f t="shared" si="433"/>
        <v>-30.293999999999983</v>
      </c>
      <c r="T243" s="354">
        <f t="shared" si="433"/>
        <v>-184.33</v>
      </c>
      <c r="U243" s="354"/>
      <c r="V243" s="354">
        <f>V241-T241</f>
        <v>45.487911319221894</v>
      </c>
      <c r="W243" s="354">
        <f t="shared" ref="W243:Y243" si="434">W241-V241</f>
        <v>27.055890798996614</v>
      </c>
      <c r="X243" s="354">
        <f t="shared" si="434"/>
        <v>11.600855659941772</v>
      </c>
      <c r="Y243" s="354">
        <f t="shared" si="434"/>
        <v>12.089972733205911</v>
      </c>
      <c r="Z243" s="354">
        <f t="shared" ref="Z243" si="435">Z241-Y241</f>
        <v>12.599673919571217</v>
      </c>
      <c r="AA243" s="354">
        <f t="shared" ref="AA243" si="436">AA241-Z241</f>
        <v>13.130833352130253</v>
      </c>
      <c r="AB243" s="347"/>
      <c r="AC243" s="347"/>
      <c r="AD243" s="347"/>
      <c r="AE243" s="347"/>
      <c r="AF243" s="347"/>
      <c r="AG243" s="347"/>
      <c r="AH243" s="347"/>
      <c r="BY243" s="486"/>
      <c r="BZ243" s="487"/>
    </row>
    <row r="244" spans="1:78" s="349" customFormat="1" ht="13">
      <c r="A244" s="870"/>
      <c r="B244" s="407" t="s">
        <v>522</v>
      </c>
      <c r="C244" s="636">
        <v>814</v>
      </c>
      <c r="D244" s="636">
        <v>1903</v>
      </c>
      <c r="E244" s="636">
        <v>1239</v>
      </c>
      <c r="F244" s="636">
        <v>1801</v>
      </c>
      <c r="G244" s="636">
        <v>2323</v>
      </c>
      <c r="H244" s="636">
        <v>2817</v>
      </c>
      <c r="I244" s="636">
        <v>4475.2941961943825</v>
      </c>
      <c r="J244" s="636">
        <v>6282</v>
      </c>
      <c r="K244" s="636">
        <f>4012+849</f>
        <v>4861</v>
      </c>
      <c r="L244" s="636">
        <f>4021+614</f>
        <v>4635</v>
      </c>
      <c r="M244" s="636">
        <f>531+3463</f>
        <v>3994</v>
      </c>
      <c r="N244" s="636">
        <f>430.741+3814.077</f>
        <v>4244.8180000000002</v>
      </c>
      <c r="O244" s="636">
        <f>410.947+3966.614</f>
        <v>4377.5609999999997</v>
      </c>
      <c r="P244" s="636">
        <f>301.003+3493.843</f>
        <v>3794.846</v>
      </c>
      <c r="Q244" s="636">
        <f>3795.549+335.437</f>
        <v>4130.9859999999999</v>
      </c>
      <c r="R244" s="636">
        <f>3708.021+491.557</f>
        <v>4199.5780000000004</v>
      </c>
      <c r="S244" s="636">
        <f>4125.471+870.104</f>
        <v>4995.5749999999998</v>
      </c>
      <c r="T244" s="636">
        <f>Inputs!BO47+Inputs!BO56</f>
        <v>5336.09</v>
      </c>
      <c r="U244" s="636"/>
      <c r="V244" s="354">
        <f>V245*'Income Statement'!CO236</f>
        <v>6590.1461740464501</v>
      </c>
      <c r="W244" s="354">
        <f>W245*'Income Statement'!CP236</f>
        <v>7336.049995892643</v>
      </c>
      <c r="X244" s="354">
        <f>X245*'Income Statement'!CQ236</f>
        <v>7655.8739720360372</v>
      </c>
      <c r="Y244" s="354">
        <f>Y245*'Income Statement'!CR236</f>
        <v>7989.1824162011426</v>
      </c>
      <c r="Z244" s="354">
        <f>Z245*'Income Statement'!CS236</f>
        <v>8336.5428117780084</v>
      </c>
      <c r="AA244" s="354">
        <f>AA245*'Income Statement'!CT236</f>
        <v>8698.5467411308964</v>
      </c>
      <c r="AB244" s="347"/>
      <c r="AC244" s="347"/>
      <c r="AD244" s="347"/>
      <c r="AE244" s="347"/>
      <c r="AF244" s="347"/>
      <c r="AG244" s="347"/>
      <c r="AH244" s="347"/>
      <c r="BY244" s="486"/>
      <c r="BZ244" s="487"/>
    </row>
    <row r="245" spans="1:78" s="349" customFormat="1" ht="13">
      <c r="A245" s="870"/>
      <c r="B245" s="407" t="s">
        <v>181</v>
      </c>
      <c r="C245" s="353">
        <f>C244/'Income Statement'!C236</f>
        <v>0.10187734668335419</v>
      </c>
      <c r="D245" s="353">
        <f>D244/'Income Statement'!H236</f>
        <v>0.15777696157886403</v>
      </c>
      <c r="E245" s="353">
        <f>E244/'Income Statement'!M236</f>
        <v>9.0391770628146198E-2</v>
      </c>
      <c r="F245" s="353">
        <f>F244/'Income Statement'!R236</f>
        <v>0.10315005727376861</v>
      </c>
      <c r="G245" s="353">
        <f>G244/'Income Statement'!W236</f>
        <v>0.12720403022670027</v>
      </c>
      <c r="H245" s="353">
        <f>H244/'Income Statement'!AB236</f>
        <v>0.13434117029901282</v>
      </c>
      <c r="I245" s="353">
        <f>I244/'Income Statement'!AG236</f>
        <v>0.21044362814795367</v>
      </c>
      <c r="J245" s="353">
        <f>J244/'Income Statement'!AL236</f>
        <v>0.26777493606138109</v>
      </c>
      <c r="K245" s="353">
        <f>K244/'Income Statement'!AQ236</f>
        <v>0.21231709980345054</v>
      </c>
      <c r="L245" s="353">
        <f>L244/'Income Statement'!AV236</f>
        <v>0.21718757321587553</v>
      </c>
      <c r="M245" s="353">
        <f>M244/'Income Statement'!BA236</f>
        <v>0.17440286450373346</v>
      </c>
      <c r="N245" s="353">
        <f>N244/'Income Statement'!BF236</f>
        <v>0.18504960065063528</v>
      </c>
      <c r="O245" s="353">
        <f>O244/'Income Statement'!BK236</f>
        <v>0.17417685028344573</v>
      </c>
      <c r="P245" s="353">
        <f>P244/'Income Statement'!BP236</f>
        <v>0.1459045768412934</v>
      </c>
      <c r="Q245" s="353">
        <f>Q244/'Income Statement'!BU236</f>
        <v>0.15440600581967961</v>
      </c>
      <c r="R245" s="353">
        <f>R244/'Income Statement'!BZ236</f>
        <v>0.14410743478980884</v>
      </c>
      <c r="S245" s="353">
        <f>S244/'Income Statement'!CE236</f>
        <v>0.15455338115676215</v>
      </c>
      <c r="T245" s="353">
        <f>T244/'Income Statement'!CJ236</f>
        <v>0.15515679600455889</v>
      </c>
      <c r="U245" s="353"/>
      <c r="V245" s="428">
        <f>T245</f>
        <v>0.15515679600455889</v>
      </c>
      <c r="W245" s="428">
        <f t="shared" ref="W245:Y245" si="437">V245</f>
        <v>0.15515679600455889</v>
      </c>
      <c r="X245" s="428">
        <f t="shared" si="437"/>
        <v>0.15515679600455889</v>
      </c>
      <c r="Y245" s="428">
        <f t="shared" si="437"/>
        <v>0.15515679600455889</v>
      </c>
      <c r="Z245" s="428">
        <f t="shared" ref="Z245" si="438">Y245</f>
        <v>0.15515679600455889</v>
      </c>
      <c r="AA245" s="428">
        <f t="shared" ref="AA245" si="439">Z245</f>
        <v>0.15515679600455889</v>
      </c>
      <c r="AB245" s="347"/>
      <c r="AC245" s="347"/>
      <c r="AD245" s="347"/>
      <c r="AE245" s="347"/>
      <c r="AF245" s="347"/>
      <c r="AG245" s="347"/>
      <c r="AH245" s="347"/>
      <c r="BY245" s="486"/>
      <c r="BZ245" s="487"/>
    </row>
    <row r="246" spans="1:78" s="349" customFormat="1" ht="13">
      <c r="A246" s="870"/>
      <c r="B246" s="407" t="s">
        <v>183</v>
      </c>
      <c r="C246" s="354"/>
      <c r="D246" s="354">
        <f t="shared" ref="D246:T246" si="440">D244-C244</f>
        <v>1089</v>
      </c>
      <c r="E246" s="354">
        <f t="shared" si="440"/>
        <v>-664</v>
      </c>
      <c r="F246" s="354">
        <f t="shared" si="440"/>
        <v>562</v>
      </c>
      <c r="G246" s="354">
        <f t="shared" si="440"/>
        <v>522</v>
      </c>
      <c r="H246" s="354">
        <f t="shared" si="440"/>
        <v>494</v>
      </c>
      <c r="I246" s="354">
        <f t="shared" si="440"/>
        <v>1658.2941961943825</v>
      </c>
      <c r="J246" s="354">
        <f t="shared" si="440"/>
        <v>1806.7058038056175</v>
      </c>
      <c r="K246" s="354">
        <f t="shared" si="440"/>
        <v>-1421</v>
      </c>
      <c r="L246" s="354">
        <f t="shared" si="440"/>
        <v>-226</v>
      </c>
      <c r="M246" s="354">
        <f t="shared" si="440"/>
        <v>-641</v>
      </c>
      <c r="N246" s="354">
        <f t="shared" si="440"/>
        <v>250.81800000000021</v>
      </c>
      <c r="O246" s="354">
        <f t="shared" si="440"/>
        <v>132.74299999999948</v>
      </c>
      <c r="P246" s="354">
        <f t="shared" si="440"/>
        <v>-582.71499999999969</v>
      </c>
      <c r="Q246" s="354">
        <f t="shared" si="440"/>
        <v>336.13999999999987</v>
      </c>
      <c r="R246" s="354">
        <f t="shared" si="440"/>
        <v>68.592000000000553</v>
      </c>
      <c r="S246" s="354">
        <f t="shared" si="440"/>
        <v>795.99699999999939</v>
      </c>
      <c r="T246" s="354">
        <f t="shared" si="440"/>
        <v>340.51500000000033</v>
      </c>
      <c r="U246" s="354"/>
      <c r="V246" s="354">
        <f>V244-T244</f>
        <v>1254.05617404645</v>
      </c>
      <c r="W246" s="354">
        <f t="shared" ref="W246:Y246" si="441">W244-V244</f>
        <v>745.90382184619284</v>
      </c>
      <c r="X246" s="354">
        <f t="shared" si="441"/>
        <v>319.82397614339425</v>
      </c>
      <c r="Y246" s="354">
        <f t="shared" si="441"/>
        <v>333.30844416510536</v>
      </c>
      <c r="Z246" s="354">
        <f t="shared" ref="Z246" si="442">Z244-Y244</f>
        <v>347.36039557686581</v>
      </c>
      <c r="AA246" s="354">
        <f t="shared" ref="AA246" si="443">AA244-Z244</f>
        <v>362.00392935288801</v>
      </c>
      <c r="AB246" s="347"/>
      <c r="AC246" s="347"/>
      <c r="AD246" s="347"/>
      <c r="AE246" s="347"/>
      <c r="AF246" s="347"/>
      <c r="AG246" s="347"/>
      <c r="AH246" s="347"/>
      <c r="BY246" s="486"/>
      <c r="BZ246" s="487"/>
    </row>
    <row r="247" spans="1:78" s="349" customFormat="1" ht="13">
      <c r="A247" s="870"/>
      <c r="B247" s="407"/>
      <c r="C247" s="354"/>
      <c r="D247" s="354"/>
      <c r="E247" s="354"/>
      <c r="F247" s="354"/>
      <c r="G247" s="354"/>
      <c r="H247" s="354"/>
      <c r="I247" s="354"/>
      <c r="J247" s="354"/>
      <c r="K247" s="354"/>
      <c r="L247" s="354"/>
      <c r="M247" s="354"/>
      <c r="N247" s="354"/>
      <c r="O247" s="354"/>
      <c r="P247" s="354"/>
      <c r="Q247" s="354"/>
      <c r="R247" s="354"/>
      <c r="S247" s="354"/>
      <c r="T247" s="354"/>
      <c r="U247" s="354"/>
      <c r="V247" s="354"/>
      <c r="W247" s="354"/>
      <c r="X247" s="354"/>
      <c r="Y247" s="354"/>
      <c r="Z247" s="354"/>
      <c r="AA247" s="354"/>
      <c r="AB247" s="347"/>
      <c r="AC247" s="347"/>
      <c r="AD247" s="347"/>
      <c r="AE247" s="347"/>
      <c r="AF247" s="347"/>
      <c r="AG247" s="347"/>
      <c r="AH247" s="347"/>
      <c r="BY247" s="486"/>
      <c r="BZ247" s="487"/>
    </row>
    <row r="248" spans="1:78" s="349" customFormat="1" ht="13">
      <c r="A248" s="870"/>
      <c r="B248" s="407" t="s">
        <v>184</v>
      </c>
      <c r="C248" s="636">
        <v>3697</v>
      </c>
      <c r="D248" s="636">
        <v>4399</v>
      </c>
      <c r="E248" s="636">
        <v>3533</v>
      </c>
      <c r="F248" s="636">
        <v>3586</v>
      </c>
      <c r="G248" s="636">
        <v>4908</v>
      </c>
      <c r="H248" s="636">
        <v>4434</v>
      </c>
      <c r="I248" s="636">
        <v>4806</v>
      </c>
      <c r="J248" s="636">
        <v>11477</v>
      </c>
      <c r="K248" s="636">
        <v>5257</v>
      </c>
      <c r="L248" s="636">
        <v>6470</v>
      </c>
      <c r="M248" s="636">
        <v>7448</v>
      </c>
      <c r="N248" s="636">
        <v>8936.5149999999994</v>
      </c>
      <c r="O248" s="636">
        <v>7925.2150000000001</v>
      </c>
      <c r="P248" s="636">
        <v>7245.4390000000003</v>
      </c>
      <c r="Q248" s="636">
        <v>10358.361999999999</v>
      </c>
      <c r="R248" s="636">
        <v>11064.092000000001</v>
      </c>
      <c r="S248" s="636">
        <v>9137.5400000000009</v>
      </c>
      <c r="T248" s="636">
        <f>Inputs!BO75</f>
        <v>7574.4740000000002</v>
      </c>
      <c r="U248" s="636"/>
      <c r="V248" s="354">
        <f>V249*'Income Statement'!CO236</f>
        <v>9354.5818851470485</v>
      </c>
      <c r="W248" s="354">
        <f>W249*'Income Statement'!CP236</f>
        <v>10413.377577325145</v>
      </c>
      <c r="X248" s="354">
        <f>X249*'Income Statement'!CQ236</f>
        <v>10867.361372927311</v>
      </c>
      <c r="Y248" s="354">
        <f>Y249*'Income Statement'!CR236</f>
        <v>11340.486103640069</v>
      </c>
      <c r="Z248" s="354">
        <f>Z249*'Income Statement'!CS236</f>
        <v>11833.557300888744</v>
      </c>
      <c r="AA248" s="354">
        <f>AA249*'Income Statement'!CT236</f>
        <v>12347.414704114943</v>
      </c>
      <c r="AB248" s="347"/>
      <c r="AC248" s="347"/>
      <c r="AD248" s="347"/>
      <c r="AE248" s="347"/>
      <c r="AF248" s="347"/>
      <c r="AG248" s="347"/>
      <c r="AH248" s="347"/>
      <c r="BY248" s="486"/>
      <c r="BZ248" s="487"/>
    </row>
    <row r="249" spans="1:78" s="349" customFormat="1" ht="13">
      <c r="A249" s="870"/>
      <c r="B249" s="407" t="s">
        <v>181</v>
      </c>
      <c r="C249" s="353">
        <f>C248/'Income Statement'!C236</f>
        <v>0.46270337922403004</v>
      </c>
      <c r="D249" s="353">
        <f>D248/'Income Statement'!H236</f>
        <v>0.36471931370752647</v>
      </c>
      <c r="E249" s="353">
        <f>E248/'Income Statement'!M236</f>
        <v>0.2577515138250529</v>
      </c>
      <c r="F249" s="353">
        <f>F248/'Income Statement'!R236</f>
        <v>0.20538373424971362</v>
      </c>
      <c r="G249" s="353">
        <f>G248/'Income Statement'!W236</f>
        <v>0.26875479137005803</v>
      </c>
      <c r="H249" s="353">
        <f>H248/'Income Statement'!AB236</f>
        <v>0.21145500500739187</v>
      </c>
      <c r="I249" s="353">
        <f>I248/'Income Statement'!AG236</f>
        <v>0.2259945452835512</v>
      </c>
      <c r="J249" s="353">
        <f>J248/'Income Statement'!AL236</f>
        <v>0.48921568627450979</v>
      </c>
      <c r="K249" s="353">
        <f>K248/'Income Statement'!AQ236</f>
        <v>0.22961345271893427</v>
      </c>
      <c r="L249" s="353">
        <f>L248/'Income Statement'!AV236</f>
        <v>0.30317229745560187</v>
      </c>
      <c r="M249" s="353">
        <f>M248/'Income Statement'!BA236</f>
        <v>0.32522597266494913</v>
      </c>
      <c r="N249" s="353">
        <f>N248/'Income Statement'!BF236</f>
        <v>0.38958055020460519</v>
      </c>
      <c r="O249" s="353">
        <f>O248/'Income Statement'!BK236</f>
        <v>0.31533289576527168</v>
      </c>
      <c r="P249" s="353">
        <f>P248/'Income Statement'!BP236</f>
        <v>0.27857328369172402</v>
      </c>
      <c r="Q249" s="353">
        <f>Q248/'Income Statement'!BU236</f>
        <v>0.38716986773965056</v>
      </c>
      <c r="R249" s="353">
        <f>R248/'Income Statement'!BZ236</f>
        <v>0.37966146036540943</v>
      </c>
      <c r="S249" s="353">
        <f>S248/'Income Statement'!CE236</f>
        <v>0.28269772798029469</v>
      </c>
      <c r="T249" s="353">
        <f>T248/'Income Statement'!CJ236</f>
        <v>0.22024199690406931</v>
      </c>
      <c r="U249" s="353"/>
      <c r="V249" s="428">
        <f>T249</f>
        <v>0.22024199690406931</v>
      </c>
      <c r="W249" s="428">
        <f t="shared" ref="W249:Y249" si="444">V249</f>
        <v>0.22024199690406931</v>
      </c>
      <c r="X249" s="428">
        <f t="shared" si="444"/>
        <v>0.22024199690406931</v>
      </c>
      <c r="Y249" s="428">
        <f t="shared" si="444"/>
        <v>0.22024199690406931</v>
      </c>
      <c r="Z249" s="428">
        <f t="shared" ref="Z249" si="445">Y249</f>
        <v>0.22024199690406931</v>
      </c>
      <c r="AA249" s="428">
        <f t="shared" ref="AA249" si="446">Z249</f>
        <v>0.22024199690406931</v>
      </c>
      <c r="AB249" s="347"/>
      <c r="AC249" s="347"/>
      <c r="AD249" s="347"/>
      <c r="AE249" s="347"/>
      <c r="AF249" s="347"/>
      <c r="AG249" s="347"/>
      <c r="AH249" s="347"/>
      <c r="BY249" s="486"/>
      <c r="BZ249" s="487"/>
    </row>
    <row r="250" spans="1:78" s="349" customFormat="1" ht="13">
      <c r="A250" s="870"/>
      <c r="B250" s="407" t="s">
        <v>185</v>
      </c>
      <c r="C250" s="354"/>
      <c r="D250" s="354">
        <f t="shared" ref="D250:T250" si="447">D248-C248</f>
        <v>702</v>
      </c>
      <c r="E250" s="354">
        <f t="shared" si="447"/>
        <v>-866</v>
      </c>
      <c r="F250" s="354">
        <f t="shared" si="447"/>
        <v>53</v>
      </c>
      <c r="G250" s="354">
        <f t="shared" si="447"/>
        <v>1322</v>
      </c>
      <c r="H250" s="354">
        <f t="shared" si="447"/>
        <v>-474</v>
      </c>
      <c r="I250" s="354">
        <f t="shared" si="447"/>
        <v>372</v>
      </c>
      <c r="J250" s="354">
        <f t="shared" si="447"/>
        <v>6671</v>
      </c>
      <c r="K250" s="354">
        <f t="shared" si="447"/>
        <v>-6220</v>
      </c>
      <c r="L250" s="354">
        <f t="shared" si="447"/>
        <v>1213</v>
      </c>
      <c r="M250" s="354">
        <f t="shared" si="447"/>
        <v>978</v>
      </c>
      <c r="N250" s="354">
        <f t="shared" si="447"/>
        <v>1488.5149999999994</v>
      </c>
      <c r="O250" s="354">
        <f t="shared" si="447"/>
        <v>-1011.2999999999993</v>
      </c>
      <c r="P250" s="354">
        <f t="shared" si="447"/>
        <v>-679.77599999999984</v>
      </c>
      <c r="Q250" s="354">
        <f t="shared" si="447"/>
        <v>3112.9229999999989</v>
      </c>
      <c r="R250" s="354">
        <f t="shared" si="447"/>
        <v>705.73000000000138</v>
      </c>
      <c r="S250" s="354">
        <f t="shared" si="447"/>
        <v>-1926.5519999999997</v>
      </c>
      <c r="T250" s="354">
        <f t="shared" si="447"/>
        <v>-1563.0660000000007</v>
      </c>
      <c r="U250" s="354"/>
      <c r="V250" s="354">
        <f>V248-T248</f>
        <v>1780.1078851470484</v>
      </c>
      <c r="W250" s="354">
        <f t="shared" ref="W250:Y250" si="448">W248-V248</f>
        <v>1058.7956921780969</v>
      </c>
      <c r="X250" s="354">
        <f t="shared" si="448"/>
        <v>453.98379560216563</v>
      </c>
      <c r="Y250" s="354">
        <f t="shared" si="448"/>
        <v>473.12473071275781</v>
      </c>
      <c r="Z250" s="354">
        <f t="shared" ref="Z250" si="449">Z248-Y248</f>
        <v>493.07119724867516</v>
      </c>
      <c r="AA250" s="354">
        <f t="shared" ref="AA250" si="450">AA248-Z248</f>
        <v>513.85740322619858</v>
      </c>
      <c r="AB250" s="347"/>
      <c r="AC250" s="347"/>
      <c r="AD250" s="347"/>
      <c r="AE250" s="347"/>
      <c r="AF250" s="347"/>
      <c r="AG250" s="347"/>
      <c r="AH250" s="347"/>
      <c r="BY250" s="486"/>
      <c r="BZ250" s="487"/>
    </row>
    <row r="251" spans="1:78" s="349" customFormat="1" ht="13">
      <c r="A251" s="870"/>
      <c r="B251" s="407" t="s">
        <v>127</v>
      </c>
      <c r="C251" s="636">
        <v>976</v>
      </c>
      <c r="D251" s="636">
        <v>746</v>
      </c>
      <c r="E251" s="636">
        <v>1281</v>
      </c>
      <c r="F251" s="636">
        <v>1772</v>
      </c>
      <c r="G251" s="636">
        <v>1843</v>
      </c>
      <c r="H251" s="636">
        <v>2133</v>
      </c>
      <c r="I251" s="636">
        <v>2349</v>
      </c>
      <c r="J251" s="636">
        <v>8641</v>
      </c>
      <c r="K251" s="636">
        <v>3044</v>
      </c>
      <c r="L251" s="636">
        <v>1529</v>
      </c>
      <c r="M251" s="636">
        <v>1100</v>
      </c>
      <c r="N251" s="636">
        <v>765.26400000000001</v>
      </c>
      <c r="O251" s="636">
        <v>568.5</v>
      </c>
      <c r="P251" s="636">
        <v>202.71100000000001</v>
      </c>
      <c r="Q251" s="636">
        <v>127.911</v>
      </c>
      <c r="R251" s="636">
        <v>65.944000000000003</v>
      </c>
      <c r="S251" s="636">
        <v>52.582000000000001</v>
      </c>
      <c r="T251" s="636">
        <f>Inputs!BO83</f>
        <v>17.324000000000002</v>
      </c>
      <c r="U251" s="636"/>
      <c r="V251" s="354">
        <f>T251</f>
        <v>17.324000000000002</v>
      </c>
      <c r="W251" s="354">
        <f t="shared" ref="W251:Y251" si="451">V251</f>
        <v>17.324000000000002</v>
      </c>
      <c r="X251" s="354">
        <f t="shared" si="451"/>
        <v>17.324000000000002</v>
      </c>
      <c r="Y251" s="354">
        <f t="shared" si="451"/>
        <v>17.324000000000002</v>
      </c>
      <c r="Z251" s="354">
        <f t="shared" ref="Z251" si="452">Y251</f>
        <v>17.324000000000002</v>
      </c>
      <c r="AA251" s="354">
        <f t="shared" ref="AA251" si="453">Z251</f>
        <v>17.324000000000002</v>
      </c>
      <c r="AB251" s="347"/>
      <c r="AC251" s="347"/>
      <c r="AD251" s="347"/>
      <c r="AE251" s="347"/>
      <c r="AF251" s="347"/>
      <c r="AG251" s="347"/>
      <c r="AH251" s="347"/>
      <c r="BY251" s="486"/>
      <c r="BZ251" s="487"/>
    </row>
    <row r="252" spans="1:78" s="349" customFormat="1" ht="13">
      <c r="A252" s="870"/>
      <c r="B252" s="407" t="s">
        <v>181</v>
      </c>
      <c r="C252" s="353">
        <f>C251/'Income Statement'!C236</f>
        <v>0.12215269086357948</v>
      </c>
      <c r="D252" s="353">
        <f>D251/'Income Statement'!H236</f>
        <v>6.1850558769223629E-2</v>
      </c>
      <c r="E252" s="353">
        <f>E251/'Income Statement'!M236</f>
        <v>9.3455898446049457E-2</v>
      </c>
      <c r="F252" s="353">
        <f>F251/'Income Statement'!R236</f>
        <v>0.10148911798396335</v>
      </c>
      <c r="G252" s="353">
        <f>G251/'Income Statement'!W236</f>
        <v>0.10091994305114445</v>
      </c>
      <c r="H252" s="353">
        <f>H251/'Income Statement'!AB236</f>
        <v>0.10172158901235157</v>
      </c>
      <c r="I252" s="353">
        <f>I251/'Income Statement'!AG236</f>
        <v>0.11045800808802783</v>
      </c>
      <c r="J252" s="353">
        <f>J251/'Income Statement'!AL236</f>
        <v>0.36832907075873828</v>
      </c>
      <c r="K252" s="353">
        <f>K251/'Income Statement'!AQ236</f>
        <v>0.13295479362306181</v>
      </c>
      <c r="L252" s="353">
        <f>L251/'Income Statement'!AV236</f>
        <v>7.1646127173047192E-2</v>
      </c>
      <c r="M252" s="353">
        <f>M251/'Income Statement'!BA236</f>
        <v>4.8032836994017732E-2</v>
      </c>
      <c r="N252" s="353">
        <f>N251/'Income Statement'!BF236</f>
        <v>3.3361099955830323E-2</v>
      </c>
      <c r="O252" s="353">
        <f>O251/'Income Statement'!BK236</f>
        <v>2.2619796591329948E-2</v>
      </c>
      <c r="P252" s="353">
        <f>P251/'Income Statement'!BP236</f>
        <v>7.793850574193374E-3</v>
      </c>
      <c r="Q252" s="353">
        <f>Q251/'Income Statement'!BU236</f>
        <v>4.7809957744715283E-3</v>
      </c>
      <c r="R252" s="353">
        <f>R251/'Income Statement'!BZ236</f>
        <v>2.2628513340576489E-3</v>
      </c>
      <c r="S252" s="353">
        <f>S251/'Income Statement'!CE236</f>
        <v>1.6267848822177362E-3</v>
      </c>
      <c r="T252" s="353">
        <f>T251/'Income Statement'!CJ236</f>
        <v>5.0372769836771472E-4</v>
      </c>
      <c r="U252" s="353"/>
      <c r="V252" s="353">
        <f>V251/'Income Statement'!CO236</f>
        <v>4.0787203545935077E-4</v>
      </c>
      <c r="W252" s="353">
        <f>W251/'Income Statement'!CP236</f>
        <v>3.6640103809105969E-4</v>
      </c>
      <c r="X252" s="353">
        <f>X251/'Income Statement'!CQ236</f>
        <v>3.5109464233619518E-4</v>
      </c>
      <c r="Y252" s="353">
        <f>Y251/'Income Statement'!CR236</f>
        <v>3.3644698467920234E-4</v>
      </c>
      <c r="Z252" s="353">
        <f>Z251/'Income Statement'!CS236</f>
        <v>3.2242818092236231E-4</v>
      </c>
      <c r="AA252" s="353">
        <f>AA251/'Income Statement'!CT236</f>
        <v>3.0900981669422181E-4</v>
      </c>
      <c r="AB252" s="347"/>
      <c r="AC252" s="347"/>
      <c r="AD252" s="347"/>
      <c r="AE252" s="347"/>
      <c r="AF252" s="347"/>
      <c r="AG252" s="347"/>
      <c r="AH252" s="347"/>
      <c r="BY252" s="486"/>
      <c r="BZ252" s="487"/>
    </row>
    <row r="253" spans="1:78" s="349" customFormat="1" ht="13">
      <c r="A253" s="870"/>
      <c r="B253" s="407" t="s">
        <v>186</v>
      </c>
      <c r="C253" s="354"/>
      <c r="D253" s="354">
        <f t="shared" ref="D253:S253" si="454">D251-C251</f>
        <v>-230</v>
      </c>
      <c r="E253" s="354">
        <f t="shared" si="454"/>
        <v>535</v>
      </c>
      <c r="F253" s="354">
        <f t="shared" si="454"/>
        <v>491</v>
      </c>
      <c r="G253" s="354">
        <f t="shared" si="454"/>
        <v>71</v>
      </c>
      <c r="H253" s="354">
        <f t="shared" si="454"/>
        <v>290</v>
      </c>
      <c r="I253" s="354">
        <f t="shared" si="454"/>
        <v>216</v>
      </c>
      <c r="J253" s="354">
        <f t="shared" si="454"/>
        <v>6292</v>
      </c>
      <c r="K253" s="354">
        <f t="shared" si="454"/>
        <v>-5597</v>
      </c>
      <c r="L253" s="354">
        <f t="shared" si="454"/>
        <v>-1515</v>
      </c>
      <c r="M253" s="354">
        <f t="shared" si="454"/>
        <v>-429</v>
      </c>
      <c r="N253" s="354">
        <f t="shared" si="454"/>
        <v>-334.73599999999999</v>
      </c>
      <c r="O253" s="354">
        <f t="shared" si="454"/>
        <v>-196.76400000000001</v>
      </c>
      <c r="P253" s="354">
        <f t="shared" si="454"/>
        <v>-365.78899999999999</v>
      </c>
      <c r="Q253" s="354">
        <f t="shared" si="454"/>
        <v>-74.800000000000011</v>
      </c>
      <c r="R253" s="354">
        <f t="shared" si="454"/>
        <v>-61.966999999999999</v>
      </c>
      <c r="S253" s="354">
        <f t="shared" si="454"/>
        <v>-13.362000000000002</v>
      </c>
      <c r="T253" s="354">
        <f t="shared" ref="T253:Y253" si="455">T251-S251</f>
        <v>-35.257999999999996</v>
      </c>
      <c r="U253" s="354"/>
      <c r="V253" s="354">
        <f>V251-T251</f>
        <v>0</v>
      </c>
      <c r="W253" s="354">
        <f t="shared" si="455"/>
        <v>0</v>
      </c>
      <c r="X253" s="354">
        <f t="shared" si="455"/>
        <v>0</v>
      </c>
      <c r="Y253" s="354">
        <f t="shared" si="455"/>
        <v>0</v>
      </c>
      <c r="Z253" s="354">
        <f t="shared" ref="Z253" si="456">Z251-Y251</f>
        <v>0</v>
      </c>
      <c r="AA253" s="354">
        <f t="shared" ref="AA253" si="457">AA251-Z251</f>
        <v>0</v>
      </c>
      <c r="AB253" s="347"/>
      <c r="AC253" s="347"/>
      <c r="AD253" s="347"/>
      <c r="AE253" s="347"/>
      <c r="AF253" s="347"/>
      <c r="AG253" s="347"/>
      <c r="AH253" s="347"/>
      <c r="BY253" s="486"/>
      <c r="BZ253" s="487"/>
    </row>
    <row r="254" spans="1:78" s="349" customFormat="1" ht="13">
      <c r="A254" s="870"/>
      <c r="B254" s="407" t="s">
        <v>187</v>
      </c>
      <c r="C254" s="636"/>
      <c r="D254" s="636"/>
      <c r="E254" s="636"/>
      <c r="F254" s="636"/>
      <c r="G254" s="636"/>
      <c r="H254" s="636"/>
      <c r="I254" s="636"/>
      <c r="J254" s="636"/>
      <c r="K254" s="636"/>
      <c r="L254" s="636"/>
      <c r="M254" s="636"/>
      <c r="N254" s="636"/>
      <c r="O254" s="636"/>
      <c r="P254" s="636"/>
      <c r="Q254" s="636"/>
      <c r="R254" s="636"/>
      <c r="S254" s="636"/>
      <c r="T254" s="636">
        <f t="shared" ref="T254:Y255" si="458">S254</f>
        <v>0</v>
      </c>
      <c r="U254" s="636"/>
      <c r="V254" s="354">
        <f>T254</f>
        <v>0</v>
      </c>
      <c r="W254" s="354">
        <f t="shared" si="458"/>
        <v>0</v>
      </c>
      <c r="X254" s="354">
        <f t="shared" si="458"/>
        <v>0</v>
      </c>
      <c r="Y254" s="354">
        <f t="shared" si="458"/>
        <v>0</v>
      </c>
      <c r="Z254" s="354">
        <f t="shared" ref="Z254:Z255" si="459">Y254</f>
        <v>0</v>
      </c>
      <c r="AA254" s="354">
        <f t="shared" ref="AA254:AA255" si="460">Z254</f>
        <v>0</v>
      </c>
      <c r="AB254" s="347"/>
      <c r="AC254" s="347"/>
      <c r="AD254" s="347"/>
      <c r="AE254" s="347"/>
      <c r="AF254" s="347"/>
      <c r="AG254" s="347"/>
      <c r="AH254" s="347"/>
      <c r="BY254" s="486"/>
      <c r="BZ254" s="487"/>
    </row>
    <row r="255" spans="1:78" s="349" customFormat="1" ht="13">
      <c r="A255" s="870"/>
      <c r="B255" s="407" t="s">
        <v>181</v>
      </c>
      <c r="C255" s="354">
        <f>C254/'Income Statement'!C236</f>
        <v>0</v>
      </c>
      <c r="D255" s="354">
        <f>D254/'Income Statement'!H236</f>
        <v>0</v>
      </c>
      <c r="E255" s="354">
        <f>E254/'Income Statement'!M236</f>
        <v>0</v>
      </c>
      <c r="F255" s="354">
        <f>F254/'Income Statement'!R236</f>
        <v>0</v>
      </c>
      <c r="G255" s="354">
        <f>G254/'Income Statement'!W236</f>
        <v>0</v>
      </c>
      <c r="H255" s="354">
        <f>H254/'Income Statement'!AB236</f>
        <v>0</v>
      </c>
      <c r="I255" s="354">
        <f>I254/'Income Statement'!AG236</f>
        <v>0</v>
      </c>
      <c r="J255" s="354">
        <f>J254/'Income Statement'!AL236</f>
        <v>0</v>
      </c>
      <c r="K255" s="354">
        <f>K254/'Income Statement'!AQ236</f>
        <v>0</v>
      </c>
      <c r="L255" s="354">
        <f>L254/'Income Statement'!AV236</f>
        <v>0</v>
      </c>
      <c r="M255" s="354">
        <f>M254/'Income Statement'!BA236</f>
        <v>0</v>
      </c>
      <c r="N255" s="354">
        <f>N254/'Income Statement'!BF236</f>
        <v>0</v>
      </c>
      <c r="O255" s="354">
        <f>O254/'Income Statement'!BK236</f>
        <v>0</v>
      </c>
      <c r="P255" s="354">
        <f>P254/'Income Statement'!BP236</f>
        <v>0</v>
      </c>
      <c r="Q255" s="354">
        <f>Q254/'Income Statement'!BU236</f>
        <v>0</v>
      </c>
      <c r="R255" s="354">
        <f>R254/'Income Statement'!BZ236</f>
        <v>0</v>
      </c>
      <c r="S255" s="354">
        <f>S254/'Income Statement'!CE236</f>
        <v>0</v>
      </c>
      <c r="T255" s="354">
        <f t="shared" si="458"/>
        <v>0</v>
      </c>
      <c r="U255" s="354"/>
      <c r="V255" s="638">
        <f>T255</f>
        <v>0</v>
      </c>
      <c r="W255" s="638">
        <f t="shared" si="458"/>
        <v>0</v>
      </c>
      <c r="X255" s="638">
        <f t="shared" si="458"/>
        <v>0</v>
      </c>
      <c r="Y255" s="638">
        <f t="shared" si="458"/>
        <v>0</v>
      </c>
      <c r="Z255" s="638">
        <f t="shared" si="459"/>
        <v>0</v>
      </c>
      <c r="AA255" s="638">
        <f t="shared" si="460"/>
        <v>0</v>
      </c>
      <c r="AB255" s="347"/>
      <c r="AC255" s="347"/>
      <c r="AD255" s="347"/>
      <c r="AE255" s="347"/>
      <c r="AF255" s="347"/>
      <c r="AG255" s="347"/>
      <c r="AH255" s="347"/>
      <c r="BY255" s="486"/>
      <c r="BZ255" s="487"/>
    </row>
    <row r="256" spans="1:78" s="349" customFormat="1" ht="13">
      <c r="A256" s="870"/>
      <c r="B256" s="407" t="s">
        <v>188</v>
      </c>
      <c r="C256" s="354"/>
      <c r="D256" s="354">
        <f t="shared" ref="D256:S256" si="461">D254-C254</f>
        <v>0</v>
      </c>
      <c r="E256" s="354">
        <f t="shared" si="461"/>
        <v>0</v>
      </c>
      <c r="F256" s="354">
        <f t="shared" si="461"/>
        <v>0</v>
      </c>
      <c r="G256" s="354">
        <f t="shared" si="461"/>
        <v>0</v>
      </c>
      <c r="H256" s="354">
        <f t="shared" si="461"/>
        <v>0</v>
      </c>
      <c r="I256" s="354">
        <f t="shared" si="461"/>
        <v>0</v>
      </c>
      <c r="J256" s="354">
        <f t="shared" si="461"/>
        <v>0</v>
      </c>
      <c r="K256" s="354">
        <f t="shared" si="461"/>
        <v>0</v>
      </c>
      <c r="L256" s="354">
        <f t="shared" si="461"/>
        <v>0</v>
      </c>
      <c r="M256" s="354">
        <f t="shared" si="461"/>
        <v>0</v>
      </c>
      <c r="N256" s="354">
        <f t="shared" si="461"/>
        <v>0</v>
      </c>
      <c r="O256" s="354">
        <f t="shared" si="461"/>
        <v>0</v>
      </c>
      <c r="P256" s="354">
        <f t="shared" si="461"/>
        <v>0</v>
      </c>
      <c r="Q256" s="354">
        <f t="shared" si="461"/>
        <v>0</v>
      </c>
      <c r="R256" s="354">
        <f t="shared" si="461"/>
        <v>0</v>
      </c>
      <c r="S256" s="354">
        <f t="shared" si="461"/>
        <v>0</v>
      </c>
      <c r="T256" s="354">
        <f t="shared" ref="T256:Y256" si="462">T254-S254</f>
        <v>0</v>
      </c>
      <c r="U256" s="354"/>
      <c r="V256" s="354">
        <f>V254-T254</f>
        <v>0</v>
      </c>
      <c r="W256" s="354">
        <f t="shared" si="462"/>
        <v>0</v>
      </c>
      <c r="X256" s="354">
        <f t="shared" si="462"/>
        <v>0</v>
      </c>
      <c r="Y256" s="354">
        <f t="shared" si="462"/>
        <v>0</v>
      </c>
      <c r="Z256" s="354">
        <f t="shared" ref="Z256" si="463">Z254-Y254</f>
        <v>0</v>
      </c>
      <c r="AA256" s="354">
        <f t="shared" ref="AA256" si="464">AA254-Z254</f>
        <v>0</v>
      </c>
      <c r="AB256" s="347"/>
      <c r="AC256" s="347"/>
      <c r="AD256" s="347"/>
      <c r="AE256" s="347"/>
      <c r="AF256" s="347"/>
      <c r="AG256" s="347"/>
      <c r="AH256" s="347"/>
      <c r="BY256" s="486"/>
      <c r="BZ256" s="487"/>
    </row>
    <row r="257" spans="1:78" s="349" customFormat="1" ht="13">
      <c r="A257" s="870"/>
      <c r="B257" s="407"/>
      <c r="C257" s="354"/>
      <c r="D257" s="354"/>
      <c r="E257" s="354"/>
      <c r="F257" s="354"/>
      <c r="G257" s="354"/>
      <c r="H257" s="354"/>
      <c r="I257" s="354"/>
      <c r="J257" s="354"/>
      <c r="K257" s="354"/>
      <c r="L257" s="354"/>
      <c r="M257" s="354"/>
      <c r="N257" s="354"/>
      <c r="O257" s="354"/>
      <c r="P257" s="354"/>
      <c r="Q257" s="354"/>
      <c r="R257" s="354"/>
      <c r="S257" s="354"/>
      <c r="T257" s="354"/>
      <c r="U257" s="354"/>
      <c r="V257" s="354"/>
      <c r="W257" s="354"/>
      <c r="X257" s="354"/>
      <c r="Y257" s="354"/>
      <c r="Z257" s="354"/>
      <c r="AA257" s="354"/>
      <c r="AB257" s="347"/>
      <c r="AC257" s="347"/>
      <c r="AD257" s="347"/>
      <c r="AE257" s="347"/>
      <c r="AF257" s="347"/>
      <c r="AG257" s="347"/>
      <c r="AH257" s="347"/>
      <c r="BY257" s="486"/>
      <c r="BZ257" s="487"/>
    </row>
    <row r="258" spans="1:78" s="349" customFormat="1" ht="13.5" thickBot="1">
      <c r="A258" s="870"/>
      <c r="B258" s="571" t="s">
        <v>189</v>
      </c>
      <c r="C258" s="1513"/>
      <c r="D258" s="1513">
        <f t="shared" ref="D258:Q258" si="465">-D243-D246+D250+D253+D256</f>
        <v>-686</v>
      </c>
      <c r="E258" s="1513">
        <f t="shared" si="465"/>
        <v>441</v>
      </c>
      <c r="F258" s="1513">
        <f t="shared" si="465"/>
        <v>-59</v>
      </c>
      <c r="G258" s="1513">
        <f t="shared" si="465"/>
        <v>866</v>
      </c>
      <c r="H258" s="1513">
        <f t="shared" si="465"/>
        <v>-662</v>
      </c>
      <c r="I258" s="1513">
        <f t="shared" si="465"/>
        <v>-1071.0000000000002</v>
      </c>
      <c r="J258" s="1513">
        <f t="shared" si="465"/>
        <v>11130</v>
      </c>
      <c r="K258" s="1513">
        <f t="shared" si="465"/>
        <v>-10398</v>
      </c>
      <c r="L258" s="1513">
        <f t="shared" si="465"/>
        <v>-158</v>
      </c>
      <c r="M258" s="1513">
        <f t="shared" si="465"/>
        <v>1208</v>
      </c>
      <c r="N258" s="1513">
        <f t="shared" si="465"/>
        <v>856.89799999999912</v>
      </c>
      <c r="O258" s="1513">
        <f>-O243-O246+O250+O253+O256</f>
        <v>-1226.351999999999</v>
      </c>
      <c r="P258" s="1513">
        <f t="shared" si="465"/>
        <v>-531.61900000000014</v>
      </c>
      <c r="Q258" s="1513">
        <f t="shared" si="465"/>
        <v>2688.9199999999987</v>
      </c>
      <c r="R258" s="1513">
        <f>-R243-R246+R250+R253+R256</f>
        <v>323.43300000000085</v>
      </c>
      <c r="S258" s="1513">
        <f>-S243-S246+S250+S253+S256</f>
        <v>-2705.6169999999993</v>
      </c>
      <c r="T258" s="1513">
        <f t="shared" ref="T258:Y258" si="466">-T243-T246+T250+T253+T256</f>
        <v>-1754.5090000000012</v>
      </c>
      <c r="U258" s="1513"/>
      <c r="V258" s="1513">
        <f t="shared" si="466"/>
        <v>480.56379978137647</v>
      </c>
      <c r="W258" s="1513">
        <f t="shared" si="466"/>
        <v>285.83597953290746</v>
      </c>
      <c r="X258" s="1513">
        <f t="shared" si="466"/>
        <v>122.55896379882961</v>
      </c>
      <c r="Y258" s="1513">
        <f t="shared" si="466"/>
        <v>127.72631381444654</v>
      </c>
      <c r="Z258" s="1513">
        <f t="shared" ref="Z258:AA258" si="467">-Z243-Z246+Z250+Z253+Z256</f>
        <v>133.11112775223813</v>
      </c>
      <c r="AA258" s="1513">
        <f t="shared" si="467"/>
        <v>138.72264052118032</v>
      </c>
      <c r="AB258" s="347"/>
      <c r="AC258" s="347"/>
      <c r="AD258" s="347"/>
      <c r="AE258" s="347"/>
      <c r="AF258" s="347"/>
      <c r="AG258" s="347"/>
      <c r="AH258" s="347"/>
      <c r="BY258" s="486"/>
      <c r="BZ258" s="487"/>
    </row>
    <row r="259" spans="1:78" s="349" customFormat="1" ht="13.5" thickTop="1">
      <c r="A259" s="870"/>
      <c r="B259" s="407"/>
      <c r="C259" s="354"/>
      <c r="D259" s="354"/>
      <c r="E259" s="354"/>
      <c r="F259" s="354"/>
      <c r="G259" s="354"/>
      <c r="H259" s="354"/>
      <c r="I259" s="354"/>
      <c r="J259" s="354"/>
      <c r="K259" s="470"/>
      <c r="L259" s="470"/>
      <c r="M259" s="470"/>
      <c r="N259" s="470"/>
      <c r="O259" s="470"/>
      <c r="P259" s="470"/>
      <c r="Q259" s="470"/>
      <c r="R259" s="470"/>
      <c r="S259" s="470"/>
      <c r="T259" s="470"/>
      <c r="U259" s="470"/>
      <c r="V259" s="470"/>
      <c r="W259" s="470"/>
      <c r="X259" s="470"/>
      <c r="Y259" s="470"/>
      <c r="Z259" s="470"/>
      <c r="AA259" s="470"/>
      <c r="AB259" s="347"/>
      <c r="AC259" s="347"/>
      <c r="AD259" s="347"/>
      <c r="AE259" s="347"/>
      <c r="AF259" s="347"/>
      <c r="AG259" s="364"/>
      <c r="AH259" s="364"/>
      <c r="BY259" s="486"/>
      <c r="BZ259" s="487"/>
    </row>
    <row r="260" spans="1:78" s="349" customFormat="1" ht="13">
      <c r="A260" s="870"/>
      <c r="B260" s="407"/>
      <c r="C260" s="354"/>
      <c r="D260" s="354"/>
      <c r="E260" s="354"/>
      <c r="F260" s="354"/>
      <c r="G260" s="354"/>
      <c r="H260" s="354"/>
      <c r="I260" s="354"/>
      <c r="J260" s="354"/>
      <c r="K260" s="470"/>
      <c r="L260" s="470"/>
      <c r="M260" s="470"/>
      <c r="N260" s="470"/>
      <c r="O260" s="470"/>
      <c r="P260" s="470"/>
      <c r="Q260" s="470"/>
      <c r="R260" s="470"/>
      <c r="S260" s="470"/>
      <c r="T260" s="470"/>
      <c r="U260" s="470"/>
      <c r="V260" s="470"/>
      <c r="W260" s="470"/>
      <c r="X260" s="470"/>
      <c r="Y260" s="470"/>
      <c r="Z260" s="470"/>
      <c r="AA260" s="470"/>
      <c r="AB260" s="347"/>
      <c r="AC260" s="347"/>
      <c r="AD260" s="347"/>
      <c r="AE260" s="347"/>
      <c r="AF260" s="347"/>
      <c r="AG260" s="364"/>
      <c r="AH260" s="364"/>
      <c r="BY260" s="486"/>
      <c r="BZ260" s="487"/>
    </row>
    <row r="261" spans="1:78" s="349" customFormat="1" ht="13">
      <c r="A261" s="870"/>
      <c r="B261" s="407"/>
      <c r="C261" s="354"/>
      <c r="D261" s="354"/>
      <c r="E261" s="354"/>
      <c r="F261" s="354"/>
      <c r="G261" s="354"/>
      <c r="H261" s="354"/>
      <c r="I261" s="354"/>
      <c r="J261" s="354"/>
      <c r="K261" s="470"/>
      <c r="L261" s="470"/>
      <c r="M261" s="470"/>
      <c r="N261" s="470"/>
      <c r="O261" s="470"/>
      <c r="P261" s="470"/>
      <c r="Q261" s="470"/>
      <c r="R261" s="470"/>
      <c r="S261" s="470"/>
      <c r="T261" s="470"/>
      <c r="U261" s="470"/>
      <c r="V261" s="470"/>
      <c r="W261" s="470"/>
      <c r="X261" s="470"/>
      <c r="Y261" s="470"/>
      <c r="Z261" s="470"/>
      <c r="AA261" s="470"/>
      <c r="AB261" s="347"/>
      <c r="AC261" s="347"/>
      <c r="AD261" s="347"/>
      <c r="AE261" s="347"/>
      <c r="AF261" s="347"/>
      <c r="AG261" s="364"/>
      <c r="AH261" s="364"/>
      <c r="BY261" s="486"/>
      <c r="BZ261" s="487"/>
    </row>
    <row r="262" spans="1:78" s="349" customFormat="1" ht="13">
      <c r="A262" s="870"/>
      <c r="B262" s="483" t="s">
        <v>117</v>
      </c>
      <c r="C262" s="485">
        <f>C$2</f>
        <v>2007</v>
      </c>
      <c r="D262" s="485">
        <f t="shared" ref="D262:S262" si="468">C262+1</f>
        <v>2008</v>
      </c>
      <c r="E262" s="485">
        <f t="shared" si="468"/>
        <v>2009</v>
      </c>
      <c r="F262" s="485">
        <f t="shared" si="468"/>
        <v>2010</v>
      </c>
      <c r="G262" s="485">
        <f t="shared" si="468"/>
        <v>2011</v>
      </c>
      <c r="H262" s="485">
        <f t="shared" si="468"/>
        <v>2012</v>
      </c>
      <c r="I262" s="485">
        <f t="shared" si="468"/>
        <v>2013</v>
      </c>
      <c r="J262" s="485">
        <f t="shared" si="468"/>
        <v>2014</v>
      </c>
      <c r="K262" s="485">
        <f t="shared" si="468"/>
        <v>2015</v>
      </c>
      <c r="L262" s="485">
        <f t="shared" si="468"/>
        <v>2016</v>
      </c>
      <c r="M262" s="485">
        <f t="shared" si="468"/>
        <v>2017</v>
      </c>
      <c r="N262" s="485">
        <f t="shared" si="468"/>
        <v>2018</v>
      </c>
      <c r="O262" s="485">
        <f t="shared" si="468"/>
        <v>2019</v>
      </c>
      <c r="P262" s="485">
        <f t="shared" si="468"/>
        <v>2020</v>
      </c>
      <c r="Q262" s="485">
        <f t="shared" si="468"/>
        <v>2021</v>
      </c>
      <c r="R262" s="485">
        <f t="shared" si="468"/>
        <v>2022</v>
      </c>
      <c r="S262" s="485">
        <f t="shared" si="468"/>
        <v>2023</v>
      </c>
      <c r="T262" s="485">
        <f t="shared" ref="T262:Y262" si="469">S262+1</f>
        <v>2024</v>
      </c>
      <c r="U262" s="485"/>
      <c r="V262" s="485">
        <f>T262+1</f>
        <v>2025</v>
      </c>
      <c r="W262" s="485">
        <f t="shared" si="469"/>
        <v>2026</v>
      </c>
      <c r="X262" s="485">
        <f t="shared" si="469"/>
        <v>2027</v>
      </c>
      <c r="Y262" s="485">
        <f t="shared" si="469"/>
        <v>2028</v>
      </c>
      <c r="Z262" s="485">
        <f t="shared" ref="Z262" si="470">Y262+1</f>
        <v>2029</v>
      </c>
      <c r="AA262" s="485">
        <f t="shared" ref="AA262" si="471">Z262+1</f>
        <v>2030</v>
      </c>
      <c r="AB262" s="364"/>
      <c r="AC262" s="364"/>
      <c r="AD262" s="364"/>
      <c r="AE262" s="364"/>
      <c r="AF262" s="364"/>
      <c r="AG262" s="347"/>
      <c r="AH262" s="347"/>
      <c r="BY262" s="486"/>
      <c r="BZ262" s="487"/>
    </row>
    <row r="263" spans="1:78" s="349" customFormat="1" ht="13">
      <c r="A263" s="870"/>
      <c r="B263" s="407"/>
      <c r="C263" s="635"/>
      <c r="D263" s="635"/>
      <c r="E263" s="635"/>
      <c r="F263" s="635"/>
      <c r="G263" s="635"/>
      <c r="H263" s="635"/>
      <c r="I263" s="635"/>
      <c r="J263" s="635"/>
      <c r="K263" s="635">
        <f>49+22+1+334+135+994+364</f>
        <v>1899</v>
      </c>
      <c r="L263" s="635">
        <f>23+25+1+378+184</f>
        <v>611</v>
      </c>
      <c r="M263" s="635">
        <f>34+24+43+149+162+177</f>
        <v>589</v>
      </c>
      <c r="N263" s="635">
        <f>138.499+23.841+38.484+155.923+292.897+798.003+130.009</f>
        <v>1577.6559999999999</v>
      </c>
      <c r="O263" s="635">
        <f>251.997+25.032+76.524+40.878+51.073+0+247.301+397.229</f>
        <v>1090.0339999999999</v>
      </c>
      <c r="P263" s="635">
        <f>149.359+68.679+41.083+25.214+92.779+106.595+183.602</f>
        <v>667.31099999999992</v>
      </c>
      <c r="Q263" s="635">
        <f>7733.191-SUM(Q5:Q8)</f>
        <v>781.3779999999997</v>
      </c>
      <c r="R263" s="635">
        <f>10408.358-SUM(R5:R8)</f>
        <v>616.48899999999958</v>
      </c>
      <c r="S263" s="635">
        <f>7173.511-SUM(S5:S8)</f>
        <v>834.02500000000055</v>
      </c>
      <c r="T263" s="635">
        <f>Inputs!BO58-SUM(T5:T8)</f>
        <v>1519.5320000000002</v>
      </c>
      <c r="U263" s="635"/>
      <c r="V263" s="355">
        <f>T263</f>
        <v>1519.5320000000002</v>
      </c>
      <c r="W263" s="355">
        <f t="shared" ref="W263:Y263" si="472">V263</f>
        <v>1519.5320000000002</v>
      </c>
      <c r="X263" s="355">
        <f t="shared" si="472"/>
        <v>1519.5320000000002</v>
      </c>
      <c r="Y263" s="355">
        <f t="shared" si="472"/>
        <v>1519.5320000000002</v>
      </c>
      <c r="Z263" s="355">
        <f t="shared" ref="Z263" si="473">Y263</f>
        <v>1519.5320000000002</v>
      </c>
      <c r="AA263" s="355">
        <f t="shared" ref="AA263" si="474">Z263</f>
        <v>1519.5320000000002</v>
      </c>
      <c r="AB263" s="347"/>
      <c r="AC263" s="347"/>
      <c r="AD263" s="347"/>
      <c r="AE263" s="347"/>
      <c r="AF263" s="347"/>
      <c r="AG263" s="347"/>
      <c r="AH263" s="347"/>
      <c r="BY263" s="486"/>
      <c r="BZ263" s="487"/>
    </row>
    <row r="264" spans="1:78" s="349" customFormat="1" ht="13">
      <c r="A264" s="870"/>
      <c r="B264" s="407" t="s">
        <v>181</v>
      </c>
      <c r="C264" s="356">
        <f>C263/'Income Statement'!C236</f>
        <v>0</v>
      </c>
      <c r="D264" s="356">
        <f>D263/'Income Statement'!H236</f>
        <v>0</v>
      </c>
      <c r="E264" s="356">
        <f>E263/'Income Statement'!M236</f>
        <v>0</v>
      </c>
      <c r="F264" s="356">
        <f>F263/'Income Statement'!R236</f>
        <v>0</v>
      </c>
      <c r="G264" s="356">
        <f>G263/'Income Statement'!W236</f>
        <v>0</v>
      </c>
      <c r="H264" s="356">
        <f>H263/'Income Statement'!AB236</f>
        <v>0</v>
      </c>
      <c r="I264" s="356">
        <f>I263/'Income Statement'!AG236</f>
        <v>0</v>
      </c>
      <c r="J264" s="356">
        <f>J263/'Income Statement'!AL236</f>
        <v>0</v>
      </c>
      <c r="K264" s="356">
        <f>K263/'Income Statement'!AQ236</f>
        <v>8.2943874208342427E-2</v>
      </c>
      <c r="L264" s="356">
        <f>L263/'Income Statement'!AV236</f>
        <v>2.86303359730097E-2</v>
      </c>
      <c r="M264" s="356">
        <f>M263/'Income Statement'!BA236</f>
        <v>2.5719400899524038E-2</v>
      </c>
      <c r="N264" s="356">
        <f>N263/'Income Statement'!BF236</f>
        <v>6.8776709098971656E-2</v>
      </c>
      <c r="O264" s="356">
        <f>O263/'Income Statement'!BK236</f>
        <v>4.337088365458882E-2</v>
      </c>
      <c r="P264" s="356">
        <f>P263/'Income Statement'!BL236</f>
        <v>0.10270824858464886</v>
      </c>
      <c r="Q264" s="356">
        <f>Q263/'Income Statement'!BU236</f>
        <v>2.9205970684812191E-2</v>
      </c>
      <c r="R264" s="356">
        <f>R263/'Income Statement'!BZ236</f>
        <v>2.1154660865004622E-2</v>
      </c>
      <c r="S264" s="356">
        <f>S263/'Income Statement'!CE236</f>
        <v>2.5803112498414823E-2</v>
      </c>
      <c r="T264" s="356">
        <f>T263/'Income Statement'!CJ236</f>
        <v>4.4183234643043766E-2</v>
      </c>
      <c r="U264" s="356"/>
      <c r="V264" s="356">
        <f>V263/'Income Statement'!CO236</f>
        <v>3.5775491213669949E-2</v>
      </c>
      <c r="W264" s="356">
        <f>W263/'Income Statement'!CP236</f>
        <v>3.213796480100347E-2</v>
      </c>
      <c r="X264" s="356">
        <f>X263/'Income Statement'!CQ236</f>
        <v>3.0795401989055837E-2</v>
      </c>
      <c r="Y264" s="356">
        <f>Y263/'Income Statement'!CR236</f>
        <v>2.9510618767233762E-2</v>
      </c>
      <c r="Z264" s="356">
        <f>Z263/'Income Statement'!CS236</f>
        <v>2.8280993916723566E-2</v>
      </c>
      <c r="AA264" s="356">
        <f>AA263/'Income Statement'!CT236</f>
        <v>2.7104035140903038E-2</v>
      </c>
      <c r="AB264" s="347"/>
      <c r="AC264" s="347"/>
      <c r="AD264" s="347"/>
      <c r="AE264" s="347"/>
      <c r="AF264" s="347"/>
      <c r="AG264" s="347"/>
      <c r="AH264" s="347"/>
      <c r="BY264" s="486"/>
      <c r="BZ264" s="487"/>
    </row>
    <row r="265" spans="1:78" s="349" customFormat="1" ht="13">
      <c r="A265" s="870"/>
      <c r="B265" s="407"/>
      <c r="C265" s="354"/>
      <c r="D265" s="354"/>
      <c r="E265" s="354"/>
      <c r="F265" s="354"/>
      <c r="G265" s="354"/>
      <c r="H265" s="354"/>
      <c r="I265" s="354"/>
      <c r="J265" s="354"/>
      <c r="K265" s="354"/>
      <c r="L265" s="354"/>
      <c r="M265" s="354"/>
      <c r="N265" s="354"/>
      <c r="O265" s="354"/>
      <c r="P265" s="354"/>
      <c r="Q265" s="354"/>
      <c r="R265" s="354"/>
      <c r="S265" s="354"/>
      <c r="T265" s="354"/>
      <c r="U265" s="354"/>
      <c r="V265" s="354"/>
      <c r="W265" s="354"/>
      <c r="X265" s="354"/>
      <c r="Y265" s="354"/>
      <c r="Z265" s="354"/>
      <c r="AA265" s="354"/>
      <c r="AB265" s="347"/>
      <c r="AC265" s="347"/>
      <c r="AD265" s="347"/>
      <c r="AE265" s="347"/>
      <c r="AF265" s="347"/>
      <c r="AG265" s="364"/>
      <c r="AH265" s="364"/>
      <c r="BY265" s="486"/>
      <c r="BZ265" s="487"/>
    </row>
    <row r="266" spans="1:78" s="349" customFormat="1" ht="13">
      <c r="A266" s="870"/>
      <c r="B266" s="407"/>
      <c r="C266" s="354"/>
      <c r="D266" s="354"/>
      <c r="E266" s="354"/>
      <c r="F266" s="354"/>
      <c r="G266" s="354"/>
      <c r="H266" s="354"/>
      <c r="I266" s="354"/>
      <c r="J266" s="354"/>
      <c r="K266" s="354"/>
      <c r="L266" s="354"/>
      <c r="M266" s="354"/>
      <c r="N266" s="354"/>
      <c r="O266" s="354"/>
      <c r="P266" s="354"/>
      <c r="Q266" s="354"/>
      <c r="R266" s="354"/>
      <c r="S266" s="354"/>
      <c r="T266" s="354"/>
      <c r="U266" s="354"/>
      <c r="V266" s="354"/>
      <c r="W266" s="354"/>
      <c r="X266" s="354"/>
      <c r="Y266" s="354"/>
      <c r="Z266" s="354"/>
      <c r="AA266" s="354"/>
      <c r="AB266" s="347"/>
      <c r="AC266" s="347"/>
      <c r="AD266" s="347"/>
      <c r="AE266" s="347"/>
      <c r="AF266" s="347"/>
      <c r="AG266" s="364"/>
      <c r="AH266" s="364"/>
      <c r="BY266" s="486"/>
      <c r="BZ266" s="487"/>
    </row>
    <row r="267" spans="1:78" s="349" customFormat="1" ht="13">
      <c r="A267" s="870"/>
      <c r="B267" s="407"/>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47"/>
      <c r="AC267" s="347"/>
      <c r="AD267" s="347"/>
      <c r="AE267" s="347"/>
      <c r="AF267" s="347"/>
      <c r="AG267" s="364"/>
      <c r="AH267" s="364"/>
      <c r="BY267" s="486"/>
      <c r="BZ267" s="487"/>
    </row>
    <row r="268" spans="1:78" s="349" customFormat="1" ht="13">
      <c r="A268" s="870"/>
      <c r="B268" s="483" t="s">
        <v>190</v>
      </c>
      <c r="C268" s="485">
        <f>C$2</f>
        <v>2007</v>
      </c>
      <c r="D268" s="485">
        <f t="shared" ref="D268:S268" si="475">C268+1</f>
        <v>2008</v>
      </c>
      <c r="E268" s="485">
        <f t="shared" si="475"/>
        <v>2009</v>
      </c>
      <c r="F268" s="485">
        <f t="shared" si="475"/>
        <v>2010</v>
      </c>
      <c r="G268" s="485">
        <f t="shared" si="475"/>
        <v>2011</v>
      </c>
      <c r="H268" s="485">
        <f t="shared" si="475"/>
        <v>2012</v>
      </c>
      <c r="I268" s="485">
        <f t="shared" si="475"/>
        <v>2013</v>
      </c>
      <c r="J268" s="485">
        <f t="shared" si="475"/>
        <v>2014</v>
      </c>
      <c r="K268" s="485">
        <f t="shared" si="475"/>
        <v>2015</v>
      </c>
      <c r="L268" s="485">
        <f t="shared" si="475"/>
        <v>2016</v>
      </c>
      <c r="M268" s="485">
        <f t="shared" si="475"/>
        <v>2017</v>
      </c>
      <c r="N268" s="485">
        <f t="shared" si="475"/>
        <v>2018</v>
      </c>
      <c r="O268" s="485">
        <f t="shared" si="475"/>
        <v>2019</v>
      </c>
      <c r="P268" s="485">
        <f t="shared" si="475"/>
        <v>2020</v>
      </c>
      <c r="Q268" s="485">
        <f t="shared" si="475"/>
        <v>2021</v>
      </c>
      <c r="R268" s="485">
        <f t="shared" si="475"/>
        <v>2022</v>
      </c>
      <c r="S268" s="485">
        <f t="shared" si="475"/>
        <v>2023</v>
      </c>
      <c r="T268" s="485">
        <f t="shared" ref="T268:Y268" si="476">S268+1</f>
        <v>2024</v>
      </c>
      <c r="U268" s="485"/>
      <c r="V268" s="485">
        <f>T268+1</f>
        <v>2025</v>
      </c>
      <c r="W268" s="485">
        <f t="shared" si="476"/>
        <v>2026</v>
      </c>
      <c r="X268" s="485">
        <f t="shared" si="476"/>
        <v>2027</v>
      </c>
      <c r="Y268" s="485">
        <f t="shared" si="476"/>
        <v>2028</v>
      </c>
      <c r="Z268" s="485">
        <f t="shared" ref="Z268" si="477">Y268+1</f>
        <v>2029</v>
      </c>
      <c r="AA268" s="485">
        <f t="shared" ref="AA268" si="478">Z268+1</f>
        <v>2030</v>
      </c>
      <c r="AB268" s="364"/>
      <c r="AC268" s="364"/>
      <c r="AD268" s="364"/>
      <c r="AE268" s="364"/>
      <c r="AF268" s="364"/>
      <c r="AG268" s="347"/>
      <c r="AH268" s="347"/>
      <c r="BY268" s="486"/>
      <c r="BZ268" s="487"/>
    </row>
    <row r="269" spans="1:78" s="349" customFormat="1" ht="13">
      <c r="A269" s="870"/>
      <c r="B269" s="407"/>
      <c r="C269" s="636">
        <v>0</v>
      </c>
      <c r="D269" s="636">
        <v>0</v>
      </c>
      <c r="E269" s="636">
        <v>0</v>
      </c>
      <c r="F269" s="636">
        <v>0</v>
      </c>
      <c r="G269" s="636">
        <v>0</v>
      </c>
      <c r="H269" s="636">
        <v>0</v>
      </c>
      <c r="I269" s="636">
        <v>0</v>
      </c>
      <c r="J269" s="636">
        <v>0</v>
      </c>
      <c r="K269" s="636">
        <v>0</v>
      </c>
      <c r="L269" s="636">
        <v>0</v>
      </c>
      <c r="M269" s="636">
        <v>0</v>
      </c>
      <c r="N269" s="636">
        <v>0</v>
      </c>
      <c r="O269" s="636">
        <v>0</v>
      </c>
      <c r="P269" s="636">
        <v>0</v>
      </c>
      <c r="Q269" s="636">
        <v>0</v>
      </c>
      <c r="R269" s="636">
        <v>0</v>
      </c>
      <c r="S269" s="636">
        <v>0</v>
      </c>
      <c r="T269" s="636">
        <v>0</v>
      </c>
      <c r="U269" s="636"/>
      <c r="V269" s="522">
        <f>T269</f>
        <v>0</v>
      </c>
      <c r="W269" s="522">
        <f t="shared" ref="W269:Y269" si="479">V269</f>
        <v>0</v>
      </c>
      <c r="X269" s="522">
        <f t="shared" si="479"/>
        <v>0</v>
      </c>
      <c r="Y269" s="522">
        <f t="shared" si="479"/>
        <v>0</v>
      </c>
      <c r="Z269" s="522">
        <f t="shared" ref="Z269" si="480">Y269</f>
        <v>0</v>
      </c>
      <c r="AA269" s="522">
        <f t="shared" ref="AA269" si="481">Z269</f>
        <v>0</v>
      </c>
      <c r="AB269" s="347"/>
      <c r="AC269" s="347"/>
      <c r="AD269" s="347"/>
      <c r="AE269" s="347"/>
      <c r="AF269" s="347"/>
      <c r="AG269" s="347"/>
      <c r="AH269" s="347"/>
      <c r="BY269" s="486"/>
      <c r="BZ269" s="487"/>
    </row>
    <row r="270" spans="1:78" s="349" customFormat="1" ht="13">
      <c r="A270" s="870"/>
      <c r="B270" s="407"/>
      <c r="C270" s="354"/>
      <c r="D270" s="354"/>
      <c r="E270" s="354"/>
      <c r="F270" s="354"/>
      <c r="G270" s="354"/>
      <c r="H270" s="354"/>
      <c r="I270" s="347"/>
      <c r="J270" s="347"/>
      <c r="K270" s="347"/>
      <c r="L270" s="347"/>
      <c r="M270" s="347"/>
      <c r="N270" s="347"/>
      <c r="O270" s="347"/>
      <c r="P270" s="347"/>
      <c r="Q270" s="347"/>
      <c r="R270" s="347"/>
      <c r="S270" s="347"/>
      <c r="T270" s="347"/>
      <c r="U270" s="347"/>
      <c r="V270" s="347"/>
      <c r="W270" s="347"/>
      <c r="X270" s="347"/>
      <c r="Y270" s="347"/>
      <c r="Z270" s="347"/>
      <c r="AA270" s="347"/>
      <c r="AB270" s="347"/>
      <c r="AC270" s="347"/>
      <c r="AD270" s="347"/>
      <c r="AE270" s="347"/>
      <c r="AF270" s="347"/>
      <c r="AG270" s="364"/>
      <c r="AH270" s="364"/>
      <c r="BY270" s="486"/>
      <c r="BZ270" s="487"/>
    </row>
    <row r="271" spans="1:78" s="349" customFormat="1" ht="13">
      <c r="A271" s="870"/>
      <c r="B271" s="407"/>
      <c r="C271" s="354"/>
      <c r="D271" s="354"/>
      <c r="E271" s="354"/>
      <c r="F271" s="354"/>
      <c r="G271" s="354"/>
      <c r="H271" s="354"/>
      <c r="I271" s="347"/>
      <c r="J271" s="347"/>
      <c r="K271" s="347"/>
      <c r="L271" s="347"/>
      <c r="M271" s="347"/>
      <c r="N271" s="347"/>
      <c r="O271" s="347"/>
      <c r="P271" s="347"/>
      <c r="Q271" s="347"/>
      <c r="R271" s="347"/>
      <c r="S271" s="347"/>
      <c r="T271" s="347"/>
      <c r="U271" s="347"/>
      <c r="V271" s="347"/>
      <c r="W271" s="347"/>
      <c r="X271" s="347"/>
      <c r="Y271" s="347"/>
      <c r="Z271" s="347"/>
      <c r="AA271" s="347"/>
      <c r="AB271" s="347"/>
      <c r="AC271" s="347"/>
      <c r="AD271" s="347"/>
      <c r="AE271" s="347"/>
      <c r="AF271" s="347"/>
      <c r="AG271" s="364"/>
      <c r="AH271" s="364"/>
      <c r="BY271" s="486"/>
      <c r="BZ271" s="487"/>
    </row>
    <row r="272" spans="1:78" s="349" customFormat="1" ht="13">
      <c r="A272" s="870"/>
      <c r="B272" s="483" t="s">
        <v>277</v>
      </c>
      <c r="C272" s="485">
        <f>C$2</f>
        <v>2007</v>
      </c>
      <c r="D272" s="485">
        <f t="shared" ref="D272:S272" si="482">C272+1</f>
        <v>2008</v>
      </c>
      <c r="E272" s="485">
        <f t="shared" si="482"/>
        <v>2009</v>
      </c>
      <c r="F272" s="485">
        <f t="shared" si="482"/>
        <v>2010</v>
      </c>
      <c r="G272" s="485">
        <f t="shared" si="482"/>
        <v>2011</v>
      </c>
      <c r="H272" s="485">
        <f t="shared" si="482"/>
        <v>2012</v>
      </c>
      <c r="I272" s="485">
        <f t="shared" si="482"/>
        <v>2013</v>
      </c>
      <c r="J272" s="485">
        <f t="shared" si="482"/>
        <v>2014</v>
      </c>
      <c r="K272" s="485">
        <f t="shared" si="482"/>
        <v>2015</v>
      </c>
      <c r="L272" s="485">
        <f t="shared" si="482"/>
        <v>2016</v>
      </c>
      <c r="M272" s="485">
        <f t="shared" si="482"/>
        <v>2017</v>
      </c>
      <c r="N272" s="485">
        <f t="shared" si="482"/>
        <v>2018</v>
      </c>
      <c r="O272" s="485">
        <f t="shared" si="482"/>
        <v>2019</v>
      </c>
      <c r="P272" s="485">
        <f t="shared" si="482"/>
        <v>2020</v>
      </c>
      <c r="Q272" s="485">
        <f t="shared" si="482"/>
        <v>2021</v>
      </c>
      <c r="R272" s="485">
        <f t="shared" si="482"/>
        <v>2022</v>
      </c>
      <c r="S272" s="485">
        <f t="shared" si="482"/>
        <v>2023</v>
      </c>
      <c r="T272" s="485">
        <f t="shared" ref="T272:Y272" si="483">S272+1</f>
        <v>2024</v>
      </c>
      <c r="U272" s="485"/>
      <c r="V272" s="485">
        <f>T272+1</f>
        <v>2025</v>
      </c>
      <c r="W272" s="485">
        <f t="shared" si="483"/>
        <v>2026</v>
      </c>
      <c r="X272" s="485">
        <f t="shared" si="483"/>
        <v>2027</v>
      </c>
      <c r="Y272" s="485">
        <f t="shared" si="483"/>
        <v>2028</v>
      </c>
      <c r="Z272" s="485">
        <f t="shared" ref="Z272" si="484">Y272+1</f>
        <v>2029</v>
      </c>
      <c r="AA272" s="485">
        <f t="shared" ref="AA272" si="485">Z272+1</f>
        <v>2030</v>
      </c>
      <c r="AB272" s="364"/>
      <c r="AC272" s="364"/>
      <c r="AD272" s="364"/>
      <c r="AE272" s="364"/>
      <c r="AF272" s="364"/>
      <c r="AG272" s="347"/>
      <c r="AH272" s="347"/>
      <c r="BY272" s="486"/>
      <c r="BZ272" s="487"/>
    </row>
    <row r="273" spans="1:78" s="349" customFormat="1" ht="13">
      <c r="A273" s="870"/>
      <c r="B273" s="407"/>
      <c r="C273" s="636"/>
      <c r="D273" s="636"/>
      <c r="E273" s="636"/>
      <c r="F273" s="636"/>
      <c r="G273" s="636"/>
      <c r="H273" s="636"/>
      <c r="I273" s="636"/>
      <c r="J273" s="636"/>
      <c r="K273" s="636"/>
      <c r="L273" s="636"/>
      <c r="M273" s="636"/>
      <c r="N273" s="636"/>
      <c r="O273" s="636"/>
      <c r="P273" s="636"/>
      <c r="Q273" s="636"/>
      <c r="R273" s="354">
        <f t="shared" ref="R273:S273" si="486">Q273</f>
        <v>0</v>
      </c>
      <c r="S273" s="354">
        <f t="shared" si="486"/>
        <v>0</v>
      </c>
      <c r="T273" s="354">
        <f t="shared" ref="T273:Y273" si="487">S273</f>
        <v>0</v>
      </c>
      <c r="U273" s="354"/>
      <c r="V273" s="354">
        <f>T273</f>
        <v>0</v>
      </c>
      <c r="W273" s="354">
        <f t="shared" si="487"/>
        <v>0</v>
      </c>
      <c r="X273" s="354">
        <f t="shared" si="487"/>
        <v>0</v>
      </c>
      <c r="Y273" s="354">
        <f t="shared" si="487"/>
        <v>0</v>
      </c>
      <c r="Z273" s="354">
        <f t="shared" ref="Z273" si="488">Y273</f>
        <v>0</v>
      </c>
      <c r="AA273" s="354">
        <f t="shared" ref="AA273" si="489">Z273</f>
        <v>0</v>
      </c>
      <c r="AB273" s="347"/>
      <c r="AC273" s="347"/>
      <c r="AD273" s="347"/>
      <c r="AE273" s="347"/>
      <c r="AF273" s="347"/>
      <c r="AG273" s="347"/>
      <c r="AH273" s="347"/>
      <c r="BY273" s="486"/>
      <c r="BZ273" s="487"/>
    </row>
    <row r="274" spans="1:78" s="349" customFormat="1" ht="13">
      <c r="A274" s="870"/>
      <c r="B274" s="407"/>
      <c r="C274" s="354"/>
      <c r="D274" s="354"/>
      <c r="E274" s="354"/>
      <c r="F274" s="354"/>
      <c r="G274" s="354"/>
      <c r="H274" s="354"/>
      <c r="I274" s="347"/>
      <c r="J274" s="347"/>
      <c r="K274" s="347"/>
      <c r="L274" s="347"/>
      <c r="M274" s="347"/>
      <c r="N274" s="347"/>
      <c r="O274" s="347"/>
      <c r="P274" s="347"/>
      <c r="Q274" s="347"/>
      <c r="R274" s="347"/>
      <c r="S274" s="347"/>
      <c r="T274" s="347"/>
      <c r="U274" s="347"/>
      <c r="V274" s="347"/>
      <c r="W274" s="347"/>
      <c r="X274" s="347"/>
      <c r="Y274" s="347"/>
      <c r="Z274" s="347"/>
      <c r="AA274" s="347"/>
      <c r="AB274" s="347"/>
      <c r="AC274" s="347"/>
      <c r="AD274" s="347"/>
      <c r="AE274" s="347"/>
      <c r="AF274" s="347"/>
      <c r="AG274" s="364"/>
      <c r="AH274" s="364"/>
      <c r="BY274" s="486"/>
      <c r="BZ274" s="487"/>
    </row>
    <row r="275" spans="1:78" s="349" customFormat="1" ht="13">
      <c r="A275" s="870"/>
      <c r="B275" s="483" t="s">
        <v>592</v>
      </c>
      <c r="C275" s="485">
        <f>C$2</f>
        <v>2007</v>
      </c>
      <c r="D275" s="485">
        <f t="shared" ref="D275:S275" si="490">C275+1</f>
        <v>2008</v>
      </c>
      <c r="E275" s="485">
        <f t="shared" si="490"/>
        <v>2009</v>
      </c>
      <c r="F275" s="485">
        <f t="shared" si="490"/>
        <v>2010</v>
      </c>
      <c r="G275" s="485">
        <f t="shared" si="490"/>
        <v>2011</v>
      </c>
      <c r="H275" s="485">
        <f t="shared" si="490"/>
        <v>2012</v>
      </c>
      <c r="I275" s="485">
        <f t="shared" si="490"/>
        <v>2013</v>
      </c>
      <c r="J275" s="485">
        <f t="shared" si="490"/>
        <v>2014</v>
      </c>
      <c r="K275" s="485">
        <f t="shared" si="490"/>
        <v>2015</v>
      </c>
      <c r="L275" s="485">
        <f t="shared" si="490"/>
        <v>2016</v>
      </c>
      <c r="M275" s="485">
        <f t="shared" si="490"/>
        <v>2017</v>
      </c>
      <c r="N275" s="485">
        <f t="shared" si="490"/>
        <v>2018</v>
      </c>
      <c r="O275" s="485">
        <f t="shared" si="490"/>
        <v>2019</v>
      </c>
      <c r="P275" s="485">
        <f t="shared" si="490"/>
        <v>2020</v>
      </c>
      <c r="Q275" s="485">
        <f t="shared" si="490"/>
        <v>2021</v>
      </c>
      <c r="R275" s="485">
        <f t="shared" si="490"/>
        <v>2022</v>
      </c>
      <c r="S275" s="485">
        <f t="shared" si="490"/>
        <v>2023</v>
      </c>
      <c r="T275" s="485">
        <f t="shared" ref="T275:Y275" si="491">S275+1</f>
        <v>2024</v>
      </c>
      <c r="U275" s="485"/>
      <c r="V275" s="485">
        <f>T275+1</f>
        <v>2025</v>
      </c>
      <c r="W275" s="485">
        <f t="shared" si="491"/>
        <v>2026</v>
      </c>
      <c r="X275" s="485">
        <f t="shared" si="491"/>
        <v>2027</v>
      </c>
      <c r="Y275" s="485">
        <f t="shared" si="491"/>
        <v>2028</v>
      </c>
      <c r="Z275" s="485">
        <f t="shared" ref="Z275" si="492">Y275+1</f>
        <v>2029</v>
      </c>
      <c r="AA275" s="485">
        <f t="shared" ref="AA275" si="493">Z275+1</f>
        <v>2030</v>
      </c>
      <c r="AB275" s="364"/>
      <c r="AC275" s="364"/>
      <c r="AD275" s="364"/>
      <c r="AE275" s="364"/>
      <c r="AF275" s="364"/>
      <c r="AG275" s="347"/>
      <c r="AH275" s="347"/>
    </row>
    <row r="276" spans="1:78" s="349" customFormat="1" ht="13">
      <c r="A276" s="870"/>
      <c r="B276" s="407"/>
      <c r="C276" s="635">
        <v>1311</v>
      </c>
      <c r="D276" s="635">
        <v>2013</v>
      </c>
      <c r="E276" s="635">
        <v>1756</v>
      </c>
      <c r="F276" s="635">
        <v>1826</v>
      </c>
      <c r="G276" s="635">
        <v>2168</v>
      </c>
      <c r="H276" s="635">
        <v>2154</v>
      </c>
      <c r="I276" s="635">
        <f>2154+6681</f>
        <v>8835</v>
      </c>
      <c r="J276" s="635">
        <v>14538</v>
      </c>
      <c r="K276" s="635">
        <f>109+1351+383+416</f>
        <v>2259</v>
      </c>
      <c r="L276" s="635">
        <f>169+1086+509+353</f>
        <v>2117</v>
      </c>
      <c r="M276" s="635">
        <f>879+454+277</f>
        <v>1610</v>
      </c>
      <c r="N276" s="635">
        <f>814.467+283.836+249.164</f>
        <v>1347.4669999999999</v>
      </c>
      <c r="O276" s="635">
        <f>665.165+0+273.721</f>
        <v>938.88599999999997</v>
      </c>
      <c r="P276" s="635">
        <f>104.619+85.33+246.431</f>
        <v>436.38</v>
      </c>
      <c r="Q276" s="635">
        <f>65020.091-SUM(Q13:Q17)</f>
        <v>513.37700000000768</v>
      </c>
      <c r="R276" s="635">
        <f>76869.422-SUM(R13:R17)</f>
        <v>620.24900000002526</v>
      </c>
      <c r="S276" s="635">
        <f>80514.573-SUM(S13:S17)</f>
        <v>3482.4060000000027</v>
      </c>
      <c r="T276" s="635">
        <f>Inputs!BO69-SUM(T13:T17)</f>
        <v>2808.127999999997</v>
      </c>
      <c r="U276" s="635"/>
      <c r="V276" s="355">
        <f>T276</f>
        <v>2808.127999999997</v>
      </c>
      <c r="W276" s="355">
        <f t="shared" ref="W276:Y276" si="494">V276</f>
        <v>2808.127999999997</v>
      </c>
      <c r="X276" s="355">
        <f t="shared" si="494"/>
        <v>2808.127999999997</v>
      </c>
      <c r="Y276" s="355">
        <f t="shared" si="494"/>
        <v>2808.127999999997</v>
      </c>
      <c r="Z276" s="355">
        <f t="shared" ref="Z276" si="495">Y276</f>
        <v>2808.127999999997</v>
      </c>
      <c r="AA276" s="355">
        <f t="shared" ref="AA276" si="496">Z276</f>
        <v>2808.127999999997</v>
      </c>
      <c r="AB276" s="347"/>
      <c r="AC276" s="347"/>
      <c r="AD276" s="347"/>
      <c r="AE276" s="347"/>
      <c r="AF276" s="347"/>
      <c r="AG276" s="347"/>
      <c r="AH276" s="347"/>
    </row>
    <row r="277" spans="1:78" s="349" customFormat="1" ht="13">
      <c r="A277" s="870"/>
      <c r="B277" s="407"/>
      <c r="C277" s="355"/>
      <c r="D277" s="355"/>
      <c r="E277" s="355"/>
      <c r="F277" s="355"/>
      <c r="G277" s="355"/>
      <c r="H277" s="355"/>
      <c r="I277" s="355"/>
      <c r="J277" s="355"/>
      <c r="K277" s="355"/>
      <c r="L277" s="355"/>
      <c r="M277" s="355"/>
      <c r="N277" s="355"/>
      <c r="O277" s="355"/>
      <c r="P277" s="355"/>
      <c r="Q277" s="355"/>
      <c r="R277" s="355"/>
      <c r="S277" s="355"/>
      <c r="T277" s="355"/>
      <c r="U277" s="355"/>
      <c r="V277" s="355"/>
      <c r="W277" s="355"/>
      <c r="X277" s="355"/>
      <c r="Y277" s="355"/>
      <c r="Z277" s="355"/>
      <c r="AA277" s="355"/>
      <c r="AB277" s="347"/>
      <c r="AC277" s="347"/>
      <c r="AD277" s="347"/>
      <c r="AE277" s="347"/>
      <c r="AF277" s="347"/>
      <c r="AG277" s="347"/>
      <c r="AH277" s="347"/>
    </row>
    <row r="278" spans="1:78" s="349" customFormat="1" ht="13">
      <c r="A278" s="870"/>
      <c r="B278" s="407"/>
      <c r="C278" s="354"/>
      <c r="D278" s="354"/>
      <c r="E278" s="354"/>
      <c r="F278" s="354"/>
      <c r="G278" s="354"/>
      <c r="H278" s="354"/>
      <c r="I278" s="347"/>
      <c r="J278" s="347"/>
      <c r="K278" s="347"/>
      <c r="L278" s="347"/>
      <c r="M278" s="347"/>
      <c r="N278" s="347"/>
      <c r="O278" s="347"/>
      <c r="P278" s="347"/>
      <c r="Q278" s="347"/>
      <c r="R278" s="347"/>
      <c r="S278" s="347"/>
      <c r="T278" s="347"/>
      <c r="U278" s="347"/>
      <c r="V278" s="347"/>
      <c r="W278" s="347"/>
      <c r="X278" s="347"/>
      <c r="Y278" s="347"/>
      <c r="Z278" s="347"/>
      <c r="AA278" s="347"/>
      <c r="AB278" s="347"/>
      <c r="AC278" s="347"/>
      <c r="AD278" s="347"/>
      <c r="AE278" s="347"/>
      <c r="AF278" s="347"/>
      <c r="AG278" s="364"/>
      <c r="AH278" s="364"/>
    </row>
    <row r="279" spans="1:78" s="349" customFormat="1" ht="13">
      <c r="A279" s="870"/>
      <c r="B279" s="483" t="s">
        <v>117</v>
      </c>
      <c r="C279" s="485">
        <f>C$2</f>
        <v>2007</v>
      </c>
      <c r="D279" s="485">
        <f t="shared" ref="D279:S279" si="497">C279+1</f>
        <v>2008</v>
      </c>
      <c r="E279" s="485">
        <f t="shared" si="497"/>
        <v>2009</v>
      </c>
      <c r="F279" s="485">
        <f t="shared" si="497"/>
        <v>2010</v>
      </c>
      <c r="G279" s="485">
        <f t="shared" si="497"/>
        <v>2011</v>
      </c>
      <c r="H279" s="485">
        <f t="shared" si="497"/>
        <v>2012</v>
      </c>
      <c r="I279" s="485">
        <f t="shared" si="497"/>
        <v>2013</v>
      </c>
      <c r="J279" s="485">
        <f t="shared" si="497"/>
        <v>2014</v>
      </c>
      <c r="K279" s="485">
        <f t="shared" si="497"/>
        <v>2015</v>
      </c>
      <c r="L279" s="485">
        <f t="shared" si="497"/>
        <v>2016</v>
      </c>
      <c r="M279" s="485">
        <f t="shared" si="497"/>
        <v>2017</v>
      </c>
      <c r="N279" s="485">
        <f t="shared" si="497"/>
        <v>2018</v>
      </c>
      <c r="O279" s="485">
        <f t="shared" si="497"/>
        <v>2019</v>
      </c>
      <c r="P279" s="485">
        <f t="shared" si="497"/>
        <v>2020</v>
      </c>
      <c r="Q279" s="485">
        <f t="shared" si="497"/>
        <v>2021</v>
      </c>
      <c r="R279" s="485">
        <f t="shared" si="497"/>
        <v>2022</v>
      </c>
      <c r="S279" s="485">
        <f t="shared" si="497"/>
        <v>2023</v>
      </c>
      <c r="T279" s="485">
        <f t="shared" ref="T279:Y279" si="498">S279+1</f>
        <v>2024</v>
      </c>
      <c r="U279" s="485"/>
      <c r="V279" s="485">
        <f>T279+1</f>
        <v>2025</v>
      </c>
      <c r="W279" s="485">
        <f t="shared" si="498"/>
        <v>2026</v>
      </c>
      <c r="X279" s="485">
        <f t="shared" si="498"/>
        <v>2027</v>
      </c>
      <c r="Y279" s="485">
        <f t="shared" si="498"/>
        <v>2028</v>
      </c>
      <c r="Z279" s="485">
        <f t="shared" ref="Z279" si="499">Y279+1</f>
        <v>2029</v>
      </c>
      <c r="AA279" s="485">
        <f t="shared" ref="AA279" si="500">Z279+1</f>
        <v>2030</v>
      </c>
      <c r="AB279" s="364"/>
      <c r="AC279" s="364"/>
      <c r="AD279" s="364"/>
      <c r="AE279" s="364"/>
      <c r="AF279" s="364"/>
      <c r="AG279" s="347"/>
      <c r="AH279" s="347"/>
    </row>
    <row r="280" spans="1:78" s="349" customFormat="1" ht="13">
      <c r="A280" s="870"/>
      <c r="B280" s="407"/>
      <c r="C280" s="354"/>
      <c r="D280" s="354">
        <f t="shared" ref="D280:S280" si="501">C280</f>
        <v>0</v>
      </c>
      <c r="E280" s="354">
        <f t="shared" si="501"/>
        <v>0</v>
      </c>
      <c r="F280" s="354">
        <f t="shared" si="501"/>
        <v>0</v>
      </c>
      <c r="G280" s="354">
        <f t="shared" si="501"/>
        <v>0</v>
      </c>
      <c r="H280" s="354">
        <f t="shared" si="501"/>
        <v>0</v>
      </c>
      <c r="I280" s="354">
        <f t="shared" si="501"/>
        <v>0</v>
      </c>
      <c r="J280" s="354">
        <f t="shared" si="501"/>
        <v>0</v>
      </c>
      <c r="K280" s="354">
        <f t="shared" si="501"/>
        <v>0</v>
      </c>
      <c r="L280" s="354">
        <f t="shared" si="501"/>
        <v>0</v>
      </c>
      <c r="M280" s="354">
        <f t="shared" si="501"/>
        <v>0</v>
      </c>
      <c r="N280" s="354">
        <f t="shared" si="501"/>
        <v>0</v>
      </c>
      <c r="O280" s="354">
        <f t="shared" si="501"/>
        <v>0</v>
      </c>
      <c r="P280" s="354">
        <f t="shared" si="501"/>
        <v>0</v>
      </c>
      <c r="Q280" s="354">
        <f t="shared" si="501"/>
        <v>0</v>
      </c>
      <c r="R280" s="354">
        <f t="shared" si="501"/>
        <v>0</v>
      </c>
      <c r="S280" s="354">
        <f t="shared" si="501"/>
        <v>0</v>
      </c>
      <c r="T280" s="354">
        <f t="shared" ref="T280:Y280" si="502">S280</f>
        <v>0</v>
      </c>
      <c r="U280" s="354"/>
      <c r="V280" s="354">
        <f>T280</f>
        <v>0</v>
      </c>
      <c r="W280" s="354">
        <f t="shared" si="502"/>
        <v>0</v>
      </c>
      <c r="X280" s="354">
        <f t="shared" si="502"/>
        <v>0</v>
      </c>
      <c r="Y280" s="354">
        <f t="shared" si="502"/>
        <v>0</v>
      </c>
      <c r="Z280" s="354">
        <f t="shared" ref="Z280" si="503">Y280</f>
        <v>0</v>
      </c>
      <c r="AA280" s="354">
        <f t="shared" ref="AA280" si="504">Z280</f>
        <v>0</v>
      </c>
      <c r="AB280" s="347"/>
      <c r="AC280" s="347"/>
      <c r="AD280" s="347"/>
      <c r="AE280" s="347"/>
      <c r="AF280" s="347"/>
      <c r="AG280" s="347"/>
      <c r="AH280" s="347"/>
    </row>
    <row r="281" spans="1:78" s="349" customFormat="1" ht="13">
      <c r="A281" s="870"/>
      <c r="B281" s="407"/>
      <c r="C281" s="354"/>
      <c r="D281" s="354"/>
      <c r="E281" s="354"/>
      <c r="F281" s="354"/>
      <c r="G281" s="354"/>
      <c r="H281" s="354"/>
      <c r="I281" s="354"/>
      <c r="J281" s="354"/>
      <c r="K281" s="354"/>
      <c r="L281" s="354"/>
      <c r="M281" s="354"/>
      <c r="N281" s="354"/>
      <c r="O281" s="354"/>
      <c r="P281" s="354"/>
      <c r="Q281" s="354"/>
      <c r="R281" s="354"/>
      <c r="S281" s="354"/>
      <c r="T281" s="354"/>
      <c r="U281" s="354"/>
      <c r="V281" s="354"/>
      <c r="W281" s="354"/>
      <c r="X281" s="354"/>
      <c r="Y281" s="354"/>
      <c r="Z281" s="354"/>
      <c r="AA281" s="354"/>
      <c r="AB281" s="347"/>
      <c r="AC281" s="347"/>
      <c r="AD281" s="347"/>
      <c r="AE281" s="347"/>
      <c r="AF281" s="347"/>
      <c r="AG281" s="347"/>
      <c r="AH281" s="347"/>
    </row>
    <row r="282" spans="1:78" s="349" customFormat="1" ht="13">
      <c r="A282" s="870"/>
      <c r="B282" s="407"/>
      <c r="C282" s="354"/>
      <c r="D282" s="354"/>
      <c r="E282" s="354"/>
      <c r="F282" s="354"/>
      <c r="G282" s="354"/>
      <c r="H282" s="354"/>
      <c r="I282" s="347"/>
      <c r="J282" s="347"/>
      <c r="K282" s="347"/>
      <c r="L282" s="347"/>
      <c r="M282" s="347"/>
      <c r="N282" s="347"/>
      <c r="O282" s="347"/>
      <c r="P282" s="347"/>
      <c r="Q282" s="347"/>
      <c r="R282" s="347"/>
      <c r="S282" s="347"/>
      <c r="T282" s="347"/>
      <c r="U282" s="347"/>
      <c r="V282" s="347"/>
      <c r="W282" s="347"/>
      <c r="X282" s="347"/>
      <c r="Y282" s="347"/>
      <c r="Z282" s="347"/>
      <c r="AA282" s="347"/>
      <c r="AB282" s="347"/>
      <c r="AC282" s="347"/>
      <c r="AD282" s="347"/>
      <c r="AE282" s="347"/>
      <c r="AF282" s="347"/>
      <c r="AG282" s="364"/>
      <c r="AH282" s="364"/>
    </row>
    <row r="283" spans="1:78" s="349" customFormat="1" ht="13">
      <c r="A283" s="870"/>
      <c r="B283" s="483" t="s">
        <v>191</v>
      </c>
      <c r="C283" s="485">
        <f>C$2</f>
        <v>2007</v>
      </c>
      <c r="D283" s="485">
        <f t="shared" ref="D283:S283" si="505">C283+1</f>
        <v>2008</v>
      </c>
      <c r="E283" s="485">
        <f t="shared" si="505"/>
        <v>2009</v>
      </c>
      <c r="F283" s="485">
        <f t="shared" si="505"/>
        <v>2010</v>
      </c>
      <c r="G283" s="485">
        <f t="shared" si="505"/>
        <v>2011</v>
      </c>
      <c r="H283" s="485">
        <f t="shared" si="505"/>
        <v>2012</v>
      </c>
      <c r="I283" s="485">
        <f t="shared" si="505"/>
        <v>2013</v>
      </c>
      <c r="J283" s="485">
        <f t="shared" si="505"/>
        <v>2014</v>
      </c>
      <c r="K283" s="485">
        <f t="shared" si="505"/>
        <v>2015</v>
      </c>
      <c r="L283" s="485">
        <f t="shared" si="505"/>
        <v>2016</v>
      </c>
      <c r="M283" s="485">
        <f t="shared" si="505"/>
        <v>2017</v>
      </c>
      <c r="N283" s="485">
        <f t="shared" si="505"/>
        <v>2018</v>
      </c>
      <c r="O283" s="485">
        <f t="shared" si="505"/>
        <v>2019</v>
      </c>
      <c r="P283" s="485">
        <f t="shared" si="505"/>
        <v>2020</v>
      </c>
      <c r="Q283" s="485">
        <f t="shared" si="505"/>
        <v>2021</v>
      </c>
      <c r="R283" s="485">
        <f t="shared" si="505"/>
        <v>2022</v>
      </c>
      <c r="S283" s="485">
        <f t="shared" si="505"/>
        <v>2023</v>
      </c>
      <c r="T283" s="485">
        <f t="shared" ref="T283:Y283" si="506">S283+1</f>
        <v>2024</v>
      </c>
      <c r="U283" s="485"/>
      <c r="V283" s="485">
        <f>T283+1</f>
        <v>2025</v>
      </c>
      <c r="W283" s="485">
        <f t="shared" si="506"/>
        <v>2026</v>
      </c>
      <c r="X283" s="485">
        <f t="shared" si="506"/>
        <v>2027</v>
      </c>
      <c r="Y283" s="485">
        <f t="shared" si="506"/>
        <v>2028</v>
      </c>
      <c r="Z283" s="485">
        <f t="shared" ref="Z283" si="507">Y283+1</f>
        <v>2029</v>
      </c>
      <c r="AA283" s="485">
        <f t="shared" ref="AA283" si="508">Z283+1</f>
        <v>2030</v>
      </c>
      <c r="AB283" s="364"/>
      <c r="AC283" s="364"/>
      <c r="AD283" s="364"/>
      <c r="AE283" s="364"/>
      <c r="AF283" s="364"/>
      <c r="AG283" s="347"/>
      <c r="AH283" s="347"/>
    </row>
    <row r="284" spans="1:78" s="349" customFormat="1" ht="13">
      <c r="A284" s="870"/>
      <c r="B284" s="407" t="s">
        <v>192</v>
      </c>
      <c r="C284" s="635"/>
      <c r="D284" s="635"/>
      <c r="E284" s="635"/>
      <c r="F284" s="635"/>
      <c r="G284" s="635"/>
      <c r="H284" s="635"/>
      <c r="I284" s="635"/>
      <c r="J284" s="635"/>
      <c r="K284" s="635">
        <f>1137</f>
        <v>1137</v>
      </c>
      <c r="L284" s="635">
        <f>955</f>
        <v>955</v>
      </c>
      <c r="M284" s="635">
        <v>810</v>
      </c>
      <c r="N284" s="635">
        <v>0</v>
      </c>
      <c r="O284" s="635">
        <v>0</v>
      </c>
      <c r="P284" s="635">
        <v>0</v>
      </c>
      <c r="Q284" s="635">
        <v>338.82900000000001</v>
      </c>
      <c r="R284" s="635">
        <v>532.601</v>
      </c>
      <c r="S284" s="635">
        <v>609.71900000000005</v>
      </c>
      <c r="T284" s="635">
        <f>Inputs!BO97</f>
        <v>608.19200000000001</v>
      </c>
      <c r="U284" s="635"/>
      <c r="V284" s="355">
        <f>T284</f>
        <v>608.19200000000001</v>
      </c>
      <c r="W284" s="355">
        <f t="shared" ref="W284:Y284" si="509">V284</f>
        <v>608.19200000000001</v>
      </c>
      <c r="X284" s="355">
        <f t="shared" si="509"/>
        <v>608.19200000000001</v>
      </c>
      <c r="Y284" s="355">
        <f t="shared" si="509"/>
        <v>608.19200000000001</v>
      </c>
      <c r="Z284" s="355">
        <f t="shared" ref="Z284" si="510">Y284</f>
        <v>608.19200000000001</v>
      </c>
      <c r="AA284" s="355">
        <f t="shared" ref="AA284" si="511">Z284</f>
        <v>608.19200000000001</v>
      </c>
      <c r="AB284" s="347"/>
      <c r="AC284" s="347"/>
      <c r="AD284" s="347"/>
      <c r="AE284" s="347"/>
      <c r="AF284" s="347"/>
      <c r="AG284" s="347"/>
      <c r="AH284" s="347"/>
    </row>
    <row r="285" spans="1:78" s="349" customFormat="1" ht="13">
      <c r="A285" s="870"/>
      <c r="B285" s="407"/>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47"/>
      <c r="AC285" s="347"/>
      <c r="AD285" s="347"/>
      <c r="AE285" s="347"/>
      <c r="AF285" s="347"/>
      <c r="AG285" s="364"/>
      <c r="AH285" s="364"/>
    </row>
    <row r="286" spans="1:78" s="349" customFormat="1" ht="13">
      <c r="A286" s="870"/>
      <c r="B286" s="483" t="s">
        <v>193</v>
      </c>
      <c r="C286" s="485">
        <f>C$2</f>
        <v>2007</v>
      </c>
      <c r="D286" s="485">
        <f t="shared" ref="D286:S286" si="512">C286+1</f>
        <v>2008</v>
      </c>
      <c r="E286" s="485">
        <f t="shared" si="512"/>
        <v>2009</v>
      </c>
      <c r="F286" s="485">
        <f t="shared" si="512"/>
        <v>2010</v>
      </c>
      <c r="G286" s="485">
        <f t="shared" si="512"/>
        <v>2011</v>
      </c>
      <c r="H286" s="485">
        <f t="shared" si="512"/>
        <v>2012</v>
      </c>
      <c r="I286" s="485">
        <f t="shared" si="512"/>
        <v>2013</v>
      </c>
      <c r="J286" s="485">
        <f t="shared" si="512"/>
        <v>2014</v>
      </c>
      <c r="K286" s="485">
        <f t="shared" si="512"/>
        <v>2015</v>
      </c>
      <c r="L286" s="485">
        <f t="shared" si="512"/>
        <v>2016</v>
      </c>
      <c r="M286" s="485">
        <f t="shared" si="512"/>
        <v>2017</v>
      </c>
      <c r="N286" s="485">
        <f t="shared" si="512"/>
        <v>2018</v>
      </c>
      <c r="O286" s="485">
        <f t="shared" si="512"/>
        <v>2019</v>
      </c>
      <c r="P286" s="485">
        <f t="shared" si="512"/>
        <v>2020</v>
      </c>
      <c r="Q286" s="485">
        <f t="shared" si="512"/>
        <v>2021</v>
      </c>
      <c r="R286" s="485">
        <f t="shared" si="512"/>
        <v>2022</v>
      </c>
      <c r="S286" s="485">
        <f t="shared" si="512"/>
        <v>2023</v>
      </c>
      <c r="T286" s="485">
        <f t="shared" ref="T286:Y286" si="513">S286+1</f>
        <v>2024</v>
      </c>
      <c r="U286" s="485"/>
      <c r="V286" s="485">
        <f>T286+1</f>
        <v>2025</v>
      </c>
      <c r="W286" s="485">
        <f t="shared" si="513"/>
        <v>2026</v>
      </c>
      <c r="X286" s="485">
        <f t="shared" si="513"/>
        <v>2027</v>
      </c>
      <c r="Y286" s="485">
        <f t="shared" si="513"/>
        <v>2028</v>
      </c>
      <c r="Z286" s="485">
        <f t="shared" ref="Z286" si="514">Y286+1</f>
        <v>2029</v>
      </c>
      <c r="AA286" s="485">
        <f t="shared" ref="AA286" si="515">Z286+1</f>
        <v>2030</v>
      </c>
      <c r="AB286" s="364"/>
      <c r="AC286" s="364"/>
      <c r="AD286" s="364"/>
      <c r="AE286" s="364"/>
      <c r="AF286" s="364"/>
      <c r="AG286" s="347"/>
      <c r="AH286" s="347"/>
    </row>
    <row r="287" spans="1:78" s="349" customFormat="1" ht="13">
      <c r="A287" s="870"/>
      <c r="B287" s="407" t="s">
        <v>194</v>
      </c>
      <c r="C287" s="635"/>
      <c r="D287" s="635"/>
      <c r="E287" s="635"/>
      <c r="F287" s="635"/>
      <c r="G287" s="635"/>
      <c r="H287" s="635"/>
      <c r="I287" s="635"/>
      <c r="J287" s="635"/>
      <c r="K287" s="635"/>
      <c r="L287" s="635"/>
      <c r="M287" s="635"/>
      <c r="N287" s="635"/>
      <c r="O287" s="635"/>
      <c r="P287" s="635"/>
      <c r="Q287" s="635">
        <f t="shared" ref="Q287:Y287" si="516">P287</f>
        <v>0</v>
      </c>
      <c r="R287" s="635">
        <f t="shared" si="516"/>
        <v>0</v>
      </c>
      <c r="S287" s="635">
        <f t="shared" si="516"/>
        <v>0</v>
      </c>
      <c r="T287" s="635">
        <f t="shared" si="516"/>
        <v>0</v>
      </c>
      <c r="U287" s="635"/>
      <c r="V287" s="355">
        <f>T287</f>
        <v>0</v>
      </c>
      <c r="W287" s="355">
        <f t="shared" si="516"/>
        <v>0</v>
      </c>
      <c r="X287" s="355">
        <f t="shared" si="516"/>
        <v>0</v>
      </c>
      <c r="Y287" s="355">
        <f t="shared" si="516"/>
        <v>0</v>
      </c>
      <c r="Z287" s="355">
        <f t="shared" ref="Z287" si="517">Y287</f>
        <v>0</v>
      </c>
      <c r="AA287" s="355">
        <f t="shared" ref="AA287" si="518">Z287</f>
        <v>0</v>
      </c>
      <c r="AB287" s="347"/>
      <c r="AC287" s="347"/>
      <c r="AD287" s="347"/>
      <c r="AE287" s="347"/>
      <c r="AF287" s="347"/>
      <c r="AG287" s="347"/>
      <c r="AH287" s="347"/>
    </row>
    <row r="288" spans="1:78" s="349" customFormat="1" ht="13">
      <c r="A288" s="870"/>
      <c r="B288" s="407" t="s">
        <v>195</v>
      </c>
      <c r="C288" s="356">
        <f>C287/'Income Statement'!C236</f>
        <v>0</v>
      </c>
      <c r="D288" s="356">
        <f>D287/'Income Statement'!H236</f>
        <v>0</v>
      </c>
      <c r="E288" s="356">
        <f>E287/'Income Statement'!M236</f>
        <v>0</v>
      </c>
      <c r="F288" s="356">
        <f>F287/'Income Statement'!R236</f>
        <v>0</v>
      </c>
      <c r="G288" s="356">
        <f>G287/'Income Statement'!W236</f>
        <v>0</v>
      </c>
      <c r="H288" s="356">
        <f>H287/'Income Statement'!AB236</f>
        <v>0</v>
      </c>
      <c r="I288" s="356">
        <f>I287/'Income Statement'!AG236</f>
        <v>0</v>
      </c>
      <c r="J288" s="356">
        <f>J287/'Income Statement'!AL236</f>
        <v>0</v>
      </c>
      <c r="K288" s="356">
        <f>K287/'Income Statement'!AQ236</f>
        <v>0</v>
      </c>
      <c r="L288" s="356">
        <f>L287/'Income Statement'!AV236</f>
        <v>0</v>
      </c>
      <c r="M288" s="356">
        <f>M287/'Income Statement'!BA236</f>
        <v>0</v>
      </c>
      <c r="N288" s="356">
        <f>N287/'Income Statement'!BF236</f>
        <v>0</v>
      </c>
      <c r="O288" s="356">
        <f>O287/'Income Statement'!BK236</f>
        <v>0</v>
      </c>
      <c r="P288" s="356">
        <f>P287/'Income Statement'!BL236</f>
        <v>0</v>
      </c>
      <c r="Q288" s="356">
        <f>Q287/'Income Statement'!BU236</f>
        <v>0</v>
      </c>
      <c r="R288" s="356">
        <f>R287/'Income Statement'!BZ236</f>
        <v>0</v>
      </c>
      <c r="S288" s="356">
        <f>S287/'Income Statement'!CE236</f>
        <v>0</v>
      </c>
      <c r="T288" s="356">
        <f>T287/'Income Statement'!CJ236</f>
        <v>0</v>
      </c>
      <c r="U288" s="356"/>
      <c r="V288" s="356">
        <f>V287/'Income Statement'!CO236</f>
        <v>0</v>
      </c>
      <c r="W288" s="356">
        <f>W287/'Income Statement'!CP236</f>
        <v>0</v>
      </c>
      <c r="X288" s="356">
        <f>X287/'Income Statement'!CQ236</f>
        <v>0</v>
      </c>
      <c r="Y288" s="356">
        <f>Y287/'Income Statement'!CR236</f>
        <v>0</v>
      </c>
      <c r="Z288" s="356">
        <f>Z287/'Income Statement'!CS236</f>
        <v>0</v>
      </c>
      <c r="AA288" s="356">
        <f>AA287/'Income Statement'!CT236</f>
        <v>0</v>
      </c>
      <c r="AB288" s="347"/>
      <c r="AC288" s="347"/>
      <c r="AD288" s="347"/>
      <c r="AE288" s="347"/>
      <c r="AF288" s="347"/>
      <c r="AG288" s="364"/>
      <c r="AH288" s="364"/>
    </row>
    <row r="289" spans="1:34" s="349" customFormat="1" ht="13">
      <c r="A289" s="870"/>
      <c r="B289" s="483" t="s">
        <v>97</v>
      </c>
      <c r="C289" s="485">
        <f>C$2</f>
        <v>2007</v>
      </c>
      <c r="D289" s="485">
        <f t="shared" ref="D289:S289" si="519">C289+1</f>
        <v>2008</v>
      </c>
      <c r="E289" s="485">
        <f t="shared" si="519"/>
        <v>2009</v>
      </c>
      <c r="F289" s="485">
        <f t="shared" si="519"/>
        <v>2010</v>
      </c>
      <c r="G289" s="485">
        <f t="shared" si="519"/>
        <v>2011</v>
      </c>
      <c r="H289" s="485">
        <f t="shared" si="519"/>
        <v>2012</v>
      </c>
      <c r="I289" s="485">
        <f t="shared" si="519"/>
        <v>2013</v>
      </c>
      <c r="J289" s="485">
        <f t="shared" si="519"/>
        <v>2014</v>
      </c>
      <c r="K289" s="485">
        <f t="shared" si="519"/>
        <v>2015</v>
      </c>
      <c r="L289" s="485">
        <f t="shared" si="519"/>
        <v>2016</v>
      </c>
      <c r="M289" s="485">
        <f t="shared" si="519"/>
        <v>2017</v>
      </c>
      <c r="N289" s="485">
        <f t="shared" si="519"/>
        <v>2018</v>
      </c>
      <c r="O289" s="485">
        <f t="shared" si="519"/>
        <v>2019</v>
      </c>
      <c r="P289" s="485">
        <f t="shared" si="519"/>
        <v>2020</v>
      </c>
      <c r="Q289" s="485">
        <f t="shared" si="519"/>
        <v>2021</v>
      </c>
      <c r="R289" s="485">
        <f t="shared" si="519"/>
        <v>2022</v>
      </c>
      <c r="S289" s="485">
        <f t="shared" si="519"/>
        <v>2023</v>
      </c>
      <c r="T289" s="485">
        <f t="shared" ref="T289:Y289" si="520">S289+1</f>
        <v>2024</v>
      </c>
      <c r="U289" s="485"/>
      <c r="V289" s="485">
        <f>T289+1</f>
        <v>2025</v>
      </c>
      <c r="W289" s="485">
        <f t="shared" si="520"/>
        <v>2026</v>
      </c>
      <c r="X289" s="485">
        <f t="shared" si="520"/>
        <v>2027</v>
      </c>
      <c r="Y289" s="485">
        <f t="shared" si="520"/>
        <v>2028</v>
      </c>
      <c r="Z289" s="485">
        <f t="shared" ref="Z289" si="521">Y289+1</f>
        <v>2029</v>
      </c>
      <c r="AA289" s="485">
        <f t="shared" ref="AA289" si="522">Z289+1</f>
        <v>2030</v>
      </c>
      <c r="AB289" s="364"/>
      <c r="AC289" s="364"/>
      <c r="AD289" s="364"/>
      <c r="AE289" s="364"/>
      <c r="AF289" s="364"/>
      <c r="AG289" s="347"/>
      <c r="AH289" s="347"/>
    </row>
    <row r="290" spans="1:34" s="349" customFormat="1" ht="13">
      <c r="A290" s="870"/>
      <c r="B290" s="407" t="s">
        <v>97</v>
      </c>
      <c r="C290" s="635">
        <f>-'Income Statement'!C268</f>
        <v>267</v>
      </c>
      <c r="D290" s="635">
        <f>-'Income Statement'!H268</f>
        <v>-60</v>
      </c>
      <c r="E290" s="635">
        <f>-'Income Statement'!M268</f>
        <v>640.79999999999995</v>
      </c>
      <c r="F290" s="635">
        <f>-'Income Statement'!R268</f>
        <v>977</v>
      </c>
      <c r="G290" s="635">
        <f>-'Income Statement'!W268</f>
        <v>1035</v>
      </c>
      <c r="H290" s="635">
        <f>-'Income Statement'!AB268</f>
        <v>1035</v>
      </c>
      <c r="I290" s="635">
        <f>-'Income Statement'!AG268</f>
        <v>357</v>
      </c>
      <c r="J290" s="635">
        <f>-'Income Statement'!AL268</f>
        <v>-179</v>
      </c>
      <c r="K290" s="635">
        <f>-'Income Statement'!AQ268</f>
        <v>-605</v>
      </c>
      <c r="L290" s="635">
        <v>-190</v>
      </c>
      <c r="M290" s="639">
        <v>-154</v>
      </c>
      <c r="N290" s="639">
        <v>-1099.3900000000001</v>
      </c>
      <c r="O290" s="639">
        <v>-431.53800000000001</v>
      </c>
      <c r="P290" s="639">
        <v>225.387</v>
      </c>
      <c r="Q290" s="640">
        <v>419.733</v>
      </c>
      <c r="R290" s="640">
        <v>231.84200000000001</v>
      </c>
      <c r="S290" s="640">
        <v>420.06900000000002</v>
      </c>
      <c r="T290" s="640">
        <v>579.59400000000005</v>
      </c>
      <c r="U290" s="640"/>
      <c r="V290" s="427">
        <f t="shared" ref="V290:X290" si="523">V292*V296</f>
        <v>-716.55429602080062</v>
      </c>
      <c r="W290" s="427">
        <f t="shared" si="523"/>
        <v>230.98067376252069</v>
      </c>
      <c r="X290" s="427">
        <f t="shared" si="523"/>
        <v>690.92447582855402</v>
      </c>
      <c r="Y290" s="427">
        <f>Y292*Y296</f>
        <v>1367.7147642273173</v>
      </c>
      <c r="Z290" s="427">
        <f t="shared" ref="Z290:AA290" si="524">Z292*Z296</f>
        <v>1747.3059378329119</v>
      </c>
      <c r="AA290" s="427">
        <f t="shared" si="524"/>
        <v>2102.155428607176</v>
      </c>
      <c r="AB290" s="347"/>
      <c r="AC290" s="347"/>
      <c r="AD290" s="347"/>
      <c r="AE290" s="347"/>
      <c r="AF290" s="347"/>
      <c r="AG290" s="347"/>
      <c r="AH290" s="347"/>
    </row>
    <row r="291" spans="1:34" s="349" customFormat="1" ht="13">
      <c r="A291" s="870"/>
      <c r="B291" s="407"/>
      <c r="AB291" s="347"/>
      <c r="AC291" s="347"/>
      <c r="AD291" s="347"/>
      <c r="AE291" s="347"/>
      <c r="AF291" s="347"/>
      <c r="AG291" s="347"/>
      <c r="AH291" s="347"/>
    </row>
    <row r="292" spans="1:34" s="349" customFormat="1" ht="13">
      <c r="A292" s="870"/>
      <c r="B292" s="407" t="s">
        <v>196</v>
      </c>
      <c r="C292" s="354">
        <f t="shared" ref="C292:T292" si="525">C83</f>
        <v>519</v>
      </c>
      <c r="D292" s="354">
        <f t="shared" si="525"/>
        <v>-74</v>
      </c>
      <c r="E292" s="354">
        <f t="shared" si="525"/>
        <v>2350.3000000000002</v>
      </c>
      <c r="F292" s="354">
        <f t="shared" si="525"/>
        <v>3869</v>
      </c>
      <c r="G292" s="354">
        <f t="shared" si="525"/>
        <v>3865</v>
      </c>
      <c r="H292" s="354">
        <f t="shared" si="525"/>
        <v>3752</v>
      </c>
      <c r="I292" s="354">
        <f t="shared" si="525"/>
        <v>1389</v>
      </c>
      <c r="J292" s="354">
        <f t="shared" si="525"/>
        <v>-1070</v>
      </c>
      <c r="K292" s="354">
        <f t="shared" si="525"/>
        <v>-630</v>
      </c>
      <c r="L292" s="354">
        <f t="shared" si="525"/>
        <v>184</v>
      </c>
      <c r="M292" s="354">
        <f t="shared" si="525"/>
        <v>207</v>
      </c>
      <c r="N292" s="354">
        <f t="shared" si="525"/>
        <v>-4393</v>
      </c>
      <c r="O292" s="354">
        <f t="shared" si="525"/>
        <v>1143</v>
      </c>
      <c r="P292" s="354">
        <f t="shared" si="525"/>
        <v>-1880.5620000000004</v>
      </c>
      <c r="Q292" s="354">
        <f t="shared" si="525"/>
        <v>1707.54</v>
      </c>
      <c r="R292" s="354">
        <f t="shared" si="525"/>
        <v>1353.03</v>
      </c>
      <c r="S292" s="354">
        <f t="shared" si="525"/>
        <v>1704.5170000000001</v>
      </c>
      <c r="T292" s="354">
        <f t="shared" si="525"/>
        <v>2427.2249999999999</v>
      </c>
      <c r="U292" s="354"/>
      <c r="V292" s="354">
        <f t="shared" ref="V292:AA292" si="526">V83</f>
        <v>-3000.7876222995537</v>
      </c>
      <c r="W292" s="354">
        <f t="shared" si="526"/>
        <v>967.30136245929771</v>
      </c>
      <c r="X292" s="354">
        <f t="shared" si="526"/>
        <v>2893.4550061645941</v>
      </c>
      <c r="Y292" s="354">
        <f t="shared" si="526"/>
        <v>5727.7188318057979</v>
      </c>
      <c r="Z292" s="354">
        <f t="shared" si="526"/>
        <v>7317.3715651930297</v>
      </c>
      <c r="AA292" s="354">
        <f t="shared" si="526"/>
        <v>8803.4110259958725</v>
      </c>
      <c r="AB292" s="347"/>
      <c r="AC292" s="347"/>
      <c r="AD292" s="347"/>
      <c r="AE292" s="347"/>
      <c r="AF292" s="347"/>
      <c r="AG292" s="347"/>
      <c r="AH292" s="347"/>
    </row>
    <row r="293" spans="1:34" s="349" customFormat="1" ht="13">
      <c r="A293" s="870"/>
      <c r="B293" s="407"/>
      <c r="AB293" s="347"/>
      <c r="AC293" s="347"/>
      <c r="AD293" s="347"/>
      <c r="AE293" s="347"/>
      <c r="AF293" s="347"/>
      <c r="AG293" s="347"/>
      <c r="AH293" s="347"/>
    </row>
    <row r="294" spans="1:34" s="349" customFormat="1" ht="13">
      <c r="A294" s="870"/>
      <c r="B294" s="407" t="s">
        <v>197</v>
      </c>
      <c r="C294" s="355">
        <f t="shared" ref="C294:P294" si="527">C290</f>
        <v>267</v>
      </c>
      <c r="D294" s="355">
        <f t="shared" si="527"/>
        <v>-60</v>
      </c>
      <c r="E294" s="355">
        <f t="shared" si="527"/>
        <v>640.79999999999995</v>
      </c>
      <c r="F294" s="355">
        <f t="shared" si="527"/>
        <v>977</v>
      </c>
      <c r="G294" s="355">
        <f t="shared" si="527"/>
        <v>1035</v>
      </c>
      <c r="H294" s="355">
        <f t="shared" si="527"/>
        <v>1035</v>
      </c>
      <c r="I294" s="355">
        <f t="shared" si="527"/>
        <v>357</v>
      </c>
      <c r="J294" s="355">
        <f t="shared" si="527"/>
        <v>-179</v>
      </c>
      <c r="K294" s="355">
        <f t="shared" si="527"/>
        <v>-605</v>
      </c>
      <c r="L294" s="355">
        <f t="shared" si="527"/>
        <v>-190</v>
      </c>
      <c r="M294" s="355">
        <f t="shared" si="527"/>
        <v>-154</v>
      </c>
      <c r="N294" s="355">
        <f t="shared" si="527"/>
        <v>-1099.3900000000001</v>
      </c>
      <c r="O294" s="355">
        <f t="shared" si="527"/>
        <v>-431.53800000000001</v>
      </c>
      <c r="P294" s="355">
        <f t="shared" si="527"/>
        <v>225.387</v>
      </c>
      <c r="Q294" s="355">
        <f t="shared" ref="Q294:R294" si="528">Q290</f>
        <v>419.733</v>
      </c>
      <c r="R294" s="355">
        <f t="shared" si="528"/>
        <v>231.84200000000001</v>
      </c>
      <c r="S294" s="355">
        <f t="shared" ref="S294:T294" si="529">S290</f>
        <v>420.06900000000002</v>
      </c>
      <c r="T294" s="355">
        <f t="shared" si="529"/>
        <v>579.59400000000005</v>
      </c>
      <c r="U294" s="355"/>
      <c r="V294" s="355">
        <f t="shared" ref="V294:Y294" si="530">V290</f>
        <v>-716.55429602080062</v>
      </c>
      <c r="W294" s="355">
        <f t="shared" si="530"/>
        <v>230.98067376252069</v>
      </c>
      <c r="X294" s="355">
        <f t="shared" si="530"/>
        <v>690.92447582855402</v>
      </c>
      <c r="Y294" s="355">
        <f t="shared" si="530"/>
        <v>1367.7147642273173</v>
      </c>
      <c r="Z294" s="355">
        <f t="shared" ref="Z294:AA294" si="531">Z290</f>
        <v>1747.3059378329119</v>
      </c>
      <c r="AA294" s="355">
        <f t="shared" si="531"/>
        <v>2102.155428607176</v>
      </c>
      <c r="AB294" s="347"/>
      <c r="AC294" s="347"/>
      <c r="AD294" s="347"/>
      <c r="AE294" s="347"/>
      <c r="AF294" s="347"/>
      <c r="AG294" s="347"/>
      <c r="AH294" s="347"/>
    </row>
    <row r="295" spans="1:34" s="349" customFormat="1" ht="13">
      <c r="A295" s="870"/>
      <c r="B295" s="407"/>
      <c r="AB295" s="347"/>
      <c r="AC295" s="347"/>
      <c r="AD295" s="347"/>
      <c r="AE295" s="347"/>
      <c r="AF295" s="347"/>
      <c r="AG295" s="347"/>
      <c r="AH295" s="347"/>
    </row>
    <row r="296" spans="1:34" s="349" customFormat="1" ht="13">
      <c r="A296" s="870"/>
      <c r="B296" s="407" t="s">
        <v>198</v>
      </c>
      <c r="C296" s="356">
        <f t="shared" ref="C296:P296" si="532">C290/C292</f>
        <v>0.51445086705202314</v>
      </c>
      <c r="D296" s="356">
        <f t="shared" si="532"/>
        <v>0.81081081081081086</v>
      </c>
      <c r="E296" s="356">
        <f t="shared" si="532"/>
        <v>0.27264604518572094</v>
      </c>
      <c r="F296" s="356">
        <f t="shared" si="532"/>
        <v>0.25252003101576637</v>
      </c>
      <c r="G296" s="356">
        <f t="shared" si="532"/>
        <v>0.26778783958602848</v>
      </c>
      <c r="H296" s="356">
        <f t="shared" si="532"/>
        <v>0.27585287846481876</v>
      </c>
      <c r="I296" s="356">
        <f t="shared" si="532"/>
        <v>0.25701943844492442</v>
      </c>
      <c r="J296" s="356">
        <f t="shared" si="532"/>
        <v>0.16728971962616823</v>
      </c>
      <c r="K296" s="356">
        <f t="shared" si="532"/>
        <v>0.96031746031746035</v>
      </c>
      <c r="L296" s="356">
        <f t="shared" si="532"/>
        <v>-1.0326086956521738</v>
      </c>
      <c r="M296" s="356">
        <f t="shared" si="532"/>
        <v>-0.7439613526570048</v>
      </c>
      <c r="N296" s="356">
        <f t="shared" si="532"/>
        <v>0.25025950375597544</v>
      </c>
      <c r="O296" s="356">
        <f t="shared" si="532"/>
        <v>-0.37754855643044621</v>
      </c>
      <c r="P296" s="356">
        <f t="shared" si="532"/>
        <v>-0.11985087436627985</v>
      </c>
      <c r="Q296" s="356">
        <f t="shared" ref="Q296:R296" si="533">Q290/Q292</f>
        <v>0.24581151832460735</v>
      </c>
      <c r="R296" s="356">
        <f t="shared" si="533"/>
        <v>0.17135022874585193</v>
      </c>
      <c r="S296" s="356">
        <f t="shared" ref="S296:T296" si="534">S290/S292</f>
        <v>0.24644459398175553</v>
      </c>
      <c r="T296" s="356">
        <f t="shared" si="534"/>
        <v>0.23878874022803823</v>
      </c>
      <c r="U296" s="356"/>
      <c r="V296" s="497">
        <f>T296</f>
        <v>0.23878874022803823</v>
      </c>
      <c r="W296" s="497">
        <f t="shared" ref="W296:Y296" si="535">V296</f>
        <v>0.23878874022803823</v>
      </c>
      <c r="X296" s="497">
        <f t="shared" si="535"/>
        <v>0.23878874022803823</v>
      </c>
      <c r="Y296" s="497">
        <f t="shared" si="535"/>
        <v>0.23878874022803823</v>
      </c>
      <c r="Z296" s="497">
        <f t="shared" ref="Z296" si="536">Y296</f>
        <v>0.23878874022803823</v>
      </c>
      <c r="AA296" s="497">
        <f t="shared" ref="AA296" si="537">Z296</f>
        <v>0.23878874022803823</v>
      </c>
      <c r="AB296" s="353"/>
      <c r="AC296" s="347"/>
      <c r="AD296" s="347"/>
      <c r="AE296" s="347"/>
      <c r="AF296" s="347"/>
      <c r="AG296" s="347"/>
      <c r="AH296" s="347"/>
    </row>
    <row r="297" spans="1:34" s="349" customFormat="1" ht="13">
      <c r="A297" s="870"/>
      <c r="B297" s="407"/>
      <c r="I297" s="347"/>
      <c r="J297" s="347"/>
      <c r="K297" s="347"/>
      <c r="L297" s="347"/>
      <c r="M297" s="347"/>
      <c r="N297" s="347"/>
      <c r="O297" s="347"/>
      <c r="P297" s="347"/>
      <c r="Q297" s="347"/>
      <c r="R297" s="347"/>
      <c r="S297" s="347"/>
      <c r="T297" s="347"/>
      <c r="U297" s="347"/>
      <c r="V297" s="347"/>
      <c r="W297" s="347"/>
      <c r="X297" s="347"/>
      <c r="Y297" s="347"/>
      <c r="Z297" s="347"/>
      <c r="AA297" s="347"/>
      <c r="AB297" s="347"/>
      <c r="AC297" s="347"/>
      <c r="AD297" s="347"/>
      <c r="AE297" s="347"/>
      <c r="AF297" s="347"/>
      <c r="AG297" s="347"/>
      <c r="AH297" s="347"/>
    </row>
    <row r="298" spans="1:34" s="349" customFormat="1" ht="13">
      <c r="A298" s="870"/>
      <c r="B298" s="407"/>
      <c r="I298" s="347"/>
      <c r="J298" s="347"/>
      <c r="K298" s="347"/>
      <c r="L298" s="347"/>
      <c r="M298" s="347"/>
      <c r="N298" s="347"/>
      <c r="O298" s="347"/>
      <c r="P298" s="347"/>
      <c r="Q298" s="347"/>
      <c r="R298" s="347"/>
      <c r="S298" s="347"/>
      <c r="T298" s="347"/>
      <c r="U298" s="347"/>
      <c r="V298" s="347"/>
      <c r="W298" s="347"/>
      <c r="X298" s="347"/>
      <c r="Y298" s="347"/>
      <c r="Z298" s="347"/>
      <c r="AA298" s="347"/>
      <c r="AB298" s="347"/>
      <c r="AC298" s="347"/>
      <c r="AD298" s="347"/>
      <c r="AE298" s="347"/>
      <c r="AF298" s="347"/>
      <c r="AG298" s="347"/>
      <c r="AH298" s="347"/>
    </row>
    <row r="299" spans="1:34" s="349" customFormat="1" ht="13">
      <c r="A299" s="870"/>
      <c r="B299" s="407"/>
      <c r="I299" s="347"/>
      <c r="J299" s="347"/>
      <c r="K299" s="347"/>
      <c r="L299" s="347"/>
      <c r="M299" s="347"/>
      <c r="N299" s="347"/>
      <c r="O299" s="347"/>
      <c r="P299" s="347"/>
      <c r="Q299" s="347"/>
      <c r="R299" s="347"/>
      <c r="S299" s="347"/>
      <c r="T299" s="347"/>
      <c r="U299" s="347"/>
      <c r="V299" s="347"/>
      <c r="W299" s="347"/>
      <c r="X299" s="347"/>
      <c r="Y299" s="347"/>
      <c r="Z299" s="347"/>
      <c r="AA299" s="347"/>
      <c r="AB299" s="347"/>
      <c r="AC299" s="347"/>
      <c r="AD299" s="347"/>
      <c r="AE299" s="347"/>
      <c r="AF299" s="347"/>
      <c r="AG299" s="364"/>
      <c r="AH299" s="364"/>
    </row>
    <row r="300" spans="1:34" s="349" customFormat="1" ht="13">
      <c r="A300" s="870"/>
      <c r="B300" s="483" t="s">
        <v>199</v>
      </c>
      <c r="C300" s="485">
        <f>C$2</f>
        <v>2007</v>
      </c>
      <c r="D300" s="485">
        <f t="shared" ref="D300:S300" si="538">C300+1</f>
        <v>2008</v>
      </c>
      <c r="E300" s="485">
        <f t="shared" si="538"/>
        <v>2009</v>
      </c>
      <c r="F300" s="485">
        <f t="shared" si="538"/>
        <v>2010</v>
      </c>
      <c r="G300" s="485">
        <f t="shared" si="538"/>
        <v>2011</v>
      </c>
      <c r="H300" s="485">
        <f t="shared" si="538"/>
        <v>2012</v>
      </c>
      <c r="I300" s="485">
        <f t="shared" si="538"/>
        <v>2013</v>
      </c>
      <c r="J300" s="485">
        <f t="shared" si="538"/>
        <v>2014</v>
      </c>
      <c r="K300" s="485">
        <f t="shared" si="538"/>
        <v>2015</v>
      </c>
      <c r="L300" s="485">
        <f t="shared" si="538"/>
        <v>2016</v>
      </c>
      <c r="M300" s="485">
        <f t="shared" si="538"/>
        <v>2017</v>
      </c>
      <c r="N300" s="485">
        <f t="shared" si="538"/>
        <v>2018</v>
      </c>
      <c r="O300" s="485">
        <f t="shared" si="538"/>
        <v>2019</v>
      </c>
      <c r="P300" s="485">
        <f t="shared" si="538"/>
        <v>2020</v>
      </c>
      <c r="Q300" s="485">
        <f t="shared" si="538"/>
        <v>2021</v>
      </c>
      <c r="R300" s="485">
        <f t="shared" si="538"/>
        <v>2022</v>
      </c>
      <c r="S300" s="485">
        <f t="shared" si="538"/>
        <v>2023</v>
      </c>
      <c r="T300" s="485">
        <f t="shared" ref="T300:Y300" si="539">S300+1</f>
        <v>2024</v>
      </c>
      <c r="U300" s="485"/>
      <c r="V300" s="485">
        <f>T300+1</f>
        <v>2025</v>
      </c>
      <c r="W300" s="485">
        <f t="shared" si="539"/>
        <v>2026</v>
      </c>
      <c r="X300" s="485">
        <f t="shared" si="539"/>
        <v>2027</v>
      </c>
      <c r="Y300" s="485">
        <f t="shared" si="539"/>
        <v>2028</v>
      </c>
      <c r="Z300" s="485">
        <f t="shared" ref="Z300" si="540">Y300+1</f>
        <v>2029</v>
      </c>
      <c r="AA300" s="485">
        <f t="shared" ref="AA300" si="541">Z300+1</f>
        <v>2030</v>
      </c>
      <c r="AB300" s="364"/>
      <c r="AC300" s="364"/>
      <c r="AD300" s="364"/>
      <c r="AE300" s="364"/>
      <c r="AF300" s="364"/>
      <c r="AG300" s="347"/>
      <c r="AH300" s="347"/>
    </row>
    <row r="301" spans="1:34" s="349" customFormat="1" ht="13">
      <c r="A301" s="870"/>
      <c r="B301" s="407" t="s">
        <v>199</v>
      </c>
      <c r="C301" s="354">
        <v>0</v>
      </c>
      <c r="D301" s="354">
        <v>0</v>
      </c>
      <c r="E301" s="354">
        <v>0</v>
      </c>
      <c r="F301" s="354">
        <v>0</v>
      </c>
      <c r="G301" s="354">
        <v>0</v>
      </c>
      <c r="H301" s="354">
        <v>0</v>
      </c>
      <c r="I301" s="354">
        <v>0</v>
      </c>
      <c r="J301" s="354">
        <v>0</v>
      </c>
      <c r="K301" s="354">
        <v>0</v>
      </c>
      <c r="L301" s="354">
        <v>0</v>
      </c>
      <c r="M301" s="354">
        <v>0</v>
      </c>
      <c r="N301" s="354">
        <v>0</v>
      </c>
      <c r="O301" s="354">
        <v>0</v>
      </c>
      <c r="P301" s="354">
        <v>0</v>
      </c>
      <c r="Q301" s="354">
        <v>0</v>
      </c>
      <c r="R301" s="641">
        <v>131.08000000000001</v>
      </c>
      <c r="S301" s="641">
        <v>144.41499999999999</v>
      </c>
      <c r="T301" s="641">
        <f>Inputs!BO111</f>
        <v>161.97999999999999</v>
      </c>
      <c r="U301" s="641"/>
      <c r="V301" s="354">
        <f>T301</f>
        <v>161.97999999999999</v>
      </c>
      <c r="W301" s="354">
        <f t="shared" ref="W301:Y301" si="542">V301</f>
        <v>161.97999999999999</v>
      </c>
      <c r="X301" s="354">
        <f t="shared" si="542"/>
        <v>161.97999999999999</v>
      </c>
      <c r="Y301" s="354">
        <f t="shared" si="542"/>
        <v>161.97999999999999</v>
      </c>
      <c r="Z301" s="354">
        <f t="shared" ref="Z301" si="543">Y301</f>
        <v>161.97999999999999</v>
      </c>
      <c r="AA301" s="354">
        <f t="shared" ref="AA301" si="544">Z301</f>
        <v>161.97999999999999</v>
      </c>
      <c r="AB301" s="347"/>
      <c r="AC301" s="347"/>
      <c r="AD301" s="347"/>
      <c r="AE301" s="347"/>
      <c r="AF301" s="347"/>
      <c r="AG301" s="347"/>
      <c r="AH301" s="347"/>
    </row>
    <row r="302" spans="1:34" s="349" customFormat="1" ht="13">
      <c r="A302" s="870"/>
      <c r="B302" s="407" t="s">
        <v>68</v>
      </c>
      <c r="C302" s="379"/>
      <c r="D302" s="379"/>
      <c r="E302" s="379"/>
      <c r="F302" s="379"/>
      <c r="G302" s="379"/>
      <c r="H302" s="379"/>
      <c r="I302" s="379"/>
      <c r="J302" s="379"/>
      <c r="K302" s="379"/>
      <c r="L302" s="379"/>
      <c r="M302" s="379"/>
      <c r="N302" s="379"/>
      <c r="O302" s="379"/>
      <c r="P302" s="379"/>
      <c r="Q302" s="379"/>
      <c r="R302" s="379"/>
      <c r="S302" s="379"/>
      <c r="T302" s="379"/>
      <c r="U302" s="379"/>
      <c r="V302" s="379"/>
      <c r="W302" s="379"/>
      <c r="X302" s="379"/>
      <c r="Y302" s="379"/>
      <c r="Z302" s="379"/>
      <c r="AA302" s="379"/>
      <c r="AB302" s="347"/>
      <c r="AC302" s="347"/>
      <c r="AD302" s="347"/>
      <c r="AE302" s="347"/>
      <c r="AF302" s="347"/>
      <c r="AG302" s="347"/>
      <c r="AH302" s="347"/>
    </row>
    <row r="303" spans="1:34" s="349" customFormat="1" ht="13">
      <c r="A303" s="870"/>
      <c r="B303" s="407"/>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47"/>
      <c r="AC303" s="347"/>
      <c r="AD303" s="347"/>
      <c r="AE303" s="347"/>
      <c r="AF303" s="347"/>
      <c r="AG303" s="347"/>
      <c r="AH303" s="347"/>
    </row>
    <row r="304" spans="1:34" s="349" customFormat="1" ht="13">
      <c r="A304" s="870"/>
      <c r="B304" s="407"/>
      <c r="C304" s="354"/>
      <c r="D304" s="354">
        <v>0</v>
      </c>
      <c r="E304" s="354">
        <v>0</v>
      </c>
      <c r="F304" s="354">
        <v>0</v>
      </c>
      <c r="G304" s="354">
        <v>0</v>
      </c>
      <c r="H304" s="354">
        <v>0</v>
      </c>
      <c r="I304" s="354">
        <v>0</v>
      </c>
      <c r="J304" s="354">
        <v>0</v>
      </c>
      <c r="K304" s="354">
        <v>0</v>
      </c>
      <c r="L304" s="354">
        <v>0</v>
      </c>
      <c r="M304" s="354">
        <v>0</v>
      </c>
      <c r="N304" s="354">
        <v>0</v>
      </c>
      <c r="O304" s="354">
        <v>0</v>
      </c>
      <c r="P304" s="354">
        <v>0</v>
      </c>
      <c r="Q304" s="354">
        <v>0</v>
      </c>
      <c r="R304" s="354">
        <v>0</v>
      </c>
      <c r="S304" s="354">
        <v>0</v>
      </c>
      <c r="T304" s="354">
        <v>1</v>
      </c>
      <c r="U304" s="354"/>
      <c r="V304" s="354">
        <v>1</v>
      </c>
      <c r="W304" s="354">
        <v>1</v>
      </c>
      <c r="X304" s="354">
        <v>1</v>
      </c>
      <c r="Y304" s="354">
        <v>1</v>
      </c>
      <c r="Z304" s="354">
        <v>1</v>
      </c>
      <c r="AA304" s="354">
        <v>1</v>
      </c>
      <c r="AB304" s="347"/>
      <c r="AC304" s="347"/>
      <c r="AD304" s="347"/>
      <c r="AE304" s="347"/>
      <c r="AF304" s="347"/>
      <c r="AG304" s="347"/>
      <c r="AH304" s="347"/>
    </row>
    <row r="305" spans="1:34" s="349" customFormat="1" ht="13">
      <c r="A305" s="870"/>
      <c r="B305" s="407"/>
      <c r="AB305" s="347"/>
      <c r="AC305" s="347"/>
      <c r="AD305" s="347"/>
      <c r="AE305" s="347"/>
      <c r="AF305" s="347"/>
      <c r="AG305" s="364"/>
      <c r="AH305" s="364"/>
    </row>
    <row r="306" spans="1:34" s="349" customFormat="1" ht="13">
      <c r="A306" s="870"/>
      <c r="B306" s="483" t="s">
        <v>200</v>
      </c>
      <c r="C306" s="485">
        <f>C$2</f>
        <v>2007</v>
      </c>
      <c r="D306" s="485">
        <f t="shared" ref="D306:S306" si="545">C306+1</f>
        <v>2008</v>
      </c>
      <c r="E306" s="485">
        <f t="shared" si="545"/>
        <v>2009</v>
      </c>
      <c r="F306" s="485">
        <f t="shared" si="545"/>
        <v>2010</v>
      </c>
      <c r="G306" s="485">
        <f t="shared" si="545"/>
        <v>2011</v>
      </c>
      <c r="H306" s="485">
        <f t="shared" si="545"/>
        <v>2012</v>
      </c>
      <c r="I306" s="485">
        <f t="shared" si="545"/>
        <v>2013</v>
      </c>
      <c r="J306" s="485">
        <f t="shared" si="545"/>
        <v>2014</v>
      </c>
      <c r="K306" s="485">
        <f t="shared" si="545"/>
        <v>2015</v>
      </c>
      <c r="L306" s="485">
        <f t="shared" si="545"/>
        <v>2016</v>
      </c>
      <c r="M306" s="485">
        <f t="shared" si="545"/>
        <v>2017</v>
      </c>
      <c r="N306" s="485">
        <f t="shared" si="545"/>
        <v>2018</v>
      </c>
      <c r="O306" s="485">
        <f t="shared" si="545"/>
        <v>2019</v>
      </c>
      <c r="P306" s="485">
        <f t="shared" si="545"/>
        <v>2020</v>
      </c>
      <c r="Q306" s="485">
        <f t="shared" si="545"/>
        <v>2021</v>
      </c>
      <c r="R306" s="485">
        <f t="shared" si="545"/>
        <v>2022</v>
      </c>
      <c r="S306" s="485">
        <f t="shared" si="545"/>
        <v>2023</v>
      </c>
      <c r="T306" s="485">
        <f t="shared" ref="T306:Y306" si="546">S306+1</f>
        <v>2024</v>
      </c>
      <c r="U306" s="485"/>
      <c r="V306" s="485">
        <f>T306+1</f>
        <v>2025</v>
      </c>
      <c r="W306" s="485">
        <f t="shared" si="546"/>
        <v>2026</v>
      </c>
      <c r="X306" s="485">
        <f t="shared" si="546"/>
        <v>2027</v>
      </c>
      <c r="Y306" s="485">
        <f t="shared" si="546"/>
        <v>2028</v>
      </c>
      <c r="Z306" s="485">
        <f t="shared" ref="Z306" si="547">Y306+1</f>
        <v>2029</v>
      </c>
      <c r="AA306" s="485">
        <f t="shared" ref="AA306" si="548">Z306+1</f>
        <v>2030</v>
      </c>
      <c r="AB306" s="364"/>
      <c r="AC306" s="364"/>
      <c r="AD306" s="364"/>
      <c r="AE306" s="364"/>
      <c r="AF306" s="364"/>
      <c r="AG306" s="364"/>
      <c r="AH306" s="364"/>
    </row>
    <row r="307" spans="1:34" s="349" customFormat="1" ht="13">
      <c r="A307" s="870"/>
      <c r="B307" s="414"/>
      <c r="C307" s="399"/>
      <c r="D307" s="399"/>
      <c r="E307" s="399"/>
      <c r="F307" s="399"/>
      <c r="G307" s="399"/>
      <c r="H307" s="399"/>
      <c r="I307" s="399"/>
      <c r="J307" s="399"/>
      <c r="K307" s="399"/>
      <c r="L307" s="399"/>
      <c r="M307" s="399"/>
      <c r="N307" s="399"/>
      <c r="O307" s="399"/>
      <c r="P307" s="399"/>
      <c r="Q307" s="399"/>
      <c r="R307" s="399"/>
      <c r="S307" s="399"/>
      <c r="T307" s="399"/>
      <c r="U307" s="399"/>
      <c r="V307" s="399"/>
      <c r="W307" s="399"/>
      <c r="X307" s="399"/>
      <c r="Y307" s="399"/>
      <c r="Z307" s="399"/>
      <c r="AA307" s="399"/>
      <c r="AB307" s="364"/>
      <c r="AC307" s="364"/>
      <c r="AD307" s="364"/>
      <c r="AE307" s="364"/>
      <c r="AF307" s="364"/>
      <c r="AG307" s="364"/>
      <c r="AH307" s="364"/>
    </row>
    <row r="308" spans="1:34" s="349" customFormat="1" ht="13">
      <c r="A308" s="870"/>
      <c r="B308" s="414" t="s">
        <v>709</v>
      </c>
      <c r="C308" s="399"/>
      <c r="D308" s="365">
        <f>C310</f>
        <v>709</v>
      </c>
      <c r="E308" s="365">
        <f t="shared" ref="E308:Y308" si="549">D310</f>
        <v>709</v>
      </c>
      <c r="F308" s="365">
        <f t="shared" si="549"/>
        <v>850.8</v>
      </c>
      <c r="G308" s="365">
        <f t="shared" si="549"/>
        <v>850.8</v>
      </c>
      <c r="H308" s="365">
        <f t="shared" si="549"/>
        <v>850.8</v>
      </c>
      <c r="I308" s="365">
        <f t="shared" si="549"/>
        <v>850.8</v>
      </c>
      <c r="J308" s="365">
        <f t="shared" si="549"/>
        <v>850.8</v>
      </c>
      <c r="K308" s="365">
        <f t="shared" si="549"/>
        <v>850.8</v>
      </c>
      <c r="L308" s="365">
        <f t="shared" si="549"/>
        <v>854.1</v>
      </c>
      <c r="M308" s="365">
        <f t="shared" si="549"/>
        <v>1068.8</v>
      </c>
      <c r="N308" s="365">
        <f t="shared" si="549"/>
        <v>1068.8</v>
      </c>
      <c r="O308" s="365">
        <f t="shared" si="549"/>
        <v>1068.7959999999998</v>
      </c>
      <c r="P308" s="365">
        <f t="shared" si="549"/>
        <v>1068.7959999999998</v>
      </c>
      <c r="Q308" s="365">
        <f t="shared" si="549"/>
        <v>1070.6010000000001</v>
      </c>
      <c r="R308" s="365">
        <f t="shared" si="549"/>
        <v>1072.4670000000001</v>
      </c>
      <c r="S308" s="365">
        <f t="shared" si="549"/>
        <v>1312.8430000000001</v>
      </c>
      <c r="T308" s="365">
        <f t="shared" si="549"/>
        <v>1312.8430000000001</v>
      </c>
      <c r="U308" s="365"/>
      <c r="V308" s="365">
        <f>T310</f>
        <v>1312.8430000000001</v>
      </c>
      <c r="W308" s="365">
        <f t="shared" si="549"/>
        <v>1312.8430000000001</v>
      </c>
      <c r="X308" s="365">
        <f t="shared" si="549"/>
        <v>1312.8430000000001</v>
      </c>
      <c r="Y308" s="365">
        <f t="shared" si="549"/>
        <v>1312.8430000000001</v>
      </c>
      <c r="Z308" s="365">
        <f t="shared" ref="Z308" si="550">Y310</f>
        <v>1312.8430000000001</v>
      </c>
      <c r="AA308" s="365">
        <f t="shared" ref="AA308" si="551">Z310</f>
        <v>1312.8430000000001</v>
      </c>
      <c r="AB308" s="364"/>
      <c r="AC308" s="364" t="s">
        <v>720</v>
      </c>
      <c r="AD308" s="364"/>
      <c r="AE308" s="364"/>
      <c r="AF308" s="364"/>
      <c r="AG308" s="364"/>
      <c r="AH308" s="364"/>
    </row>
    <row r="309" spans="1:34" s="349" customFormat="1" ht="13">
      <c r="A309" s="870"/>
      <c r="B309" s="407" t="s">
        <v>710</v>
      </c>
      <c r="C309" s="399"/>
      <c r="D309" s="365">
        <f>D310-D308</f>
        <v>0</v>
      </c>
      <c r="E309" s="365">
        <f t="shared" ref="E309:Q309" si="552">E310-E308</f>
        <v>141.79999999999995</v>
      </c>
      <c r="F309" s="365">
        <f t="shared" si="552"/>
        <v>0</v>
      </c>
      <c r="G309" s="365">
        <f t="shared" si="552"/>
        <v>0</v>
      </c>
      <c r="H309" s="365">
        <f t="shared" si="552"/>
        <v>0</v>
      </c>
      <c r="I309" s="365">
        <f t="shared" si="552"/>
        <v>0</v>
      </c>
      <c r="J309" s="365">
        <f t="shared" si="552"/>
        <v>0</v>
      </c>
      <c r="K309" s="365">
        <f t="shared" si="552"/>
        <v>3.3000000000000682</v>
      </c>
      <c r="L309" s="365">
        <f t="shared" si="552"/>
        <v>214.69999999999993</v>
      </c>
      <c r="M309" s="365">
        <f t="shared" si="552"/>
        <v>0</v>
      </c>
      <c r="N309" s="365">
        <f t="shared" si="552"/>
        <v>-4.0000000001327862E-3</v>
      </c>
      <c r="O309" s="365">
        <f t="shared" si="552"/>
        <v>0</v>
      </c>
      <c r="P309" s="365">
        <f t="shared" si="552"/>
        <v>1.805000000000291</v>
      </c>
      <c r="Q309" s="365">
        <f t="shared" si="552"/>
        <v>1.8659999999999854</v>
      </c>
      <c r="R309" s="365">
        <f t="shared" ref="R309:T309" si="553">R310-R308</f>
        <v>240.37599999999998</v>
      </c>
      <c r="S309" s="365">
        <f t="shared" si="553"/>
        <v>0</v>
      </c>
      <c r="T309" s="365">
        <f t="shared" si="553"/>
        <v>0</v>
      </c>
      <c r="U309" s="365"/>
      <c r="V309" s="642">
        <v>0</v>
      </c>
      <c r="W309" s="642">
        <v>0</v>
      </c>
      <c r="X309" s="642">
        <v>0</v>
      </c>
      <c r="Y309" s="642">
        <v>0</v>
      </c>
      <c r="Z309" s="642">
        <v>0</v>
      </c>
      <c r="AA309" s="642">
        <v>0</v>
      </c>
      <c r="AB309" s="364"/>
      <c r="AC309" s="364"/>
      <c r="AD309" s="364"/>
      <c r="AE309" s="364"/>
      <c r="AF309" s="364"/>
      <c r="AG309" s="364"/>
      <c r="AH309" s="364"/>
    </row>
    <row r="310" spans="1:34" s="349" customFormat="1" ht="13">
      <c r="A310" s="870"/>
      <c r="B310" s="462" t="s">
        <v>718</v>
      </c>
      <c r="C310" s="643">
        <v>709</v>
      </c>
      <c r="D310" s="643">
        <v>709</v>
      </c>
      <c r="E310" s="643">
        <v>850.8</v>
      </c>
      <c r="F310" s="643">
        <v>850.8</v>
      </c>
      <c r="G310" s="643">
        <v>850.8</v>
      </c>
      <c r="H310" s="643">
        <v>850.8</v>
      </c>
      <c r="I310" s="643">
        <v>850.8</v>
      </c>
      <c r="J310" s="643">
        <v>850.8</v>
      </c>
      <c r="K310" s="643">
        <v>854.1</v>
      </c>
      <c r="L310" s="643">
        <v>1068.8</v>
      </c>
      <c r="M310" s="643">
        <v>1068.8</v>
      </c>
      <c r="N310" s="643">
        <v>1068.7959999999998</v>
      </c>
      <c r="O310" s="643">
        <v>1068.7959999999998</v>
      </c>
      <c r="P310" s="643">
        <v>1070.6010000000001</v>
      </c>
      <c r="Q310" s="643">
        <v>1072.4670000000001</v>
      </c>
      <c r="R310" s="643">
        <v>1312.8430000000001</v>
      </c>
      <c r="S310" s="643">
        <v>1312.8430000000001</v>
      </c>
      <c r="T310" s="643">
        <f>Inputs!BO104</f>
        <v>1312.8430000000001</v>
      </c>
      <c r="U310" s="643"/>
      <c r="V310" s="644">
        <f t="shared" ref="V310:Y310" si="554">V308+V309</f>
        <v>1312.8430000000001</v>
      </c>
      <c r="W310" s="644">
        <f t="shared" si="554"/>
        <v>1312.8430000000001</v>
      </c>
      <c r="X310" s="644">
        <f t="shared" si="554"/>
        <v>1312.8430000000001</v>
      </c>
      <c r="Y310" s="644">
        <f t="shared" si="554"/>
        <v>1312.8430000000001</v>
      </c>
      <c r="Z310" s="644">
        <f t="shared" ref="Z310:AA310" si="555">Z308+Z309</f>
        <v>1312.8430000000001</v>
      </c>
      <c r="AA310" s="644">
        <f t="shared" si="555"/>
        <v>1312.8430000000001</v>
      </c>
      <c r="AB310" s="364"/>
      <c r="AC310" s="364"/>
      <c r="AD310" s="364"/>
      <c r="AE310" s="364"/>
      <c r="AF310" s="364"/>
      <c r="AG310" s="364"/>
      <c r="AH310" s="364"/>
    </row>
    <row r="311" spans="1:34" s="349" customFormat="1" ht="13">
      <c r="A311" s="870"/>
      <c r="B311" s="414"/>
      <c r="C311" s="399"/>
      <c r="D311" s="399"/>
      <c r="E311" s="399"/>
      <c r="F311" s="399"/>
      <c r="G311" s="399"/>
      <c r="H311" s="399"/>
      <c r="I311" s="399"/>
      <c r="J311" s="399"/>
      <c r="K311" s="399"/>
      <c r="L311" s="399"/>
      <c r="M311" s="399"/>
      <c r="N311" s="399"/>
      <c r="O311" s="399"/>
      <c r="P311" s="399"/>
      <c r="Q311" s="399"/>
      <c r="R311" s="399"/>
      <c r="S311" s="399"/>
      <c r="T311" s="399"/>
      <c r="U311" s="399"/>
      <c r="V311" s="399"/>
      <c r="W311" s="399"/>
      <c r="X311" s="399"/>
      <c r="Y311" s="399"/>
      <c r="Z311" s="399"/>
      <c r="AA311" s="399"/>
      <c r="AB311" s="364"/>
      <c r="AC311" s="364"/>
      <c r="AD311" s="364"/>
      <c r="AE311" s="364"/>
      <c r="AF311" s="364"/>
      <c r="AG311" s="347"/>
      <c r="AH311" s="347"/>
    </row>
    <row r="312" spans="1:34" s="399" customFormat="1" ht="13">
      <c r="A312" s="872"/>
      <c r="B312" s="414" t="s">
        <v>712</v>
      </c>
      <c r="D312" s="365">
        <f>C314</f>
        <v>7090</v>
      </c>
      <c r="E312" s="365">
        <f t="shared" ref="E312:Q312" si="556">D314</f>
        <v>7090</v>
      </c>
      <c r="F312" s="365">
        <f t="shared" si="556"/>
        <v>8508</v>
      </c>
      <c r="G312" s="365">
        <f t="shared" si="556"/>
        <v>8508</v>
      </c>
      <c r="H312" s="365">
        <f t="shared" si="556"/>
        <v>8508</v>
      </c>
      <c r="I312" s="365">
        <f t="shared" si="556"/>
        <v>8508</v>
      </c>
      <c r="J312" s="365">
        <f t="shared" si="556"/>
        <v>8508</v>
      </c>
      <c r="K312" s="365">
        <f t="shared" si="556"/>
        <v>8508</v>
      </c>
      <c r="L312" s="365">
        <f t="shared" si="556"/>
        <v>8541</v>
      </c>
      <c r="M312" s="365">
        <f t="shared" si="556"/>
        <v>10688</v>
      </c>
      <c r="N312" s="365">
        <f t="shared" si="556"/>
        <v>10688</v>
      </c>
      <c r="O312" s="365">
        <f t="shared" si="556"/>
        <v>10687.96</v>
      </c>
      <c r="P312" s="365">
        <f t="shared" si="556"/>
        <v>10687.96</v>
      </c>
      <c r="Q312" s="365">
        <f t="shared" si="556"/>
        <v>10706.01</v>
      </c>
      <c r="R312" s="365">
        <f>Q314</f>
        <v>10724.67</v>
      </c>
      <c r="S312" s="365">
        <f>R314</f>
        <v>13128.430665</v>
      </c>
      <c r="T312" s="365">
        <f t="shared" ref="T312:Y312" si="557">S314</f>
        <v>13128.430665</v>
      </c>
      <c r="U312" s="365"/>
      <c r="V312" s="1345">
        <v>17105</v>
      </c>
      <c r="W312" s="365">
        <f t="shared" si="557"/>
        <v>17105</v>
      </c>
      <c r="X312" s="365">
        <f t="shared" si="557"/>
        <v>17105</v>
      </c>
      <c r="Y312" s="365">
        <f t="shared" si="557"/>
        <v>17105</v>
      </c>
      <c r="Z312" s="365">
        <f t="shared" ref="Z312" si="558">Y314</f>
        <v>17105</v>
      </c>
      <c r="AA312" s="365">
        <f t="shared" ref="AA312" si="559">Z314</f>
        <v>17105</v>
      </c>
      <c r="AB312" s="364"/>
      <c r="AC312" s="364" t="s">
        <v>719</v>
      </c>
      <c r="AD312" s="364"/>
      <c r="AE312" s="364"/>
      <c r="AF312" s="364"/>
      <c r="AG312" s="364"/>
      <c r="AH312" s="364"/>
    </row>
    <row r="313" spans="1:34" s="349" customFormat="1" ht="13">
      <c r="A313" s="870"/>
      <c r="B313" s="407" t="s">
        <v>710</v>
      </c>
      <c r="C313" s="399"/>
      <c r="D313" s="365">
        <f>D314-D312</f>
        <v>0</v>
      </c>
      <c r="E313" s="365">
        <f t="shared" ref="E313:T313" si="560">E314-E312</f>
        <v>1418</v>
      </c>
      <c r="F313" s="365">
        <f t="shared" si="560"/>
        <v>0</v>
      </c>
      <c r="G313" s="365">
        <f t="shared" si="560"/>
        <v>0</v>
      </c>
      <c r="H313" s="365">
        <f t="shared" si="560"/>
        <v>0</v>
      </c>
      <c r="I313" s="365">
        <f t="shared" si="560"/>
        <v>0</v>
      </c>
      <c r="J313" s="365">
        <f t="shared" si="560"/>
        <v>0</v>
      </c>
      <c r="K313" s="365">
        <f t="shared" si="560"/>
        <v>33</v>
      </c>
      <c r="L313" s="365">
        <f t="shared" si="560"/>
        <v>2147</v>
      </c>
      <c r="M313" s="365">
        <f t="shared" si="560"/>
        <v>0</v>
      </c>
      <c r="N313" s="365">
        <f t="shared" si="560"/>
        <v>-4.0000000000873115E-2</v>
      </c>
      <c r="O313" s="365">
        <f t="shared" si="560"/>
        <v>0</v>
      </c>
      <c r="P313" s="365">
        <f t="shared" si="560"/>
        <v>18.050000000001091</v>
      </c>
      <c r="Q313" s="365">
        <f t="shared" si="560"/>
        <v>18.659999999999854</v>
      </c>
      <c r="R313" s="642">
        <f>R314-R312</f>
        <v>2403.7606649999998</v>
      </c>
      <c r="S313" s="365">
        <f t="shared" si="560"/>
        <v>0</v>
      </c>
      <c r="T313" s="365">
        <f t="shared" si="560"/>
        <v>-56.48779999999897</v>
      </c>
      <c r="U313" s="365"/>
      <c r="V313" s="642">
        <v>0</v>
      </c>
      <c r="W313" s="642">
        <v>0</v>
      </c>
      <c r="X313" s="642">
        <v>0</v>
      </c>
      <c r="Y313" s="642">
        <v>0</v>
      </c>
      <c r="Z313" s="642">
        <v>0</v>
      </c>
      <c r="AA313" s="642">
        <v>0</v>
      </c>
      <c r="AB313" s="364"/>
      <c r="AC313" s="364"/>
      <c r="AD313" s="364"/>
      <c r="AE313" s="364"/>
      <c r="AF313" s="364"/>
      <c r="AG313" s="347"/>
      <c r="AH313" s="347"/>
    </row>
    <row r="314" spans="1:34" s="349" customFormat="1" ht="13">
      <c r="A314" s="870"/>
      <c r="B314" s="462" t="s">
        <v>713</v>
      </c>
      <c r="C314" s="663">
        <v>7090</v>
      </c>
      <c r="D314" s="663">
        <v>7090</v>
      </c>
      <c r="E314" s="664">
        <v>8508</v>
      </c>
      <c r="F314" s="664">
        <v>8508</v>
      </c>
      <c r="G314" s="664">
        <v>8508</v>
      </c>
      <c r="H314" s="664">
        <v>8508</v>
      </c>
      <c r="I314" s="664">
        <v>8508</v>
      </c>
      <c r="J314" s="664">
        <v>8508</v>
      </c>
      <c r="K314" s="664">
        <v>8541</v>
      </c>
      <c r="L314" s="664">
        <v>10688</v>
      </c>
      <c r="M314" s="664">
        <v>10688</v>
      </c>
      <c r="N314" s="664">
        <v>10687.96</v>
      </c>
      <c r="O314" s="664">
        <v>10687.96</v>
      </c>
      <c r="P314" s="664">
        <v>10706.01</v>
      </c>
      <c r="Q314" s="664">
        <v>10724.67</v>
      </c>
      <c r="R314" s="664">
        <v>13128.430665</v>
      </c>
      <c r="S314" s="664">
        <v>13128.430665</v>
      </c>
      <c r="T314" s="664">
        <v>13071.942865000001</v>
      </c>
      <c r="U314" s="664"/>
      <c r="V314" s="630">
        <f t="shared" ref="V314:Y314" si="561">V312+V313</f>
        <v>17105</v>
      </c>
      <c r="W314" s="630">
        <f t="shared" si="561"/>
        <v>17105</v>
      </c>
      <c r="X314" s="630">
        <f t="shared" si="561"/>
        <v>17105</v>
      </c>
      <c r="Y314" s="630">
        <f t="shared" si="561"/>
        <v>17105</v>
      </c>
      <c r="Z314" s="630">
        <f t="shared" ref="Z314:AA314" si="562">Z312+Z313</f>
        <v>17105</v>
      </c>
      <c r="AA314" s="630">
        <f t="shared" si="562"/>
        <v>17105</v>
      </c>
      <c r="AB314" s="347"/>
      <c r="AC314" s="347"/>
      <c r="AD314" s="347"/>
      <c r="AE314" s="347"/>
      <c r="AF314" s="347"/>
      <c r="AG314" s="347"/>
      <c r="AH314" s="347"/>
    </row>
    <row r="315" spans="1:34" s="349" customFormat="1" ht="13">
      <c r="A315" s="870"/>
      <c r="B315" s="407" t="s">
        <v>201</v>
      </c>
      <c r="C315" s="645">
        <f>C314</f>
        <v>7090</v>
      </c>
      <c r="D315" s="645">
        <f>D314</f>
        <v>7090</v>
      </c>
      <c r="E315" s="354">
        <f t="shared" ref="E315:S315" si="563">(E314+D314)/2</f>
        <v>7799</v>
      </c>
      <c r="F315" s="354">
        <f t="shared" si="563"/>
        <v>8508</v>
      </c>
      <c r="G315" s="354">
        <f t="shared" si="563"/>
        <v>8508</v>
      </c>
      <c r="H315" s="354">
        <f t="shared" si="563"/>
        <v>8508</v>
      </c>
      <c r="I315" s="354">
        <f t="shared" si="563"/>
        <v>8508</v>
      </c>
      <c r="J315" s="354">
        <f t="shared" si="563"/>
        <v>8508</v>
      </c>
      <c r="K315" s="354">
        <f t="shared" si="563"/>
        <v>8524.5</v>
      </c>
      <c r="L315" s="354">
        <f t="shared" si="563"/>
        <v>9614.5</v>
      </c>
      <c r="M315" s="354">
        <f t="shared" si="563"/>
        <v>10688</v>
      </c>
      <c r="N315" s="354">
        <f t="shared" si="563"/>
        <v>10687.98</v>
      </c>
      <c r="O315" s="354">
        <f t="shared" si="563"/>
        <v>10687.96</v>
      </c>
      <c r="P315" s="354">
        <f t="shared" si="563"/>
        <v>10696.985000000001</v>
      </c>
      <c r="Q315" s="354">
        <f t="shared" si="563"/>
        <v>10715.34</v>
      </c>
      <c r="R315" s="354">
        <f t="shared" si="563"/>
        <v>11926.550332499999</v>
      </c>
      <c r="S315" s="354">
        <f t="shared" si="563"/>
        <v>13128.430665</v>
      </c>
      <c r="T315" s="354">
        <f t="shared" ref="T315:Y315" si="564">(T314+S314)/2</f>
        <v>13100.186765</v>
      </c>
      <c r="U315" s="354"/>
      <c r="V315" s="354">
        <f>(V314+T314)/2</f>
        <v>15088.4714325</v>
      </c>
      <c r="W315" s="354">
        <f t="shared" si="564"/>
        <v>17105</v>
      </c>
      <c r="X315" s="354">
        <f t="shared" si="564"/>
        <v>17105</v>
      </c>
      <c r="Y315" s="354">
        <f t="shared" si="564"/>
        <v>17105</v>
      </c>
      <c r="Z315" s="354">
        <f t="shared" ref="Z315" si="565">(Z314+Y314)/2</f>
        <v>17105</v>
      </c>
      <c r="AA315" s="354">
        <f t="shared" ref="AA315" si="566">(AA314+Z314)/2</f>
        <v>17105</v>
      </c>
      <c r="AB315" s="347"/>
      <c r="AC315" s="347"/>
      <c r="AD315" s="347"/>
      <c r="AE315" s="347"/>
      <c r="AF315" s="347"/>
      <c r="AG315" s="347"/>
      <c r="AH315" s="347"/>
    </row>
    <row r="316" spans="1:34" s="349" customFormat="1" ht="13">
      <c r="A316" s="870"/>
      <c r="B316" s="407" t="s">
        <v>202</v>
      </c>
      <c r="C316" s="354"/>
      <c r="D316" s="354"/>
      <c r="E316" s="645">
        <f t="shared" ref="E316:S316" si="567">D316</f>
        <v>0</v>
      </c>
      <c r="F316" s="645">
        <f t="shared" si="567"/>
        <v>0</v>
      </c>
      <c r="G316" s="645">
        <f t="shared" si="567"/>
        <v>0</v>
      </c>
      <c r="H316" s="645">
        <f t="shared" si="567"/>
        <v>0</v>
      </c>
      <c r="I316" s="645">
        <f t="shared" si="567"/>
        <v>0</v>
      </c>
      <c r="J316" s="645">
        <f t="shared" si="567"/>
        <v>0</v>
      </c>
      <c r="K316" s="645">
        <f t="shared" si="567"/>
        <v>0</v>
      </c>
      <c r="L316" s="645">
        <f t="shared" si="567"/>
        <v>0</v>
      </c>
      <c r="M316" s="645">
        <f t="shared" si="567"/>
        <v>0</v>
      </c>
      <c r="N316" s="645">
        <f t="shared" si="567"/>
        <v>0</v>
      </c>
      <c r="O316" s="645">
        <f t="shared" si="567"/>
        <v>0</v>
      </c>
      <c r="P316" s="645">
        <f t="shared" si="567"/>
        <v>0</v>
      </c>
      <c r="Q316" s="645">
        <f t="shared" si="567"/>
        <v>0</v>
      </c>
      <c r="R316" s="645">
        <f t="shared" si="567"/>
        <v>0</v>
      </c>
      <c r="S316" s="645">
        <f t="shared" si="567"/>
        <v>0</v>
      </c>
      <c r="T316" s="645">
        <f t="shared" ref="T316:Y317" si="568">S316</f>
        <v>0</v>
      </c>
      <c r="U316" s="645"/>
      <c r="V316" s="645">
        <f>T316</f>
        <v>0</v>
      </c>
      <c r="W316" s="645">
        <f t="shared" si="568"/>
        <v>0</v>
      </c>
      <c r="X316" s="645">
        <f t="shared" si="568"/>
        <v>0</v>
      </c>
      <c r="Y316" s="645">
        <f t="shared" si="568"/>
        <v>0</v>
      </c>
      <c r="Z316" s="645">
        <f t="shared" ref="Z316:Z317" si="569">Y316</f>
        <v>0</v>
      </c>
      <c r="AA316" s="645">
        <f t="shared" ref="AA316:AA317" si="570">Z316</f>
        <v>0</v>
      </c>
      <c r="AB316" s="347"/>
      <c r="AC316" s="347"/>
      <c r="AD316" s="347"/>
      <c r="AE316" s="347"/>
      <c r="AF316" s="347"/>
      <c r="AG316" s="347"/>
      <c r="AH316" s="347"/>
    </row>
    <row r="317" spans="1:34" s="349" customFormat="1" ht="13">
      <c r="A317" s="870"/>
      <c r="B317" s="407" t="s">
        <v>203</v>
      </c>
      <c r="C317" s="645">
        <v>0</v>
      </c>
      <c r="D317" s="645">
        <v>0</v>
      </c>
      <c r="E317" s="354">
        <f t="shared" ref="E317:S317" si="571">D317</f>
        <v>0</v>
      </c>
      <c r="F317" s="354">
        <f t="shared" si="571"/>
        <v>0</v>
      </c>
      <c r="G317" s="354">
        <f t="shared" si="571"/>
        <v>0</v>
      </c>
      <c r="H317" s="354">
        <f t="shared" si="571"/>
        <v>0</v>
      </c>
      <c r="I317" s="354">
        <f t="shared" si="571"/>
        <v>0</v>
      </c>
      <c r="J317" s="354">
        <f t="shared" si="571"/>
        <v>0</v>
      </c>
      <c r="K317" s="354">
        <f t="shared" si="571"/>
        <v>0</v>
      </c>
      <c r="L317" s="354">
        <f t="shared" si="571"/>
        <v>0</v>
      </c>
      <c r="M317" s="354">
        <f t="shared" si="571"/>
        <v>0</v>
      </c>
      <c r="N317" s="354">
        <f t="shared" si="571"/>
        <v>0</v>
      </c>
      <c r="O317" s="354">
        <f t="shared" si="571"/>
        <v>0</v>
      </c>
      <c r="P317" s="354">
        <f t="shared" si="571"/>
        <v>0</v>
      </c>
      <c r="Q317" s="354">
        <f t="shared" si="571"/>
        <v>0</v>
      </c>
      <c r="R317" s="354">
        <f t="shared" si="571"/>
        <v>0</v>
      </c>
      <c r="S317" s="354">
        <f t="shared" si="571"/>
        <v>0</v>
      </c>
      <c r="T317" s="354">
        <f t="shared" si="568"/>
        <v>0</v>
      </c>
      <c r="U317" s="354"/>
      <c r="V317" s="354">
        <f>T317</f>
        <v>0</v>
      </c>
      <c r="W317" s="354">
        <f t="shared" si="568"/>
        <v>0</v>
      </c>
      <c r="X317" s="354">
        <f t="shared" si="568"/>
        <v>0</v>
      </c>
      <c r="Y317" s="354">
        <f t="shared" si="568"/>
        <v>0</v>
      </c>
      <c r="Z317" s="354">
        <f t="shared" si="569"/>
        <v>0</v>
      </c>
      <c r="AA317" s="354">
        <f t="shared" si="570"/>
        <v>0</v>
      </c>
      <c r="AB317" s="347"/>
      <c r="AC317" s="347"/>
      <c r="AD317" s="347"/>
      <c r="AE317" s="347"/>
      <c r="AF317" s="347"/>
      <c r="AG317" s="347"/>
      <c r="AH317" s="347"/>
    </row>
    <row r="318" spans="1:34" s="349" customFormat="1" ht="13">
      <c r="A318" s="870"/>
      <c r="B318" s="407"/>
      <c r="C318" s="354"/>
      <c r="D318" s="354"/>
      <c r="E318" s="354"/>
      <c r="F318" s="354"/>
      <c r="G318" s="354"/>
      <c r="H318" s="354"/>
      <c r="I318" s="354"/>
      <c r="J318" s="354"/>
      <c r="K318" s="354"/>
      <c r="L318" s="354"/>
      <c r="M318" s="354"/>
      <c r="N318" s="354"/>
      <c r="O318" s="354"/>
      <c r="P318" s="354"/>
      <c r="Q318" s="354"/>
      <c r="R318" s="354"/>
      <c r="S318" s="354"/>
      <c r="T318" s="354"/>
      <c r="U318" s="354"/>
      <c r="V318" s="354"/>
      <c r="W318" s="354"/>
      <c r="X318" s="354"/>
      <c r="Y318" s="354"/>
      <c r="Z318" s="354"/>
      <c r="AA318" s="354"/>
      <c r="AB318" s="347"/>
      <c r="AC318" s="347"/>
      <c r="AD318" s="347"/>
      <c r="AE318" s="347"/>
      <c r="AF318" s="347"/>
      <c r="AG318" s="364"/>
      <c r="AH318" s="364"/>
    </row>
    <row r="319" spans="1:34" s="349" customFormat="1" ht="13">
      <c r="A319" s="870"/>
      <c r="B319" s="407"/>
      <c r="C319" s="354"/>
      <c r="D319" s="354"/>
      <c r="E319" s="354"/>
      <c r="F319" s="354"/>
      <c r="G319" s="354"/>
      <c r="H319" s="354"/>
      <c r="I319" s="354"/>
      <c r="J319" s="354"/>
      <c r="K319" s="354"/>
      <c r="L319" s="354"/>
      <c r="M319" s="354"/>
      <c r="N319" s="354"/>
      <c r="O319" s="354"/>
      <c r="P319" s="354"/>
      <c r="Q319" s="354"/>
      <c r="R319" s="354"/>
      <c r="S319" s="354"/>
      <c r="T319" s="354"/>
      <c r="U319" s="354"/>
      <c r="V319" s="354"/>
      <c r="W319" s="354"/>
      <c r="X319" s="354"/>
      <c r="Y319" s="354"/>
      <c r="Z319" s="354"/>
      <c r="AA319" s="354"/>
      <c r="AB319" s="347"/>
      <c r="AC319" s="347"/>
      <c r="AD319" s="347"/>
      <c r="AE319" s="347"/>
      <c r="AF319" s="347"/>
      <c r="AG319" s="364"/>
      <c r="AH319" s="364"/>
    </row>
    <row r="320" spans="1:34" s="349" customFormat="1" ht="13">
      <c r="A320" s="870"/>
      <c r="B320" s="407"/>
      <c r="C320" s="354"/>
      <c r="D320" s="354"/>
      <c r="E320" s="354"/>
      <c r="F320" s="354"/>
      <c r="G320" s="354"/>
      <c r="H320" s="354"/>
      <c r="I320" s="354"/>
      <c r="J320" s="354"/>
      <c r="K320" s="354"/>
      <c r="L320" s="354"/>
      <c r="M320" s="354"/>
      <c r="N320" s="354"/>
      <c r="O320" s="354"/>
      <c r="P320" s="354"/>
      <c r="Q320" s="354"/>
      <c r="R320" s="354"/>
      <c r="S320" s="354"/>
      <c r="T320" s="354"/>
      <c r="U320" s="354"/>
      <c r="V320" s="354"/>
      <c r="W320" s="354"/>
      <c r="X320" s="354"/>
      <c r="Y320" s="354"/>
      <c r="Z320" s="354"/>
      <c r="AA320" s="354"/>
      <c r="AB320" s="347"/>
      <c r="AC320" s="347"/>
      <c r="AD320" s="347"/>
      <c r="AE320" s="347"/>
      <c r="AF320" s="347"/>
      <c r="AG320" s="364"/>
      <c r="AH320" s="364"/>
    </row>
    <row r="321" spans="1:34" s="349" customFormat="1" ht="13">
      <c r="A321" s="870"/>
      <c r="B321" s="483" t="s">
        <v>135</v>
      </c>
      <c r="C321" s="485">
        <f>C$2</f>
        <v>2007</v>
      </c>
      <c r="D321" s="485">
        <f t="shared" ref="D321:S321" si="572">C321+1</f>
        <v>2008</v>
      </c>
      <c r="E321" s="485">
        <f t="shared" si="572"/>
        <v>2009</v>
      </c>
      <c r="F321" s="485">
        <f t="shared" si="572"/>
        <v>2010</v>
      </c>
      <c r="G321" s="485">
        <f t="shared" si="572"/>
        <v>2011</v>
      </c>
      <c r="H321" s="485">
        <f t="shared" si="572"/>
        <v>2012</v>
      </c>
      <c r="I321" s="485">
        <f t="shared" si="572"/>
        <v>2013</v>
      </c>
      <c r="J321" s="485">
        <f t="shared" si="572"/>
        <v>2014</v>
      </c>
      <c r="K321" s="485">
        <f t="shared" si="572"/>
        <v>2015</v>
      </c>
      <c r="L321" s="485">
        <f t="shared" si="572"/>
        <v>2016</v>
      </c>
      <c r="M321" s="485">
        <f t="shared" si="572"/>
        <v>2017</v>
      </c>
      <c r="N321" s="485">
        <f t="shared" si="572"/>
        <v>2018</v>
      </c>
      <c r="O321" s="485">
        <f t="shared" si="572"/>
        <v>2019</v>
      </c>
      <c r="P321" s="485">
        <f t="shared" si="572"/>
        <v>2020</v>
      </c>
      <c r="Q321" s="485">
        <f t="shared" si="572"/>
        <v>2021</v>
      </c>
      <c r="R321" s="485">
        <f t="shared" si="572"/>
        <v>2022</v>
      </c>
      <c r="S321" s="485">
        <f t="shared" si="572"/>
        <v>2023</v>
      </c>
      <c r="T321" s="485">
        <f t="shared" ref="T321:Y321" si="573">S321+1</f>
        <v>2024</v>
      </c>
      <c r="U321" s="485"/>
      <c r="V321" s="485">
        <f>T321+1</f>
        <v>2025</v>
      </c>
      <c r="W321" s="485">
        <f t="shared" si="573"/>
        <v>2026</v>
      </c>
      <c r="X321" s="485">
        <f t="shared" si="573"/>
        <v>2027</v>
      </c>
      <c r="Y321" s="485">
        <f t="shared" si="573"/>
        <v>2028</v>
      </c>
      <c r="Z321" s="485">
        <f t="shared" ref="Z321" si="574">Y321+1</f>
        <v>2029</v>
      </c>
      <c r="AA321" s="485">
        <f t="shared" ref="AA321" si="575">Z321+1</f>
        <v>2030</v>
      </c>
      <c r="AB321" s="364"/>
      <c r="AC321" s="364"/>
      <c r="AD321" s="364"/>
      <c r="AE321" s="364"/>
      <c r="AF321" s="364"/>
      <c r="AG321" s="347"/>
      <c r="AH321" s="347"/>
    </row>
    <row r="322" spans="1:34" s="349" customFormat="1" ht="13">
      <c r="A322" s="870"/>
      <c r="B322" s="407"/>
      <c r="C322" s="354"/>
      <c r="D322" s="354"/>
      <c r="E322" s="354"/>
      <c r="F322" s="354"/>
      <c r="G322" s="354"/>
      <c r="H322" s="354"/>
      <c r="I322" s="354"/>
      <c r="J322" s="354"/>
      <c r="K322" s="354"/>
      <c r="L322" s="354"/>
      <c r="M322" s="354"/>
      <c r="N322" s="347"/>
      <c r="O322" s="347"/>
      <c r="P322" s="347"/>
      <c r="Q322" s="347"/>
      <c r="R322" s="347"/>
      <c r="S322" s="347"/>
      <c r="T322" s="347"/>
      <c r="U322" s="347"/>
      <c r="V322" s="347"/>
      <c r="W322" s="347"/>
      <c r="X322" s="347"/>
      <c r="Y322" s="347"/>
      <c r="Z322" s="347"/>
      <c r="AA322" s="347"/>
      <c r="AB322" s="347"/>
      <c r="AC322" s="347"/>
      <c r="AD322" s="347"/>
      <c r="AE322" s="347"/>
      <c r="AF322" s="347"/>
      <c r="AG322" s="347"/>
      <c r="AH322" s="347"/>
    </row>
    <row r="323" spans="1:34" s="349" customFormat="1" ht="13">
      <c r="A323" s="870"/>
      <c r="B323" s="407" t="s">
        <v>135</v>
      </c>
      <c r="C323" s="818">
        <v>4464</v>
      </c>
      <c r="D323" s="818">
        <v>4309</v>
      </c>
      <c r="E323" s="818">
        <v>8802</v>
      </c>
      <c r="F323" s="818">
        <v>11715</v>
      </c>
      <c r="G323" s="818">
        <v>13693</v>
      </c>
      <c r="H323" s="818">
        <v>15370</v>
      </c>
      <c r="I323" s="818">
        <v>20980</v>
      </c>
      <c r="J323" s="818">
        <v>13960</v>
      </c>
      <c r="K323" s="818">
        <v>15300</v>
      </c>
      <c r="L323" s="818">
        <f ca="1">K323+L324+L325+L326</f>
        <v>18457.5</v>
      </c>
      <c r="M323" s="818">
        <f>12157+1+8404</f>
        <v>20562</v>
      </c>
      <c r="N323" s="818">
        <f>12149.371+0.9+5124.031</f>
        <v>17274.302</v>
      </c>
      <c r="O323" s="818">
        <f>12202.382+0.9+5849.888</f>
        <v>18053.169999999998</v>
      </c>
      <c r="P323" s="818">
        <f>12232.12+1+5968.09-134.445</f>
        <v>18066.764999999999</v>
      </c>
      <c r="Q323" s="818">
        <f>12216.315-134.445+1.1+6933.308</f>
        <v>19016.278000000002</v>
      </c>
      <c r="R323" s="818">
        <f>16914.496-134.445+1.2+7549.052</f>
        <v>24330.303</v>
      </c>
      <c r="S323" s="818">
        <f>16914.496-134.445+1.3+8266.167</f>
        <v>25047.517999999996</v>
      </c>
      <c r="T323" s="818">
        <f>Inputs!BO105+Inputs!BO107+Inputs!BO109+Inputs!BO110</f>
        <v>24747.548999999999</v>
      </c>
      <c r="U323" s="818"/>
      <c r="V323" s="752">
        <f>T323+V324+V325+V326</f>
        <v>22463.315673721245</v>
      </c>
      <c r="W323" s="752">
        <f t="shared" ref="W323:Y323" si="576">V323+W324+W325+W326</f>
        <v>23199.636362418023</v>
      </c>
      <c r="X323" s="752">
        <f t="shared" si="576"/>
        <v>24300.901627586041</v>
      </c>
      <c r="Y323" s="752">
        <f t="shared" si="576"/>
        <v>26480.903661375283</v>
      </c>
      <c r="Z323" s="752">
        <f t="shared" ref="Z323" si="577">Y323+Z324+Z325+Z326</f>
        <v>29265.936475055343</v>
      </c>
      <c r="AA323" s="752">
        <f t="shared" ref="AA323" si="578">Z323+AA324+AA325+AA326</f>
        <v>32616.564273749693</v>
      </c>
      <c r="AB323" s="347"/>
      <c r="AC323" s="347" t="s">
        <v>1257</v>
      </c>
      <c r="AD323" s="347"/>
      <c r="AE323" s="347"/>
      <c r="AF323" s="347"/>
      <c r="AG323" s="347"/>
      <c r="AH323" s="347"/>
    </row>
    <row r="324" spans="1:34" s="349" customFormat="1" ht="13">
      <c r="A324" s="870"/>
      <c r="B324" s="407" t="s">
        <v>99</v>
      </c>
      <c r="C324" s="752">
        <f>'Income Statement'!C271</f>
        <v>252</v>
      </c>
      <c r="D324" s="752">
        <f>'Income Statement'!H271</f>
        <v>-14</v>
      </c>
      <c r="E324" s="752">
        <f>'Income Statement'!M271</f>
        <v>1709.5000000000002</v>
      </c>
      <c r="F324" s="752">
        <f>'Income Statement'!R271</f>
        <v>2892</v>
      </c>
      <c r="G324" s="752">
        <f>'Income Statement'!W271</f>
        <v>2830</v>
      </c>
      <c r="H324" s="752">
        <f>'Income Statement'!AB271</f>
        <v>2717</v>
      </c>
      <c r="I324" s="752">
        <f>'Income Statement'!AG271</f>
        <v>1032</v>
      </c>
      <c r="J324" s="752">
        <f>'Income Statement'!AL271</f>
        <v>-891</v>
      </c>
      <c r="K324" s="752">
        <f>'Income Statement'!AQ271</f>
        <v>-25</v>
      </c>
      <c r="L324" s="752">
        <f>'Income Statement'!AV271</f>
        <v>374</v>
      </c>
      <c r="M324" s="752">
        <f>'Income Statement'!BA271</f>
        <v>361</v>
      </c>
      <c r="N324" s="752">
        <f>'Income Statement'!BF271</f>
        <v>-3294</v>
      </c>
      <c r="O324" s="752">
        <f>'Income Statement'!BK271</f>
        <v>711</v>
      </c>
      <c r="P324" s="752">
        <f>'Income Statement'!BL271</f>
        <v>1520.0000000000002</v>
      </c>
      <c r="Q324" s="752">
        <f>'Income Statement'!BU271</f>
        <v>1287.8070000000002</v>
      </c>
      <c r="R324" s="752">
        <f>'Income Statement'!BZ271</f>
        <v>1121.1880000000001</v>
      </c>
      <c r="S324" s="752">
        <f>'Income Statement'!CE271</f>
        <v>1284.4479999999999</v>
      </c>
      <c r="T324" s="752">
        <f>'Income Statement'!CJ271</f>
        <v>1847.6309999999999</v>
      </c>
      <c r="U324" s="752"/>
      <c r="V324" s="752">
        <f>'Income Statement'!CO271</f>
        <v>-2284.2333262787533</v>
      </c>
      <c r="W324" s="752">
        <f>'Income Statement'!CP271</f>
        <v>736.32068869677698</v>
      </c>
      <c r="X324" s="752">
        <f>'Income Statement'!CQ271</f>
        <v>2202.5305303360401</v>
      </c>
      <c r="Y324" s="752">
        <f>'Income Statement'!CR271</f>
        <v>4360.0040675784803</v>
      </c>
      <c r="Z324" s="752">
        <f>'Income Statement'!CS271</f>
        <v>5570.065627360118</v>
      </c>
      <c r="AA324" s="752">
        <f>'Income Statement'!CT271</f>
        <v>6701.2555973886965</v>
      </c>
      <c r="AB324" s="347"/>
      <c r="AC324" s="347"/>
      <c r="AD324" s="347"/>
      <c r="AE324" s="347"/>
      <c r="AF324" s="347"/>
      <c r="AG324" s="347"/>
      <c r="AH324" s="347"/>
    </row>
    <row r="325" spans="1:34" s="349" customFormat="1" ht="13">
      <c r="A325" s="870"/>
      <c r="B325" s="407" t="s">
        <v>204</v>
      </c>
      <c r="C325" s="752">
        <f t="shared" ref="C325:Q325" si="579">C345</f>
        <v>-6.7142300000000006</v>
      </c>
      <c r="D325" s="752">
        <f t="shared" si="579"/>
        <v>-141.80000000000001</v>
      </c>
      <c r="E325" s="752">
        <f t="shared" si="579"/>
        <v>0</v>
      </c>
      <c r="F325" s="752">
        <f t="shared" si="579"/>
        <v>-862.20600000000002</v>
      </c>
      <c r="G325" s="752">
        <f t="shared" si="579"/>
        <v>-1046.57304</v>
      </c>
      <c r="H325" s="752">
        <f t="shared" si="579"/>
        <v>-1087.83</v>
      </c>
      <c r="I325" s="752">
        <f t="shared" si="579"/>
        <v>-523.77</v>
      </c>
      <c r="J325" s="752">
        <f t="shared" si="579"/>
        <v>0</v>
      </c>
      <c r="K325" s="752">
        <f t="shared" si="579"/>
        <v>0</v>
      </c>
      <c r="L325" s="752">
        <f t="shared" si="579"/>
        <v>0</v>
      </c>
      <c r="M325" s="752">
        <f t="shared" si="579"/>
        <v>0</v>
      </c>
      <c r="N325" s="752">
        <f t="shared" si="579"/>
        <v>0</v>
      </c>
      <c r="O325" s="752">
        <f t="shared" si="579"/>
        <v>-213.75919999999999</v>
      </c>
      <c r="P325" s="752">
        <f t="shared" ref="P325" si="580">P345</f>
        <v>-339.380517</v>
      </c>
      <c r="Q325" s="752">
        <f t="shared" si="579"/>
        <v>-546.95817</v>
      </c>
      <c r="R325" s="752">
        <f t="shared" ref="R325:Y325" si="581">R345</f>
        <v>-551.39408793000007</v>
      </c>
      <c r="S325" s="752">
        <f t="shared" ref="S325" si="582">S345</f>
        <v>-635.29642323899998</v>
      </c>
      <c r="T325" s="752">
        <f t="shared" ref="T325" si="583">T345</f>
        <v>-1120.2655035305002</v>
      </c>
      <c r="U325" s="752"/>
      <c r="V325" s="752">
        <f t="shared" si="581"/>
        <v>0</v>
      </c>
      <c r="W325" s="752">
        <f t="shared" si="581"/>
        <v>0</v>
      </c>
      <c r="X325" s="752">
        <f t="shared" si="581"/>
        <v>-1101.2652651680201</v>
      </c>
      <c r="Y325" s="752">
        <f t="shared" si="581"/>
        <v>-2180.0020337892402</v>
      </c>
      <c r="Z325" s="752">
        <f t="shared" ref="Z325:AA325" si="584">Z345</f>
        <v>-2785.032813680059</v>
      </c>
      <c r="AA325" s="752">
        <f t="shared" si="584"/>
        <v>-3350.6277986943483</v>
      </c>
      <c r="AB325" s="347"/>
      <c r="AC325" s="347"/>
      <c r="AD325" s="347"/>
      <c r="AE325" s="347"/>
      <c r="AF325" s="347"/>
      <c r="AG325" s="347"/>
      <c r="AH325" s="347"/>
    </row>
    <row r="326" spans="1:34" s="349" customFormat="1" ht="13">
      <c r="A326" s="870"/>
      <c r="B326" s="407" t="s">
        <v>205</v>
      </c>
      <c r="C326" s="752"/>
      <c r="D326" s="752"/>
      <c r="E326" s="752">
        <f t="shared" ref="E326" si="585">E323-D323-E324-E325</f>
        <v>2783.5</v>
      </c>
      <c r="F326" s="752">
        <f t="shared" ref="F326" si="586">F323-E323-F324-F325</f>
        <v>883.20600000000002</v>
      </c>
      <c r="G326" s="752">
        <f t="shared" ref="G326" si="587">G323-F323-G324-G325</f>
        <v>194.57303999999999</v>
      </c>
      <c r="H326" s="752">
        <f t="shared" ref="H326" si="588">H323-G323-H324-H325</f>
        <v>47.829999999999927</v>
      </c>
      <c r="I326" s="752">
        <f t="shared" ref="I326" si="589">I323-H323-I324-I325</f>
        <v>5101.7700000000004</v>
      </c>
      <c r="J326" s="752">
        <f t="shared" ref="J326" si="590">J323-I323-J324-J325</f>
        <v>-6129</v>
      </c>
      <c r="K326" s="752">
        <f t="shared" ref="K326" si="591">K323-J323-K324-K325</f>
        <v>1365</v>
      </c>
      <c r="L326" s="752">
        <f t="shared" ref="L326" ca="1" si="592">L323-K323-L324-L325</f>
        <v>2783.5</v>
      </c>
      <c r="M326" s="752">
        <f t="shared" ref="M326" ca="1" si="593">M323-L323-M324-M325</f>
        <v>1743.5</v>
      </c>
      <c r="N326" s="752">
        <f t="shared" ref="N326:Q326" si="594">N323-M323-N324-N325</f>
        <v>6.3019999999996799</v>
      </c>
      <c r="O326" s="752">
        <f t="shared" si="594"/>
        <v>281.62719999999854</v>
      </c>
      <c r="P326" s="752">
        <f t="shared" si="594"/>
        <v>-1167.024482999999</v>
      </c>
      <c r="Q326" s="752">
        <f t="shared" si="594"/>
        <v>208.6641700000024</v>
      </c>
      <c r="R326" s="752">
        <f t="shared" ref="R326" si="595">R323-Q323-R324-R325</f>
        <v>4744.2310879299976</v>
      </c>
      <c r="S326" s="752">
        <f t="shared" ref="S326:T326" si="596">S323-R323-S324-S325</f>
        <v>68.06342323899662</v>
      </c>
      <c r="T326" s="752">
        <f t="shared" si="596"/>
        <v>-1027.334496469497</v>
      </c>
      <c r="U326" s="752"/>
      <c r="V326" s="819"/>
      <c r="W326" s="819">
        <v>0</v>
      </c>
      <c r="X326" s="819">
        <v>0</v>
      </c>
      <c r="Y326" s="819">
        <v>0</v>
      </c>
      <c r="Z326" s="819">
        <v>0</v>
      </c>
      <c r="AA326" s="819">
        <v>0</v>
      </c>
      <c r="AB326" s="347"/>
      <c r="AC326" s="347"/>
      <c r="AD326" s="347"/>
      <c r="AE326" s="347"/>
      <c r="AF326" s="347"/>
      <c r="AG326" s="347"/>
      <c r="AH326" s="347"/>
    </row>
    <row r="327" spans="1:34" s="349" customFormat="1" ht="13">
      <c r="A327" s="870"/>
      <c r="B327" s="407"/>
      <c r="AB327" s="347"/>
      <c r="AC327" s="347"/>
      <c r="AD327" s="347"/>
      <c r="AE327" s="347"/>
      <c r="AF327" s="347"/>
      <c r="AG327" s="347"/>
      <c r="AH327" s="347"/>
    </row>
    <row r="328" spans="1:34" s="349" customFormat="1" ht="13">
      <c r="A328" s="870"/>
      <c r="B328" s="407"/>
      <c r="AB328" s="347"/>
      <c r="AC328" s="347"/>
      <c r="AD328" s="347"/>
      <c r="AE328" s="347"/>
      <c r="AF328" s="347"/>
      <c r="AG328" s="347"/>
      <c r="AH328" s="347"/>
    </row>
    <row r="329" spans="1:34" s="349" customFormat="1" ht="13">
      <c r="A329" s="870"/>
      <c r="B329" s="407"/>
      <c r="AB329" s="347"/>
      <c r="AC329" s="347"/>
      <c r="AD329" s="347"/>
      <c r="AE329" s="347"/>
      <c r="AF329" s="347"/>
      <c r="AG329" s="364"/>
      <c r="AH329" s="364"/>
    </row>
    <row r="330" spans="1:34" s="349" customFormat="1" ht="13">
      <c r="A330" s="870"/>
      <c r="B330" s="483" t="s">
        <v>206</v>
      </c>
      <c r="C330" s="485">
        <f>C321</f>
        <v>2007</v>
      </c>
      <c r="D330" s="485">
        <f t="shared" ref="D330:S330" si="597">C330+1</f>
        <v>2008</v>
      </c>
      <c r="E330" s="485">
        <f t="shared" si="597"/>
        <v>2009</v>
      </c>
      <c r="F330" s="485">
        <f t="shared" si="597"/>
        <v>2010</v>
      </c>
      <c r="G330" s="485">
        <f t="shared" si="597"/>
        <v>2011</v>
      </c>
      <c r="H330" s="485">
        <f t="shared" si="597"/>
        <v>2012</v>
      </c>
      <c r="I330" s="485">
        <f t="shared" si="597"/>
        <v>2013</v>
      </c>
      <c r="J330" s="485">
        <f t="shared" si="597"/>
        <v>2014</v>
      </c>
      <c r="K330" s="485">
        <f t="shared" si="597"/>
        <v>2015</v>
      </c>
      <c r="L330" s="485">
        <f t="shared" si="597"/>
        <v>2016</v>
      </c>
      <c r="M330" s="485">
        <f t="shared" si="597"/>
        <v>2017</v>
      </c>
      <c r="N330" s="485">
        <f t="shared" si="597"/>
        <v>2018</v>
      </c>
      <c r="O330" s="485">
        <f t="shared" si="597"/>
        <v>2019</v>
      </c>
      <c r="P330" s="485">
        <f t="shared" si="597"/>
        <v>2020</v>
      </c>
      <c r="Q330" s="485">
        <f t="shared" si="597"/>
        <v>2021</v>
      </c>
      <c r="R330" s="485">
        <f t="shared" si="597"/>
        <v>2022</v>
      </c>
      <c r="S330" s="485">
        <f t="shared" si="597"/>
        <v>2023</v>
      </c>
      <c r="T330" s="485">
        <f t="shared" ref="T330:Y330" si="598">S330+1</f>
        <v>2024</v>
      </c>
      <c r="U330" s="485"/>
      <c r="V330" s="485">
        <f>T330+1</f>
        <v>2025</v>
      </c>
      <c r="W330" s="485">
        <f t="shared" si="598"/>
        <v>2026</v>
      </c>
      <c r="X330" s="485">
        <f t="shared" si="598"/>
        <v>2027</v>
      </c>
      <c r="Y330" s="485">
        <f t="shared" si="598"/>
        <v>2028</v>
      </c>
      <c r="Z330" s="485">
        <f t="shared" ref="Z330" si="599">Y330+1</f>
        <v>2029</v>
      </c>
      <c r="AA330" s="485">
        <f t="shared" ref="AA330" si="600">Z330+1</f>
        <v>2030</v>
      </c>
      <c r="AB330" s="364"/>
      <c r="AC330" s="364"/>
      <c r="AD330" s="364"/>
      <c r="AE330" s="364"/>
      <c r="AF330" s="364"/>
      <c r="AG330" s="347"/>
      <c r="AH330" s="347"/>
    </row>
    <row r="331" spans="1:34" s="349" customFormat="1" ht="13">
      <c r="A331" s="870"/>
      <c r="B331" s="407"/>
      <c r="I331" s="347"/>
      <c r="J331" s="347"/>
      <c r="K331" s="347"/>
      <c r="L331" s="347"/>
      <c r="M331" s="347"/>
      <c r="N331" s="347"/>
      <c r="O331" s="347"/>
      <c r="P331" s="347"/>
      <c r="Q331" s="347"/>
      <c r="R331" s="347"/>
      <c r="S331" s="347"/>
      <c r="T331" s="347"/>
      <c r="U331" s="347"/>
      <c r="V331" s="347"/>
      <c r="W331" s="347"/>
      <c r="X331" s="347"/>
      <c r="Y331" s="347"/>
      <c r="Z331" s="347"/>
      <c r="AA331" s="347"/>
      <c r="AB331" s="347"/>
      <c r="AC331" s="347"/>
      <c r="AD331" s="347"/>
      <c r="AE331" s="347"/>
      <c r="AF331" s="347"/>
      <c r="AG331" s="347"/>
      <c r="AH331" s="347"/>
    </row>
    <row r="332" spans="1:34" s="349" customFormat="1" ht="13">
      <c r="A332" s="870"/>
      <c r="B332" s="407" t="s">
        <v>207</v>
      </c>
      <c r="C332" s="636"/>
      <c r="D332" s="636"/>
      <c r="E332" s="636"/>
      <c r="F332" s="636"/>
      <c r="G332" s="636"/>
      <c r="H332" s="636"/>
      <c r="I332" s="636"/>
      <c r="J332" s="636"/>
      <c r="K332" s="636"/>
      <c r="L332" s="636"/>
      <c r="M332" s="636"/>
      <c r="N332" s="513"/>
      <c r="O332" s="513"/>
      <c r="P332" s="513"/>
      <c r="Q332" s="513"/>
      <c r="R332" s="504"/>
      <c r="S332" s="504"/>
      <c r="T332" s="504"/>
      <c r="U332" s="504"/>
      <c r="V332" s="504"/>
      <c r="W332" s="504"/>
      <c r="X332" s="504"/>
      <c r="Y332" s="504"/>
      <c r="Z332" s="504"/>
      <c r="AA332" s="504"/>
      <c r="AB332" s="347"/>
      <c r="AC332" s="347"/>
      <c r="AD332" s="347"/>
      <c r="AE332" s="347"/>
      <c r="AF332" s="347"/>
      <c r="AG332" s="347"/>
      <c r="AH332" s="347"/>
    </row>
    <row r="333" spans="1:34" s="349" customFormat="1" ht="13">
      <c r="A333" s="870"/>
      <c r="B333" s="407" t="s">
        <v>208</v>
      </c>
      <c r="C333" s="628"/>
      <c r="D333" s="628"/>
      <c r="E333" s="628"/>
      <c r="F333" s="628"/>
      <c r="G333" s="628"/>
      <c r="H333" s="628"/>
      <c r="I333" s="628"/>
      <c r="J333" s="628"/>
      <c r="K333" s="628"/>
      <c r="L333" s="628"/>
      <c r="M333" s="628"/>
      <c r="N333" s="513"/>
      <c r="O333" s="513"/>
      <c r="P333" s="513"/>
      <c r="Q333" s="513"/>
      <c r="R333" s="504"/>
      <c r="S333" s="504"/>
      <c r="T333" s="504"/>
      <c r="U333" s="504"/>
      <c r="V333" s="504"/>
      <c r="W333" s="504"/>
      <c r="X333" s="504"/>
      <c r="Y333" s="504"/>
      <c r="Z333" s="504"/>
      <c r="AA333" s="504"/>
      <c r="AB333" s="347"/>
      <c r="AC333" s="347"/>
      <c r="AD333" s="347"/>
      <c r="AE333" s="347"/>
      <c r="AF333" s="347"/>
      <c r="AG333" s="347"/>
      <c r="AH333" s="347"/>
    </row>
    <row r="334" spans="1:34" s="349" customFormat="1" ht="13">
      <c r="A334" s="870"/>
      <c r="B334" s="407" t="s">
        <v>160</v>
      </c>
      <c r="C334" s="628"/>
      <c r="D334" s="628"/>
      <c r="E334" s="628"/>
      <c r="F334" s="628"/>
      <c r="G334" s="628"/>
      <c r="H334" s="628"/>
      <c r="I334" s="628"/>
      <c r="J334" s="628"/>
      <c r="K334" s="628"/>
      <c r="L334" s="628"/>
      <c r="M334" s="628"/>
      <c r="N334" s="513"/>
      <c r="O334" s="513"/>
      <c r="P334" s="513"/>
      <c r="Q334" s="513"/>
      <c r="R334" s="504"/>
      <c r="S334" s="504"/>
      <c r="T334" s="504"/>
      <c r="U334" s="504"/>
      <c r="V334" s="504"/>
      <c r="W334" s="504"/>
      <c r="X334" s="504"/>
      <c r="Y334" s="504"/>
      <c r="Z334" s="504"/>
      <c r="AA334" s="504"/>
      <c r="AB334" s="347"/>
      <c r="AC334" s="347"/>
      <c r="AD334" s="347"/>
      <c r="AE334" s="347"/>
      <c r="AF334" s="347"/>
      <c r="AG334" s="347"/>
      <c r="AH334" s="347"/>
    </row>
    <row r="335" spans="1:34" s="349" customFormat="1" ht="13">
      <c r="A335" s="870"/>
      <c r="B335" s="407" t="s">
        <v>209</v>
      </c>
      <c r="C335" s="628"/>
      <c r="D335" s="628"/>
      <c r="E335" s="628"/>
      <c r="F335" s="628"/>
      <c r="G335" s="628"/>
      <c r="H335" s="628"/>
      <c r="I335" s="628"/>
      <c r="J335" s="628"/>
      <c r="K335" s="628"/>
      <c r="L335" s="628"/>
      <c r="M335" s="628"/>
      <c r="N335" s="513"/>
      <c r="O335" s="513"/>
      <c r="P335" s="513"/>
      <c r="Q335" s="513"/>
      <c r="R335" s="504"/>
      <c r="S335" s="504"/>
      <c r="T335" s="504"/>
      <c r="U335" s="504"/>
      <c r="V335" s="504"/>
      <c r="W335" s="504"/>
      <c r="X335" s="504"/>
      <c r="Y335" s="504"/>
      <c r="Z335" s="504"/>
      <c r="AA335" s="504"/>
      <c r="AB335" s="347"/>
      <c r="AC335" s="347"/>
      <c r="AD335" s="347"/>
      <c r="AE335" s="347"/>
      <c r="AF335" s="347"/>
      <c r="AG335" s="347"/>
      <c r="AH335" s="347"/>
    </row>
    <row r="336" spans="1:34" s="349" customFormat="1" ht="13">
      <c r="A336" s="870"/>
      <c r="B336" s="407" t="s">
        <v>210</v>
      </c>
      <c r="C336" s="354">
        <f t="shared" ref="C336:G336" si="601">SUM(C332:C335)</f>
        <v>0</v>
      </c>
      <c r="D336" s="354">
        <f t="shared" si="601"/>
        <v>0</v>
      </c>
      <c r="E336" s="354">
        <f t="shared" si="601"/>
        <v>0</v>
      </c>
      <c r="F336" s="354">
        <f t="shared" si="601"/>
        <v>0</v>
      </c>
      <c r="G336" s="354">
        <f t="shared" si="601"/>
        <v>0</v>
      </c>
      <c r="H336" s="354">
        <f t="shared" ref="H336:Y336" si="602">SUM(H332:H335)</f>
        <v>0</v>
      </c>
      <c r="I336" s="354">
        <f t="shared" si="602"/>
        <v>0</v>
      </c>
      <c r="J336" s="354">
        <f t="shared" si="602"/>
        <v>0</v>
      </c>
      <c r="K336" s="354">
        <f t="shared" si="602"/>
        <v>0</v>
      </c>
      <c r="L336" s="354">
        <f t="shared" si="602"/>
        <v>0</v>
      </c>
      <c r="M336" s="354">
        <f t="shared" si="602"/>
        <v>0</v>
      </c>
      <c r="N336" s="354">
        <f t="shared" si="602"/>
        <v>0</v>
      </c>
      <c r="O336" s="354">
        <f t="shared" ref="O336:P336" si="603">SUM(O332:O335)</f>
        <v>0</v>
      </c>
      <c r="P336" s="354">
        <f t="shared" si="603"/>
        <v>0</v>
      </c>
      <c r="Q336" s="354">
        <f t="shared" si="602"/>
        <v>0</v>
      </c>
      <c r="R336" s="354">
        <f t="shared" si="602"/>
        <v>0</v>
      </c>
      <c r="S336" s="354">
        <f t="shared" ref="S336" si="604">SUM(S332:S335)</f>
        <v>0</v>
      </c>
      <c r="T336" s="354">
        <f t="shared" si="602"/>
        <v>0</v>
      </c>
      <c r="U336" s="354"/>
      <c r="V336" s="354">
        <f t="shared" si="602"/>
        <v>0</v>
      </c>
      <c r="W336" s="354">
        <f t="shared" si="602"/>
        <v>0</v>
      </c>
      <c r="X336" s="354">
        <f t="shared" si="602"/>
        <v>0</v>
      </c>
      <c r="Y336" s="354">
        <f t="shared" si="602"/>
        <v>0</v>
      </c>
      <c r="Z336" s="354">
        <f t="shared" ref="Z336:AA336" si="605">SUM(Z332:Z335)</f>
        <v>0</v>
      </c>
      <c r="AA336" s="354">
        <f t="shared" si="605"/>
        <v>0</v>
      </c>
      <c r="AB336" s="347"/>
      <c r="AC336" s="347"/>
      <c r="AD336" s="347"/>
      <c r="AE336" s="347"/>
      <c r="AF336" s="347"/>
      <c r="AG336" s="347"/>
      <c r="AH336" s="347"/>
    </row>
    <row r="337" spans="1:34" s="349" customFormat="1" ht="13">
      <c r="A337" s="870"/>
      <c r="B337" s="634"/>
      <c r="C337" s="470"/>
      <c r="D337" s="470"/>
      <c r="E337" s="470"/>
      <c r="F337" s="470"/>
      <c r="G337" s="470"/>
      <c r="H337" s="470"/>
      <c r="I337" s="470"/>
      <c r="J337" s="470"/>
      <c r="K337" s="470"/>
      <c r="L337" s="470"/>
      <c r="M337" s="470"/>
      <c r="N337" s="347"/>
      <c r="O337" s="347"/>
      <c r="P337" s="347"/>
      <c r="Q337" s="347"/>
      <c r="R337" s="347"/>
      <c r="S337" s="347"/>
      <c r="T337" s="347"/>
      <c r="U337" s="347"/>
      <c r="V337" s="347"/>
      <c r="W337" s="347"/>
      <c r="X337" s="347"/>
      <c r="Y337" s="347"/>
      <c r="Z337" s="347"/>
      <c r="AA337" s="347"/>
      <c r="AB337" s="347"/>
      <c r="AC337" s="347"/>
      <c r="AD337" s="347"/>
      <c r="AE337" s="347"/>
      <c r="AF337" s="347"/>
      <c r="AG337" s="347"/>
      <c r="AH337" s="347"/>
    </row>
    <row r="338" spans="1:34" s="349" customFormat="1" ht="13">
      <c r="A338" s="870"/>
      <c r="B338" s="634"/>
      <c r="C338" s="470"/>
      <c r="D338" s="470"/>
      <c r="E338" s="470"/>
      <c r="F338" s="470"/>
      <c r="G338" s="470"/>
      <c r="H338" s="470"/>
      <c r="I338" s="470"/>
      <c r="J338" s="470"/>
      <c r="K338" s="470"/>
      <c r="L338" s="470"/>
      <c r="M338" s="470"/>
      <c r="N338" s="347"/>
      <c r="O338" s="347"/>
      <c r="P338" s="347"/>
      <c r="Q338" s="347"/>
      <c r="R338" s="347"/>
      <c r="S338" s="347"/>
      <c r="T338" s="347"/>
      <c r="U338" s="347"/>
      <c r="V338" s="347"/>
      <c r="W338" s="347"/>
      <c r="X338" s="347"/>
      <c r="Y338" s="347"/>
      <c r="Z338" s="347"/>
      <c r="AA338" s="347"/>
      <c r="AB338" s="347"/>
      <c r="AC338" s="347"/>
      <c r="AD338" s="347"/>
      <c r="AE338" s="347"/>
      <c r="AF338" s="347"/>
      <c r="AG338" s="347"/>
      <c r="AH338" s="347"/>
    </row>
    <row r="339" spans="1:34" s="349" customFormat="1" ht="13">
      <c r="A339" s="870"/>
      <c r="B339" s="634"/>
      <c r="C339" s="470"/>
      <c r="D339" s="470"/>
      <c r="E339" s="470"/>
      <c r="F339" s="470"/>
      <c r="G339" s="470"/>
      <c r="H339" s="470"/>
      <c r="I339" s="470"/>
      <c r="J339" s="470"/>
      <c r="K339" s="470"/>
      <c r="L339" s="470"/>
      <c r="M339" s="470"/>
      <c r="N339" s="347"/>
      <c r="O339" s="347"/>
      <c r="P339" s="347"/>
      <c r="Q339" s="347"/>
      <c r="R339" s="347"/>
      <c r="S339" s="347"/>
      <c r="T339" s="347"/>
      <c r="U339" s="347"/>
      <c r="V339" s="347"/>
      <c r="W339" s="347"/>
      <c r="X339" s="347"/>
      <c r="Y339" s="347"/>
      <c r="Z339" s="347"/>
      <c r="AA339" s="347"/>
      <c r="AB339" s="347"/>
      <c r="AC339" s="347"/>
      <c r="AD339" s="347"/>
      <c r="AE339" s="347"/>
      <c r="AF339" s="347"/>
      <c r="AG339" s="347"/>
      <c r="AH339" s="347"/>
    </row>
    <row r="340" spans="1:34" s="349" customFormat="1" ht="13">
      <c r="A340" s="870"/>
      <c r="B340" s="671" t="s">
        <v>211</v>
      </c>
      <c r="C340" s="485">
        <f>C$2</f>
        <v>2007</v>
      </c>
      <c r="D340" s="383">
        <f t="shared" ref="D340:S340" si="606">C340+1</f>
        <v>2008</v>
      </c>
      <c r="E340" s="383">
        <f t="shared" si="606"/>
        <v>2009</v>
      </c>
      <c r="F340" s="383">
        <f t="shared" si="606"/>
        <v>2010</v>
      </c>
      <c r="G340" s="383">
        <f t="shared" si="606"/>
        <v>2011</v>
      </c>
      <c r="H340" s="383">
        <f t="shared" si="606"/>
        <v>2012</v>
      </c>
      <c r="I340" s="383">
        <f t="shared" si="606"/>
        <v>2013</v>
      </c>
      <c r="J340" s="383">
        <f t="shared" si="606"/>
        <v>2014</v>
      </c>
      <c r="K340" s="383">
        <f t="shared" si="606"/>
        <v>2015</v>
      </c>
      <c r="L340" s="383">
        <f t="shared" si="606"/>
        <v>2016</v>
      </c>
      <c r="M340" s="383">
        <f t="shared" si="606"/>
        <v>2017</v>
      </c>
      <c r="N340" s="383">
        <f t="shared" si="606"/>
        <v>2018</v>
      </c>
      <c r="O340" s="383">
        <f t="shared" si="606"/>
        <v>2019</v>
      </c>
      <c r="P340" s="383">
        <f t="shared" si="606"/>
        <v>2020</v>
      </c>
      <c r="Q340" s="383">
        <f t="shared" si="606"/>
        <v>2021</v>
      </c>
      <c r="R340" s="383">
        <f t="shared" si="606"/>
        <v>2022</v>
      </c>
      <c r="S340" s="383">
        <f t="shared" si="606"/>
        <v>2023</v>
      </c>
      <c r="T340" s="383">
        <f t="shared" ref="T340:Y340" si="607">S340+1</f>
        <v>2024</v>
      </c>
      <c r="U340" s="383"/>
      <c r="V340" s="383">
        <f>T340+1</f>
        <v>2025</v>
      </c>
      <c r="W340" s="383">
        <f t="shared" si="607"/>
        <v>2026</v>
      </c>
      <c r="X340" s="383">
        <f t="shared" si="607"/>
        <v>2027</v>
      </c>
      <c r="Y340" s="383">
        <f t="shared" si="607"/>
        <v>2028</v>
      </c>
      <c r="Z340" s="383">
        <f t="shared" ref="Z340" si="608">Y340+1</f>
        <v>2029</v>
      </c>
      <c r="AA340" s="383">
        <f t="shared" ref="AA340" si="609">Z340+1</f>
        <v>2030</v>
      </c>
      <c r="AB340" s="347"/>
      <c r="AC340" s="347"/>
      <c r="AD340" s="347"/>
      <c r="AE340" s="347"/>
      <c r="AF340" s="347"/>
      <c r="AG340" s="347"/>
      <c r="AH340" s="347"/>
    </row>
    <row r="341" spans="1:34" s="349" customFormat="1" ht="13">
      <c r="A341" s="870"/>
      <c r="B341" s="672" t="s">
        <v>141</v>
      </c>
      <c r="C341" s="752">
        <f>'Income Statement'!C248-C73</f>
        <v>-3359</v>
      </c>
      <c r="D341" s="752">
        <f>'Income Statement'!H248-D73</f>
        <v>-6250</v>
      </c>
      <c r="E341" s="752">
        <f>'Income Statement'!M248-E73</f>
        <v>922.30000000000018</v>
      </c>
      <c r="F341" s="752">
        <f>'Income Statement'!R248-F73</f>
        <v>4439</v>
      </c>
      <c r="G341" s="752">
        <f>'Income Statement'!W248-G73</f>
        <v>2826</v>
      </c>
      <c r="H341" s="752">
        <f>'Income Statement'!AB248-H73</f>
        <v>-431</v>
      </c>
      <c r="I341" s="752">
        <f>'Income Statement'!AG248-I73</f>
        <v>1265</v>
      </c>
      <c r="J341" s="752">
        <f>'Income Statement'!AL248-J73</f>
        <v>1528</v>
      </c>
      <c r="K341" s="752">
        <f>'Income Statement'!AQ248-K73</f>
        <v>4247</v>
      </c>
      <c r="L341" s="752">
        <f>'Income Statement'!AV248-L73</f>
        <v>2473</v>
      </c>
      <c r="M341" s="752">
        <f>'Income Statement'!BA248-M73</f>
        <v>1624</v>
      </c>
      <c r="N341" s="752">
        <f>'Income Statement'!BF248-N73</f>
        <v>2239.2470000000003</v>
      </c>
      <c r="O341" s="752">
        <f>'Income Statement'!BK248-O73</f>
        <v>869.86299999999937</v>
      </c>
      <c r="P341" s="752">
        <f>'Income Statement'!BL248-P73</f>
        <v>-2971</v>
      </c>
      <c r="Q341" s="752">
        <f>'Income Statement'!BU248-Q73</f>
        <v>3366</v>
      </c>
      <c r="R341" s="752">
        <f>'Income Statement'!BZ248-R73</f>
        <v>5172</v>
      </c>
      <c r="S341" s="752">
        <f>'Income Statement'!CE248-S73</f>
        <v>8727</v>
      </c>
      <c r="T341" s="752">
        <f>'Income Statement'!CJ248-T73</f>
        <v>10497</v>
      </c>
      <c r="U341" s="752"/>
      <c r="V341" s="752">
        <f>'Income Statement'!CO248-V73</f>
        <v>-1839.7928466557314</v>
      </c>
      <c r="W341" s="752">
        <f>'Income Statement'!CP248-W73</f>
        <v>11624.167289751093</v>
      </c>
      <c r="X341" s="752">
        <f>'Income Statement'!CQ248-X73</f>
        <v>13904.817760144348</v>
      </c>
      <c r="Y341" s="752">
        <f>'Income Statement'!CR248-Y73</f>
        <v>15807.744584398901</v>
      </c>
      <c r="Z341" s="752">
        <f>'Income Statement'!CS248-Z73</f>
        <v>16656.236389253929</v>
      </c>
      <c r="AA341" s="752">
        <f>'Income Statement'!CT248-AA73</f>
        <v>17267.38670338098</v>
      </c>
      <c r="AB341" s="347"/>
      <c r="AC341" s="347"/>
      <c r="AD341" s="347"/>
      <c r="AE341" s="347"/>
      <c r="AF341" s="347"/>
      <c r="AG341" s="347"/>
      <c r="AH341" s="347"/>
    </row>
    <row r="342" spans="1:34" s="349" customFormat="1" ht="13">
      <c r="A342" s="870"/>
      <c r="B342" s="672" t="s">
        <v>212</v>
      </c>
      <c r="C342" s="752">
        <f>'Income Statement'!C262*-1</f>
        <v>643</v>
      </c>
      <c r="D342" s="752">
        <f>D60</f>
        <v>-1094</v>
      </c>
      <c r="E342" s="752">
        <f t="shared" ref="E342:T342" si="610">E193</f>
        <v>-1218.3</v>
      </c>
      <c r="F342" s="752">
        <f t="shared" si="610"/>
        <v>-780</v>
      </c>
      <c r="G342" s="752">
        <f t="shared" si="610"/>
        <v>-580</v>
      </c>
      <c r="H342" s="752">
        <f t="shared" si="610"/>
        <v>-601</v>
      </c>
      <c r="I342" s="752">
        <f t="shared" si="610"/>
        <v>-293</v>
      </c>
      <c r="J342" s="752">
        <f t="shared" si="610"/>
        <v>-1346</v>
      </c>
      <c r="K342" s="752">
        <f t="shared" si="610"/>
        <v>-1466</v>
      </c>
      <c r="L342" s="752">
        <f t="shared" si="610"/>
        <v>-1080</v>
      </c>
      <c r="M342" s="752">
        <f t="shared" si="610"/>
        <v>-1295</v>
      </c>
      <c r="N342" s="752">
        <f t="shared" si="610"/>
        <v>-1258.701</v>
      </c>
      <c r="O342" s="752">
        <f t="shared" si="610"/>
        <v>-2131.413</v>
      </c>
      <c r="P342" s="752">
        <f t="shared" si="610"/>
        <v>-2485.2670000000003</v>
      </c>
      <c r="Q342" s="752">
        <f t="shared" si="610"/>
        <v>-2290.471</v>
      </c>
      <c r="R342" s="752">
        <f t="shared" si="610"/>
        <v>-2664.9569999999999</v>
      </c>
      <c r="S342" s="752">
        <f t="shared" si="610"/>
        <v>-2839.8829999999998</v>
      </c>
      <c r="T342" s="752">
        <f t="shared" si="610"/>
        <v>-3032.5460000000003</v>
      </c>
      <c r="U342" s="752"/>
      <c r="V342" s="752">
        <f t="shared" ref="V342:AA342" si="611">V193</f>
        <v>-3085.2438688735665</v>
      </c>
      <c r="W342" s="752">
        <f t="shared" si="611"/>
        <v>-4102.6764453690657</v>
      </c>
      <c r="X342" s="752">
        <f t="shared" si="611"/>
        <v>-4815.4847906609348</v>
      </c>
      <c r="Y342" s="752">
        <f t="shared" si="611"/>
        <v>-4633.3604535720533</v>
      </c>
      <c r="Z342" s="752">
        <f t="shared" si="611"/>
        <v>-4454.8104787029542</v>
      </c>
      <c r="AA342" s="752">
        <f t="shared" si="611"/>
        <v>-4276.9060807905635</v>
      </c>
      <c r="AB342" s="347"/>
      <c r="AC342" s="347"/>
      <c r="AD342" s="347"/>
      <c r="AE342" s="347"/>
      <c r="AF342" s="347"/>
      <c r="AG342" s="347"/>
      <c r="AH342" s="347"/>
    </row>
    <row r="343" spans="1:34" s="349" customFormat="1" ht="13">
      <c r="A343" s="870"/>
      <c r="B343" s="672" t="s">
        <v>213</v>
      </c>
      <c r="C343" s="752">
        <f>'Income Statement'!C268</f>
        <v>-267</v>
      </c>
      <c r="D343" s="752">
        <f>'Income Statement'!H268</f>
        <v>60</v>
      </c>
      <c r="E343" s="752">
        <f>'Income Statement'!M268</f>
        <v>-640.79999999999995</v>
      </c>
      <c r="F343" s="752">
        <f>'Income Statement'!R268</f>
        <v>-977</v>
      </c>
      <c r="G343" s="752">
        <f>'Income Statement'!W268</f>
        <v>-1035</v>
      </c>
      <c r="H343" s="752">
        <f>'Income Statement'!AB268</f>
        <v>-1035</v>
      </c>
      <c r="I343" s="752">
        <f>'Income Statement'!AG268</f>
        <v>-357</v>
      </c>
      <c r="J343" s="752">
        <f>'Income Statement'!AL268</f>
        <v>179</v>
      </c>
      <c r="K343" s="752">
        <f>'Income Statement'!AQ268</f>
        <v>605</v>
      </c>
      <c r="L343" s="752">
        <f>'Income Statement'!AV268</f>
        <v>190</v>
      </c>
      <c r="M343" s="752">
        <f>'Income Statement'!BA268</f>
        <v>154</v>
      </c>
      <c r="N343" s="752">
        <f>'Income Statement'!BF268</f>
        <v>1099</v>
      </c>
      <c r="O343" s="752">
        <f>'Income Statement'!BK268</f>
        <v>-432</v>
      </c>
      <c r="P343" s="752">
        <f>'Income Statement'!BL268</f>
        <v>-25.69399999999996</v>
      </c>
      <c r="Q343" s="752">
        <f>'Income Statement'!BU268</f>
        <v>-419.73299999999983</v>
      </c>
      <c r="R343" s="752">
        <f>'Income Statement'!BZ268</f>
        <v>-231.84199999999987</v>
      </c>
      <c r="S343" s="752">
        <f>'Income Statement'!CE268</f>
        <v>-420.06900000000007</v>
      </c>
      <c r="T343" s="752">
        <f>'Income Statement'!CJ268</f>
        <v>-579.59399999999994</v>
      </c>
      <c r="U343" s="752"/>
      <c r="V343" s="752">
        <f>'Income Statement'!CO268</f>
        <v>716.55429602080062</v>
      </c>
      <c r="W343" s="752">
        <f>'Income Statement'!CP268</f>
        <v>-230.98067376252069</v>
      </c>
      <c r="X343" s="752">
        <f>'Income Statement'!CQ268</f>
        <v>-690.92447582855402</v>
      </c>
      <c r="Y343" s="752">
        <f>'Income Statement'!CR268</f>
        <v>-1367.7147642273173</v>
      </c>
      <c r="Z343" s="752">
        <f>'Income Statement'!CS268</f>
        <v>-1747.3059378329119</v>
      </c>
      <c r="AA343" s="752">
        <f>'Income Statement'!CT268</f>
        <v>-2102.155428607176</v>
      </c>
      <c r="AB343" s="347"/>
      <c r="AC343" s="347"/>
      <c r="AD343" s="347"/>
      <c r="AE343" s="347"/>
      <c r="AF343" s="347"/>
      <c r="AG343" s="347"/>
      <c r="AH343" s="347"/>
    </row>
    <row r="344" spans="1:34" s="349" customFormat="1" ht="13">
      <c r="A344" s="870"/>
      <c r="B344" s="672" t="s">
        <v>214</v>
      </c>
      <c r="C344" s="752">
        <f t="shared" ref="C344:J344" si="612">C68</f>
        <v>0</v>
      </c>
      <c r="D344" s="752">
        <f t="shared" si="612"/>
        <v>-1399</v>
      </c>
      <c r="E344" s="752">
        <f t="shared" si="612"/>
        <v>5051</v>
      </c>
      <c r="F344" s="752">
        <f t="shared" si="612"/>
        <v>1442.21</v>
      </c>
      <c r="G344" s="752">
        <f t="shared" si="612"/>
        <v>-946.43</v>
      </c>
      <c r="H344" s="752">
        <f t="shared" si="612"/>
        <v>817.83</v>
      </c>
      <c r="I344" s="752">
        <f t="shared" si="612"/>
        <v>-2797.23</v>
      </c>
      <c r="J344" s="752">
        <f t="shared" si="612"/>
        <v>-17665</v>
      </c>
      <c r="K344" s="818">
        <v>0</v>
      </c>
      <c r="L344" s="818">
        <v>0</v>
      </c>
      <c r="M344" s="818">
        <v>0</v>
      </c>
      <c r="N344" s="818">
        <v>0</v>
      </c>
      <c r="O344" s="818">
        <v>0</v>
      </c>
      <c r="P344" s="818">
        <v>0</v>
      </c>
      <c r="Q344" s="818">
        <v>0</v>
      </c>
      <c r="R344" s="1028">
        <v>0</v>
      </c>
      <c r="S344" s="1028">
        <v>0</v>
      </c>
      <c r="T344" s="1028">
        <v>0</v>
      </c>
      <c r="U344" s="1028"/>
      <c r="V344" s="1028">
        <v>0</v>
      </c>
      <c r="W344" s="1028">
        <v>0</v>
      </c>
      <c r="X344" s="1028">
        <v>0</v>
      </c>
      <c r="Y344" s="1028">
        <v>0</v>
      </c>
      <c r="Z344" s="1028">
        <v>0</v>
      </c>
      <c r="AA344" s="1028">
        <v>0</v>
      </c>
      <c r="AB344" s="347"/>
      <c r="AC344" s="347"/>
      <c r="AD344" s="347"/>
      <c r="AE344" s="347"/>
      <c r="AF344" s="347"/>
      <c r="AG344" s="347"/>
      <c r="AH344" s="347"/>
    </row>
    <row r="345" spans="1:34" s="349" customFormat="1" ht="13">
      <c r="A345" s="870"/>
      <c r="B345" s="672" t="s">
        <v>215</v>
      </c>
      <c r="C345" s="752">
        <f>-'Income Statement'!C284*'Income Statement'!C281/1000</f>
        <v>-6.7142300000000006</v>
      </c>
      <c r="D345" s="752">
        <f>-'Income Statement'!H284*'Income Statement'!H281/1000</f>
        <v>-141.80000000000001</v>
      </c>
      <c r="E345" s="752">
        <f>-'Income Statement'!M284*'Income Statement'!M281/1000</f>
        <v>0</v>
      </c>
      <c r="F345" s="752">
        <f>-'Income Statement'!R284*'Income Statement'!R281/1000</f>
        <v>-862.20600000000002</v>
      </c>
      <c r="G345" s="752">
        <f>-'Income Statement'!W284*'Income Statement'!W281/1000</f>
        <v>-1046.57304</v>
      </c>
      <c r="H345" s="752">
        <f>-'Income Statement'!AB284*'Income Statement'!AB281/1000</f>
        <v>-1087.83</v>
      </c>
      <c r="I345" s="752">
        <f>-'Income Statement'!AG284*'Income Statement'!AG281/1000</f>
        <v>-523.77</v>
      </c>
      <c r="J345" s="752">
        <f>-'Income Statement'!AL284*'Income Statement'!AL281/1000</f>
        <v>0</v>
      </c>
      <c r="K345" s="752">
        <f>-'Income Statement'!AQ284*'Income Statement'!AQ281/1000</f>
        <v>0</v>
      </c>
      <c r="L345" s="752">
        <f>-'Income Statement'!AV284*'Income Statement'!AV281</f>
        <v>0</v>
      </c>
      <c r="M345" s="752">
        <f>-'Income Statement'!BA284*'Income Statement'!BA281</f>
        <v>0</v>
      </c>
      <c r="N345" s="752">
        <f>-'Income Statement'!BF284*'Income Statement'!BF281</f>
        <v>0</v>
      </c>
      <c r="O345" s="752">
        <f>-'Income Statement'!BK284*'Income Statement'!BK281/1000</f>
        <v>-213.75919999999999</v>
      </c>
      <c r="P345" s="752">
        <f>-'Income Statement'!BP284*'Income Statement'!BP281/1000</f>
        <v>-339.380517</v>
      </c>
      <c r="Q345" s="752">
        <f>-'Income Statement'!BU284*'Income Statement'!BU281/1000</f>
        <v>-546.95817</v>
      </c>
      <c r="R345" s="752">
        <f>-'Income Statement'!BZ284*'Income Statement'!BZ281/1000</f>
        <v>-551.39408793000007</v>
      </c>
      <c r="S345" s="752">
        <f>-'Income Statement'!CE284*'Income Statement'!CE281/1000</f>
        <v>-635.29642323899998</v>
      </c>
      <c r="T345" s="752">
        <f>-'Income Statement'!CJ284*'Income Statement'!CJ281/1000</f>
        <v>-1120.2655035305002</v>
      </c>
      <c r="U345" s="752"/>
      <c r="V345" s="752">
        <f>-'Income Statement'!CO284*'Income Statement'!CO281/1000</f>
        <v>0</v>
      </c>
      <c r="W345" s="752">
        <f>-'Income Statement'!CP284*'Income Statement'!CP281/1000</f>
        <v>0</v>
      </c>
      <c r="X345" s="752">
        <f>-'Income Statement'!CQ284*'Income Statement'!CQ281/1000</f>
        <v>-1101.2652651680201</v>
      </c>
      <c r="Y345" s="752">
        <f>-'Income Statement'!CR284*'Income Statement'!CR281/1000</f>
        <v>-2180.0020337892402</v>
      </c>
      <c r="Z345" s="752">
        <f>-'Income Statement'!CS284*'Income Statement'!CS281/1000</f>
        <v>-2785.032813680059</v>
      </c>
      <c r="AA345" s="752">
        <f>-'Income Statement'!CT284*'Income Statement'!CT281/1000</f>
        <v>-3350.6277986943483</v>
      </c>
      <c r="AB345" s="347"/>
      <c r="AC345" s="347"/>
      <c r="AD345" s="347"/>
      <c r="AE345" s="347"/>
      <c r="AF345" s="347"/>
      <c r="AG345" s="347"/>
      <c r="AH345" s="347"/>
    </row>
    <row r="346" spans="1:34" s="349" customFormat="1" ht="13">
      <c r="A346" s="870"/>
      <c r="B346" s="672" t="s">
        <v>216</v>
      </c>
      <c r="C346" s="818">
        <v>0</v>
      </c>
      <c r="D346" s="818">
        <v>0</v>
      </c>
      <c r="E346" s="818">
        <v>0</v>
      </c>
      <c r="F346" s="818">
        <v>0</v>
      </c>
      <c r="G346" s="818">
        <v>0</v>
      </c>
      <c r="H346" s="818">
        <v>0</v>
      </c>
      <c r="I346" s="818">
        <v>0</v>
      </c>
      <c r="J346" s="818">
        <v>0</v>
      </c>
      <c r="K346" s="818">
        <v>0</v>
      </c>
      <c r="L346" s="818">
        <v>0</v>
      </c>
      <c r="M346" s="818">
        <v>0</v>
      </c>
      <c r="N346" s="818">
        <v>0</v>
      </c>
      <c r="O346" s="818">
        <v>0</v>
      </c>
      <c r="P346" s="818">
        <v>0</v>
      </c>
      <c r="Q346" s="818">
        <v>0</v>
      </c>
      <c r="R346" s="1028">
        <v>0</v>
      </c>
      <c r="S346" s="1028">
        <v>0</v>
      </c>
      <c r="T346" s="1028">
        <v>0</v>
      </c>
      <c r="U346" s="1028"/>
      <c r="V346" s="1028">
        <v>0</v>
      </c>
      <c r="W346" s="1028">
        <v>0</v>
      </c>
      <c r="X346" s="1028">
        <v>0</v>
      </c>
      <c r="Y346" s="1028">
        <v>0</v>
      </c>
      <c r="Z346" s="1028">
        <v>0</v>
      </c>
      <c r="AA346" s="1028">
        <v>0</v>
      </c>
      <c r="AB346" s="347"/>
      <c r="AC346" s="347"/>
      <c r="AD346" s="347"/>
      <c r="AE346" s="347"/>
      <c r="AF346" s="347"/>
      <c r="AG346" s="347"/>
      <c r="AH346" s="347"/>
    </row>
    <row r="347" spans="1:34" s="349" customFormat="1" ht="13">
      <c r="A347" s="870"/>
      <c r="B347" s="673" t="s">
        <v>217</v>
      </c>
      <c r="C347" s="1029">
        <f t="shared" ref="C347:Y347" si="613">C258</f>
        <v>0</v>
      </c>
      <c r="D347" s="1029">
        <f t="shared" si="613"/>
        <v>-686</v>
      </c>
      <c r="E347" s="1029">
        <f t="shared" si="613"/>
        <v>441</v>
      </c>
      <c r="F347" s="1029">
        <f t="shared" si="613"/>
        <v>-59</v>
      </c>
      <c r="G347" s="1029">
        <f t="shared" si="613"/>
        <v>866</v>
      </c>
      <c r="H347" s="1029">
        <f t="shared" si="613"/>
        <v>-662</v>
      </c>
      <c r="I347" s="1029">
        <f t="shared" si="613"/>
        <v>-1071.0000000000002</v>
      </c>
      <c r="J347" s="1029">
        <f t="shared" si="613"/>
        <v>11130</v>
      </c>
      <c r="K347" s="1029">
        <f t="shared" si="613"/>
        <v>-10398</v>
      </c>
      <c r="L347" s="1029">
        <f t="shared" si="613"/>
        <v>-158</v>
      </c>
      <c r="M347" s="1029">
        <f t="shared" si="613"/>
        <v>1208</v>
      </c>
      <c r="N347" s="1029">
        <f t="shared" si="613"/>
        <v>856.89799999999912</v>
      </c>
      <c r="O347" s="1029">
        <f t="shared" si="613"/>
        <v>-1226.351999999999</v>
      </c>
      <c r="P347" s="1029">
        <f t="shared" si="613"/>
        <v>-531.61900000000014</v>
      </c>
      <c r="Q347" s="1029">
        <f t="shared" si="613"/>
        <v>2688.9199999999987</v>
      </c>
      <c r="R347" s="1029">
        <f t="shared" si="613"/>
        <v>323.43300000000085</v>
      </c>
      <c r="S347" s="1029">
        <f t="shared" ref="S347" si="614">S258</f>
        <v>-2705.6169999999993</v>
      </c>
      <c r="T347" s="1029">
        <f t="shared" si="613"/>
        <v>-1754.5090000000012</v>
      </c>
      <c r="U347" s="1029"/>
      <c r="V347" s="1029">
        <f t="shared" si="613"/>
        <v>480.56379978137647</v>
      </c>
      <c r="W347" s="1029">
        <f t="shared" si="613"/>
        <v>285.83597953290746</v>
      </c>
      <c r="X347" s="1029">
        <f t="shared" si="613"/>
        <v>122.55896379882961</v>
      </c>
      <c r="Y347" s="1029">
        <f t="shared" si="613"/>
        <v>127.72631381444654</v>
      </c>
      <c r="Z347" s="1029">
        <f t="shared" ref="Z347:AA347" si="615">Z258</f>
        <v>133.11112775223813</v>
      </c>
      <c r="AA347" s="1029">
        <f t="shared" si="615"/>
        <v>138.72264052118032</v>
      </c>
      <c r="AB347" s="347"/>
      <c r="AC347" s="347"/>
      <c r="AD347" s="347"/>
      <c r="AE347" s="347"/>
      <c r="AF347" s="347"/>
      <c r="AG347" s="347"/>
      <c r="AH347" s="347"/>
    </row>
    <row r="348" spans="1:34" s="349" customFormat="1" ht="13">
      <c r="A348" s="870"/>
      <c r="B348" s="674" t="s">
        <v>139</v>
      </c>
      <c r="C348" s="756">
        <f t="shared" ref="C348:Q348" si="616">SUM(C341:C347)</f>
        <v>-2989.71423</v>
      </c>
      <c r="D348" s="756">
        <f t="shared" si="616"/>
        <v>-9510.7999999999993</v>
      </c>
      <c r="E348" s="756">
        <f t="shared" si="616"/>
        <v>4555.2000000000007</v>
      </c>
      <c r="F348" s="756">
        <f t="shared" si="616"/>
        <v>3203.0039999999999</v>
      </c>
      <c r="G348" s="756">
        <f t="shared" si="616"/>
        <v>83.996960000000058</v>
      </c>
      <c r="H348" s="756">
        <f t="shared" si="616"/>
        <v>-2999</v>
      </c>
      <c r="I348" s="756">
        <f t="shared" si="616"/>
        <v>-3777</v>
      </c>
      <c r="J348" s="756">
        <f t="shared" si="616"/>
        <v>-6174</v>
      </c>
      <c r="K348" s="756">
        <f t="shared" si="616"/>
        <v>-7012</v>
      </c>
      <c r="L348" s="756">
        <f t="shared" si="616"/>
        <v>1425</v>
      </c>
      <c r="M348" s="756">
        <f t="shared" si="616"/>
        <v>1691</v>
      </c>
      <c r="N348" s="756">
        <f t="shared" si="616"/>
        <v>2936.4439999999995</v>
      </c>
      <c r="O348" s="756">
        <f t="shared" si="616"/>
        <v>-3133.6611999999996</v>
      </c>
      <c r="P348" s="756">
        <f t="shared" si="616"/>
        <v>-6352.9605169999995</v>
      </c>
      <c r="Q348" s="756">
        <f t="shared" si="616"/>
        <v>2797.7578299999986</v>
      </c>
      <c r="R348" s="756">
        <f t="shared" ref="R348:Y348" si="617">SUM(R341:R347)</f>
        <v>2047.2399120700009</v>
      </c>
      <c r="S348" s="756">
        <f t="shared" ref="S348" si="618">SUM(S341:S347)</f>
        <v>2126.134576761001</v>
      </c>
      <c r="T348" s="756">
        <f t="shared" si="617"/>
        <v>4010.0854964694981</v>
      </c>
      <c r="U348" s="756"/>
      <c r="V348" s="756">
        <f t="shared" si="617"/>
        <v>-3727.918619727121</v>
      </c>
      <c r="W348" s="756">
        <f t="shared" si="617"/>
        <v>7576.3461501524143</v>
      </c>
      <c r="X348" s="756">
        <f t="shared" si="617"/>
        <v>7419.7021922856702</v>
      </c>
      <c r="Y348" s="756">
        <f t="shared" si="617"/>
        <v>7754.393646624736</v>
      </c>
      <c r="Z348" s="756">
        <f t="shared" ref="Z348:AA348" si="619">SUM(Z341:Z347)</f>
        <v>7802.1982867902398</v>
      </c>
      <c r="AA348" s="756">
        <f t="shared" si="619"/>
        <v>7676.4200358100734</v>
      </c>
      <c r="AB348" s="347"/>
      <c r="AC348" s="347"/>
      <c r="AD348" s="347"/>
      <c r="AE348" s="347"/>
      <c r="AF348" s="347"/>
      <c r="AG348" s="347"/>
      <c r="AH348" s="347"/>
    </row>
    <row r="349" spans="1:34" s="349" customFormat="1" ht="13">
      <c r="A349" s="870"/>
      <c r="B349" s="672"/>
      <c r="C349" s="752"/>
      <c r="D349" s="752"/>
      <c r="E349" s="752"/>
      <c r="F349" s="752"/>
      <c r="G349" s="752"/>
      <c r="H349" s="752"/>
      <c r="I349" s="752"/>
      <c r="J349" s="752"/>
      <c r="K349" s="752"/>
      <c r="L349" s="752"/>
      <c r="M349" s="752"/>
      <c r="N349" s="752"/>
      <c r="O349" s="752"/>
      <c r="P349" s="752"/>
      <c r="Q349" s="752"/>
      <c r="R349" s="752"/>
      <c r="S349" s="752"/>
      <c r="T349" s="752"/>
      <c r="U349" s="752"/>
      <c r="V349" s="752"/>
      <c r="W349" s="752"/>
      <c r="X349" s="752"/>
      <c r="Y349" s="752"/>
      <c r="Z349" s="752"/>
      <c r="AA349" s="752"/>
      <c r="AB349" s="347"/>
      <c r="AC349" s="347"/>
      <c r="AD349" s="347"/>
      <c r="AE349" s="347"/>
      <c r="AF349" s="347"/>
      <c r="AG349" s="347"/>
      <c r="AH349" s="347"/>
    </row>
    <row r="350" spans="1:34" s="349" customFormat="1" ht="13">
      <c r="A350" s="870"/>
      <c r="B350" s="672" t="s">
        <v>218</v>
      </c>
      <c r="C350" s="752"/>
      <c r="D350" s="752"/>
      <c r="E350" s="752"/>
      <c r="F350" s="752"/>
      <c r="G350" s="752"/>
      <c r="H350" s="752"/>
      <c r="I350" s="752"/>
      <c r="J350" s="752"/>
      <c r="K350" s="752"/>
      <c r="L350" s="752"/>
      <c r="M350" s="752"/>
      <c r="N350" s="752"/>
      <c r="O350" s="752"/>
      <c r="P350" s="752"/>
      <c r="Q350" s="752"/>
      <c r="R350" s="752"/>
      <c r="S350" s="752"/>
      <c r="T350" s="752"/>
      <c r="U350" s="752"/>
      <c r="V350" s="752"/>
      <c r="W350" s="752"/>
      <c r="X350" s="752"/>
      <c r="Y350" s="752"/>
      <c r="Z350" s="752"/>
      <c r="AA350" s="752"/>
      <c r="AB350" s="347"/>
      <c r="AC350" s="347"/>
      <c r="AD350" s="347"/>
      <c r="AE350" s="347"/>
      <c r="AF350" s="347"/>
      <c r="AG350" s="347"/>
      <c r="AH350" s="347"/>
    </row>
    <row r="351" spans="1:34" s="349" customFormat="1" ht="13">
      <c r="A351" s="870"/>
      <c r="B351" s="672" t="s">
        <v>139</v>
      </c>
      <c r="C351" s="752"/>
      <c r="D351" s="752"/>
      <c r="E351" s="752"/>
      <c r="F351" s="752"/>
      <c r="G351" s="752"/>
      <c r="H351" s="752"/>
      <c r="I351" s="752"/>
      <c r="J351" s="752"/>
      <c r="K351" s="752"/>
      <c r="L351" s="752"/>
      <c r="M351" s="752"/>
      <c r="N351" s="752"/>
      <c r="O351" s="752"/>
      <c r="P351" s="752"/>
      <c r="Q351" s="752"/>
      <c r="R351" s="752"/>
      <c r="S351" s="752"/>
      <c r="T351" s="752"/>
      <c r="U351" s="752"/>
      <c r="V351" s="752"/>
      <c r="W351" s="752"/>
      <c r="X351" s="752"/>
      <c r="Y351" s="752"/>
      <c r="Z351" s="752"/>
      <c r="AA351" s="752"/>
      <c r="AB351" s="347"/>
      <c r="AC351" s="347"/>
      <c r="AD351" s="347"/>
      <c r="AE351" s="347"/>
      <c r="AF351" s="347"/>
      <c r="AG351" s="347"/>
      <c r="AH351" s="347"/>
    </row>
    <row r="352" spans="1:34" s="349" customFormat="1" ht="13">
      <c r="A352" s="870"/>
      <c r="B352" s="647"/>
      <c r="C352" s="470"/>
      <c r="D352" s="470"/>
      <c r="E352" s="470"/>
      <c r="F352" s="470"/>
      <c r="G352" s="470"/>
      <c r="H352" s="470"/>
      <c r="I352" s="470"/>
      <c r="J352" s="470"/>
      <c r="K352" s="470"/>
      <c r="L352" s="470"/>
      <c r="M352" s="470"/>
      <c r="N352" s="470"/>
      <c r="O352" s="470"/>
      <c r="P352" s="470"/>
      <c r="Q352" s="470"/>
      <c r="R352" s="470"/>
      <c r="S352" s="470"/>
      <c r="T352" s="470"/>
      <c r="U352" s="470"/>
      <c r="V352" s="470"/>
      <c r="W352" s="470"/>
      <c r="X352" s="470"/>
      <c r="Y352" s="470"/>
      <c r="Z352" s="470"/>
      <c r="AA352" s="470"/>
      <c r="AB352" s="347"/>
      <c r="AC352" s="347"/>
      <c r="AD352" s="347"/>
      <c r="AE352" s="347"/>
      <c r="AF352" s="347"/>
      <c r="AG352" s="347"/>
      <c r="AH352" s="347"/>
    </row>
    <row r="353" spans="1:34" s="349" customFormat="1" ht="13">
      <c r="A353" s="870"/>
      <c r="B353" s="647"/>
      <c r="C353" s="470"/>
      <c r="D353" s="470"/>
      <c r="E353" s="470"/>
      <c r="F353" s="470"/>
      <c r="G353" s="470"/>
      <c r="H353" s="470"/>
      <c r="I353" s="470"/>
      <c r="J353" s="470"/>
      <c r="K353" s="470"/>
      <c r="L353" s="470"/>
      <c r="M353" s="470"/>
      <c r="N353" s="470"/>
      <c r="O353" s="470"/>
      <c r="P353" s="470"/>
      <c r="Q353" s="470"/>
      <c r="R353" s="470"/>
      <c r="S353" s="470"/>
      <c r="T353" s="470"/>
      <c r="U353" s="470"/>
      <c r="V353" s="470"/>
      <c r="W353" s="470"/>
      <c r="X353" s="470"/>
      <c r="Y353" s="470"/>
      <c r="Z353" s="470"/>
      <c r="AA353" s="470"/>
      <c r="AB353" s="347"/>
      <c r="AC353" s="347"/>
      <c r="AD353" s="347"/>
      <c r="AE353" s="347"/>
      <c r="AF353" s="347"/>
      <c r="AG353" s="347"/>
      <c r="AH353" s="347"/>
    </row>
    <row r="354" spans="1:34" s="349" customFormat="1" ht="13">
      <c r="A354" s="870"/>
      <c r="B354" s="647"/>
      <c r="C354" s="470"/>
      <c r="D354" s="470"/>
      <c r="E354" s="470"/>
      <c r="F354" s="470"/>
      <c r="G354" s="470"/>
      <c r="H354" s="470"/>
      <c r="I354" s="470"/>
      <c r="J354" s="470"/>
      <c r="K354" s="470"/>
      <c r="L354" s="470"/>
      <c r="M354" s="470"/>
      <c r="N354" s="470"/>
      <c r="O354" s="470"/>
      <c r="P354" s="470"/>
      <c r="Q354" s="470"/>
      <c r="R354" s="470"/>
      <c r="S354" s="470"/>
      <c r="T354" s="470"/>
      <c r="U354" s="470"/>
      <c r="V354" s="470"/>
      <c r="W354" s="470"/>
      <c r="X354" s="470"/>
      <c r="Y354" s="470"/>
      <c r="Z354" s="470"/>
      <c r="AA354" s="470"/>
      <c r="AB354" s="347"/>
      <c r="AC354" s="347"/>
      <c r="AD354" s="347"/>
      <c r="AE354" s="347"/>
      <c r="AF354" s="347"/>
      <c r="AG354" s="347"/>
      <c r="AH354" s="347"/>
    </row>
    <row r="355" spans="1:34" s="349" customFormat="1" ht="13">
      <c r="A355" s="870" t="s">
        <v>615</v>
      </c>
      <c r="B355" s="646" t="s">
        <v>219</v>
      </c>
      <c r="C355" s="485">
        <f>C$2</f>
        <v>2007</v>
      </c>
      <c r="D355" s="383">
        <f t="shared" ref="D355:S355" si="620">C355+1</f>
        <v>2008</v>
      </c>
      <c r="E355" s="383">
        <f t="shared" si="620"/>
        <v>2009</v>
      </c>
      <c r="F355" s="383">
        <f t="shared" si="620"/>
        <v>2010</v>
      </c>
      <c r="G355" s="383">
        <f t="shared" si="620"/>
        <v>2011</v>
      </c>
      <c r="H355" s="383">
        <f t="shared" si="620"/>
        <v>2012</v>
      </c>
      <c r="I355" s="383">
        <f t="shared" si="620"/>
        <v>2013</v>
      </c>
      <c r="J355" s="383">
        <f t="shared" si="620"/>
        <v>2014</v>
      </c>
      <c r="K355" s="383">
        <f t="shared" si="620"/>
        <v>2015</v>
      </c>
      <c r="L355" s="383">
        <f t="shared" si="620"/>
        <v>2016</v>
      </c>
      <c r="M355" s="383">
        <f t="shared" si="620"/>
        <v>2017</v>
      </c>
      <c r="N355" s="383">
        <f t="shared" si="620"/>
        <v>2018</v>
      </c>
      <c r="O355" s="383">
        <f t="shared" si="620"/>
        <v>2019</v>
      </c>
      <c r="P355" s="383">
        <f t="shared" si="620"/>
        <v>2020</v>
      </c>
      <c r="Q355" s="383">
        <f t="shared" si="620"/>
        <v>2021</v>
      </c>
      <c r="R355" s="383">
        <f t="shared" si="620"/>
        <v>2022</v>
      </c>
      <c r="S355" s="383">
        <f t="shared" si="620"/>
        <v>2023</v>
      </c>
      <c r="T355" s="383">
        <f t="shared" ref="T355:Y355" si="621">S355+1</f>
        <v>2024</v>
      </c>
      <c r="U355" s="383"/>
      <c r="V355" s="383">
        <f>T355+1</f>
        <v>2025</v>
      </c>
      <c r="W355" s="383">
        <f t="shared" si="621"/>
        <v>2026</v>
      </c>
      <c r="X355" s="383">
        <f t="shared" si="621"/>
        <v>2027</v>
      </c>
      <c r="Y355" s="383">
        <f t="shared" si="621"/>
        <v>2028</v>
      </c>
      <c r="Z355" s="383">
        <f t="shared" ref="Z355" si="622">Y355+1</f>
        <v>2029</v>
      </c>
      <c r="AA355" s="383">
        <f t="shared" ref="AA355" si="623">Z355+1</f>
        <v>2030</v>
      </c>
      <c r="AB355" s="347"/>
      <c r="AC355" s="347"/>
      <c r="AD355" s="347"/>
      <c r="AE355" s="347"/>
      <c r="AF355" s="347"/>
      <c r="AG355" s="347"/>
      <c r="AH355" s="347"/>
    </row>
    <row r="356" spans="1:34" s="349" customFormat="1" ht="13">
      <c r="A356" s="870"/>
      <c r="B356" s="649" t="s">
        <v>2</v>
      </c>
      <c r="C356" s="862">
        <f>'Income Statement'!C248</f>
        <v>3509</v>
      </c>
      <c r="D356" s="862">
        <f>'Income Statement'!H248</f>
        <v>5132</v>
      </c>
      <c r="E356" s="862">
        <f>'Income Statement'!M248</f>
        <v>6205</v>
      </c>
      <c r="F356" s="862">
        <f>'Income Statement'!R248</f>
        <v>9287</v>
      </c>
      <c r="G356" s="862">
        <f>'Income Statement'!W248</f>
        <v>9348</v>
      </c>
      <c r="H356" s="862">
        <f>'Income Statement'!AB248</f>
        <v>9745</v>
      </c>
      <c r="I356" s="862">
        <f>'Income Statement'!AG248</f>
        <v>8659</v>
      </c>
      <c r="J356" s="862">
        <f>'Income Statement'!AL248</f>
        <v>8623</v>
      </c>
      <c r="K356" s="862">
        <f>'Income Statement'!AQ248</f>
        <v>8393</v>
      </c>
      <c r="L356" s="862">
        <f>'Income Statement'!AV248</f>
        <v>8057</v>
      </c>
      <c r="M356" s="862">
        <f>'Income Statement'!BA248</f>
        <v>8321</v>
      </c>
      <c r="N356" s="862">
        <f>'Income Statement'!BF248</f>
        <v>8513</v>
      </c>
      <c r="O356" s="862">
        <f>'Income Statement'!BK248</f>
        <v>9966</v>
      </c>
      <c r="P356" s="862">
        <f>'Income Statement'!BP248</f>
        <v>13060</v>
      </c>
      <c r="Q356" s="862">
        <f>'Income Statement'!BU248</f>
        <v>13287</v>
      </c>
      <c r="R356" s="862">
        <f>'Income Statement'!BZ248</f>
        <v>14235</v>
      </c>
      <c r="S356" s="862">
        <f>'Income Statement'!CE248</f>
        <v>15885</v>
      </c>
      <c r="T356" s="862">
        <f>'Income Statement'!CJ248</f>
        <v>17879</v>
      </c>
      <c r="U356" s="862"/>
      <c r="V356" s="862">
        <f>'Income Statement'!CO248</f>
        <v>18547.777952688124</v>
      </c>
      <c r="W356" s="862">
        <f>'Income Statement'!CP248</f>
        <v>22026.102884302556</v>
      </c>
      <c r="X356" s="862">
        <f>'Income Statement'!CQ248</f>
        <v>24266.810115801967</v>
      </c>
      <c r="Y356" s="862">
        <f>'Income Statement'!CR248</f>
        <v>26620.859772424206</v>
      </c>
      <c r="Z356" s="862">
        <f>'Income Statement'!CS248</f>
        <v>27939.493298103363</v>
      </c>
      <c r="AA356" s="862">
        <f>'Income Statement'!CT248</f>
        <v>29320.919629442382</v>
      </c>
      <c r="AB356" s="347"/>
      <c r="AC356" s="347"/>
      <c r="AD356" s="347"/>
      <c r="AE356" s="347"/>
      <c r="AF356" s="347"/>
      <c r="AG356" s="347"/>
      <c r="AH356" s="347"/>
    </row>
    <row r="357" spans="1:34" s="349" customFormat="1" ht="13">
      <c r="A357" s="870"/>
      <c r="B357" s="649" t="s">
        <v>220</v>
      </c>
      <c r="C357" s="862">
        <f>'Income Statement'!C437*-1</f>
        <v>-1749</v>
      </c>
      <c r="D357" s="862">
        <f>'Income Statement'!H437*-1</f>
        <v>-3379</v>
      </c>
      <c r="E357" s="862">
        <f>'Income Statement'!M252*-1</f>
        <v>-3741</v>
      </c>
      <c r="F357" s="862">
        <f>'Income Statement'!R252*-1</f>
        <v>-4122</v>
      </c>
      <c r="G357" s="862">
        <f>'Income Statement'!W252*-1</f>
        <v>-4683</v>
      </c>
      <c r="H357" s="862">
        <f>'Income Statement'!AB252*-1</f>
        <v>-5066</v>
      </c>
      <c r="I357" s="862">
        <f>'Income Statement'!AG252*-1</f>
        <v>-5759</v>
      </c>
      <c r="J357" s="862">
        <f>'Income Statement'!AL252*-1</f>
        <v>-6958</v>
      </c>
      <c r="K357" s="862">
        <f>'Income Statement'!AQ252*-1</f>
        <v>-7135</v>
      </c>
      <c r="L357" s="862">
        <f>('Income Statement'!AV252+'Income Statement'!AV253)*-1</f>
        <v>-8046</v>
      </c>
      <c r="M357" s="862">
        <f>('Income Statement'!BA252+'Income Statement'!BA253)*-1</f>
        <v>-6951</v>
      </c>
      <c r="N357" s="862">
        <f>('Income Statement'!BF252+'Income Statement'!BF253)*-1</f>
        <v>-11621</v>
      </c>
      <c r="O357" s="862">
        <f>('Income Statement'!BK252+'Income Statement'!BK253)*-1</f>
        <v>-7363</v>
      </c>
      <c r="P357" s="862">
        <f>('Income Statement'!BP252+'Income Statement'!BP253)*-1</f>
        <v>-12454.688</v>
      </c>
      <c r="Q357" s="862">
        <f>('Income Statement'!BU252+'Income Statement'!BU253)*-1</f>
        <v>-9956.2270000000008</v>
      </c>
      <c r="R357" s="862">
        <f>('Income Statement'!BZ252+'Income Statement'!BZ253)*-1</f>
        <v>-10564.296</v>
      </c>
      <c r="S357" s="862">
        <f>('Income Statement'!CE252+'Income Statement'!CE253)*-1</f>
        <v>-11347.758</v>
      </c>
      <c r="T357" s="862">
        <f>('Income Statement'!CJ252+'Income Statement'!CJ253)*-1</f>
        <v>-12074.334999999999</v>
      </c>
      <c r="U357" s="862"/>
      <c r="V357" s="862">
        <f>('Income Statement'!CO252+'Income Statement'!CO253)*-1</f>
        <v>-16463.321706114111</v>
      </c>
      <c r="W357" s="862">
        <f>('Income Statement'!CP252+'Income Statement'!CP253)*-1</f>
        <v>-16956.125076474193</v>
      </c>
      <c r="X357" s="862">
        <f>('Income Statement'!CQ252+'Income Statement'!CQ253)*-1</f>
        <v>-16557.870318976438</v>
      </c>
      <c r="Y357" s="862">
        <f>('Income Statement'!CR252+'Income Statement'!CR253)*-1</f>
        <v>-16259.780487046355</v>
      </c>
      <c r="Z357" s="862">
        <f>('Income Statement'!CS252+'Income Statement'!CS253)*-1</f>
        <v>-16167.31125420738</v>
      </c>
      <c r="AA357" s="862">
        <f>('Income Statement'!CT252+'Income Statement'!CT253)*-1</f>
        <v>-16240.602522655947</v>
      </c>
      <c r="AB357" s="347"/>
      <c r="AC357" s="347"/>
      <c r="AD357" s="347"/>
      <c r="AE357" s="347"/>
      <c r="AF357" s="347"/>
      <c r="AG357" s="347"/>
      <c r="AH357" s="347"/>
    </row>
    <row r="358" spans="1:34" s="349" customFormat="1" ht="13">
      <c r="A358" s="870"/>
      <c r="B358" s="649" t="s">
        <v>221</v>
      </c>
      <c r="C358" s="862">
        <f>'Income Statement'!C262*1</f>
        <v>-643</v>
      </c>
      <c r="D358" s="862">
        <f>'Income Statement'!H262*1</f>
        <v>-1094</v>
      </c>
      <c r="E358" s="862">
        <f>'Income Statement'!M262*1</f>
        <v>-1218.3</v>
      </c>
      <c r="F358" s="862">
        <f>'Income Statement'!R262*1</f>
        <v>-780</v>
      </c>
      <c r="G358" s="862">
        <f>'Income Statement'!W262*1</f>
        <v>-580</v>
      </c>
      <c r="H358" s="862">
        <f>'Income Statement'!AB262*1</f>
        <v>-601</v>
      </c>
      <c r="I358" s="862">
        <f>'Income Statement'!AG262*1</f>
        <v>-293</v>
      </c>
      <c r="J358" s="862">
        <f>'Income Statement'!AL262*1</f>
        <v>-1346</v>
      </c>
      <c r="K358" s="862">
        <f>'Income Statement'!AQ262*1</f>
        <v>-1466</v>
      </c>
      <c r="L358" s="862">
        <f>'Income Statement'!AV262*1</f>
        <v>-1590</v>
      </c>
      <c r="M358" s="862">
        <f>'Income Statement'!BA262*1</f>
        <v>-1395</v>
      </c>
      <c r="N358" s="862">
        <f>'Income Statement'!BF262*1</f>
        <v>-1626</v>
      </c>
      <c r="O358" s="862">
        <f>'Income Statement'!BK262*1</f>
        <v>-2069</v>
      </c>
      <c r="P358" s="862">
        <f>'Income Statement'!BP262*1</f>
        <v>-2485.2670000000003</v>
      </c>
      <c r="Q358" s="862">
        <f>'Income Statement'!BU262*1</f>
        <v>-2290.471</v>
      </c>
      <c r="R358" s="862">
        <f>'Income Statement'!BZ262*1</f>
        <v>-2665.6670000000004</v>
      </c>
      <c r="S358" s="862">
        <f>'Income Statement'!CE262*1</f>
        <v>-2839.8829999999998</v>
      </c>
      <c r="T358" s="862">
        <f>'Income Statement'!CJ262*1</f>
        <v>-3032.5460000000003</v>
      </c>
      <c r="U358" s="862"/>
      <c r="V358" s="862">
        <f>'Income Statement'!CO262*1</f>
        <v>-3085.2438688735665</v>
      </c>
      <c r="W358" s="862">
        <f>'Income Statement'!CP262*1</f>
        <v>-4102.6764453690657</v>
      </c>
      <c r="X358" s="862">
        <f>'Income Statement'!CQ262*1</f>
        <v>-4815.4847906609348</v>
      </c>
      <c r="Y358" s="862">
        <f>'Income Statement'!CR262*1</f>
        <v>-4633.3604535720533</v>
      </c>
      <c r="Z358" s="862">
        <f>'Income Statement'!CS262*1</f>
        <v>-4454.8104787029542</v>
      </c>
      <c r="AA358" s="862">
        <f>'Income Statement'!CT262*1</f>
        <v>-4276.9060807905635</v>
      </c>
      <c r="AB358" s="347"/>
      <c r="AC358" s="347"/>
      <c r="AD358" s="347"/>
      <c r="AE358" s="347"/>
      <c r="AF358" s="347"/>
      <c r="AG358" s="347"/>
      <c r="AH358" s="347"/>
    </row>
    <row r="359" spans="1:34" s="349" customFormat="1" ht="13">
      <c r="A359" s="870"/>
      <c r="B359" s="649" t="s">
        <v>222</v>
      </c>
      <c r="C359" s="862">
        <f>'Income Statement'!C265*1</f>
        <v>-394</v>
      </c>
      <c r="D359" s="862">
        <f>'Income Statement'!H265*1</f>
        <v>-401</v>
      </c>
      <c r="E359" s="862">
        <f>'Income Statement'!M265*1</f>
        <v>360</v>
      </c>
      <c r="F359" s="862">
        <f>'Income Statement'!R265*1</f>
        <v>-349</v>
      </c>
      <c r="G359" s="862">
        <f>'Income Statement'!W265*1</f>
        <v>-135</v>
      </c>
      <c r="H359" s="862">
        <f>'Income Statement'!AB265*1</f>
        <v>-27</v>
      </c>
      <c r="I359" s="862">
        <f>'Income Statement'!AG265*1</f>
        <v>-205</v>
      </c>
      <c r="J359" s="862">
        <f>('Income Statement'!AL265+'Income Statement'!AL264)*1</f>
        <v>-44</v>
      </c>
      <c r="K359" s="862">
        <f>('Income Statement'!AQ265+'Income Statement'!AQ264)*1</f>
        <v>1713</v>
      </c>
      <c r="L359" s="862">
        <f>('Income Statement'!AV265+'Income Statement'!AV264)*1</f>
        <v>1355</v>
      </c>
      <c r="M359" s="862">
        <f>('Income Statement'!BA265+'Income Statement'!BA264)*1</f>
        <v>162</v>
      </c>
      <c r="N359" s="862">
        <f>('Income Statement'!BF265+'Income Statement'!BF264)*1</f>
        <v>441</v>
      </c>
      <c r="O359" s="862">
        <f>('Income Statement'!BK265+'Income Statement'!BK264)*1</f>
        <v>626</v>
      </c>
      <c r="P359" s="862">
        <f>('Income Statement'!BP265+'Income Statement'!BP264)*1</f>
        <v>-8.4899999999998954</v>
      </c>
      <c r="Q359" s="862">
        <f>('Income Statement'!BU265+'Income Statement'!BU264)*1</f>
        <v>657.73200000000077</v>
      </c>
      <c r="R359" s="862">
        <f>('Income Statement'!BZ265+'Income Statement'!BZ264)*1</f>
        <v>409.28800000000058</v>
      </c>
      <c r="S359" s="862">
        <f>('Income Statement'!CE265+'Income Statement'!CE264)*1</f>
        <v>7.1579999999996744</v>
      </c>
      <c r="T359" s="862">
        <f>('Income Statement'!CJ265+'Income Statement'!CJ264)*1</f>
        <v>-344.89400000000069</v>
      </c>
      <c r="U359" s="862"/>
      <c r="V359" s="862">
        <f>('Income Statement'!CO265+'Income Statement'!CO264)*1</f>
        <v>-2000</v>
      </c>
      <c r="W359" s="862">
        <f>('Income Statement'!CP265+'Income Statement'!CP264)*1</f>
        <v>0</v>
      </c>
      <c r="X359" s="862">
        <f>('Income Statement'!CQ265+'Income Statement'!CQ264)*1</f>
        <v>0</v>
      </c>
      <c r="Y359" s="862">
        <f>('Income Statement'!CR265+'Income Statement'!CR264)*1</f>
        <v>0</v>
      </c>
      <c r="Z359" s="862">
        <f>('Income Statement'!CS265+'Income Statement'!CS264)*1</f>
        <v>0</v>
      </c>
      <c r="AA359" s="862">
        <f>('Income Statement'!CT265+'Income Statement'!CT264)*1</f>
        <v>0</v>
      </c>
      <c r="AB359" s="347"/>
      <c r="AC359" s="347"/>
      <c r="AD359" s="347"/>
      <c r="AE359" s="347"/>
      <c r="AF359" s="347"/>
      <c r="AG359" s="347"/>
      <c r="AH359" s="347"/>
    </row>
    <row r="360" spans="1:34" s="349" customFormat="1" ht="13">
      <c r="A360" s="870"/>
      <c r="B360" s="647" t="s">
        <v>223</v>
      </c>
      <c r="C360" s="752">
        <f>'Income Statement'!C266*0.18*-1</f>
        <v>-93.42</v>
      </c>
      <c r="D360" s="752">
        <f>'Income Statement'!H266*0.18*-1</f>
        <v>13.32</v>
      </c>
      <c r="E360" s="752">
        <f>'Income Statement'!M266*E296*-1</f>
        <v>-640.79999999999995</v>
      </c>
      <c r="F360" s="752">
        <f>'Income Statement'!R266*F296*-1</f>
        <v>-977.00000000000011</v>
      </c>
      <c r="G360" s="752">
        <f>'Income Statement'!W266*G296*-1</f>
        <v>-1035</v>
      </c>
      <c r="H360" s="752">
        <f>'Income Statement'!AB266*H296*-1</f>
        <v>-1035</v>
      </c>
      <c r="I360" s="752">
        <f>'Income Statement'!AG266*I296*-1</f>
        <v>-357</v>
      </c>
      <c r="J360" s="752">
        <f>'Income Statement'!AL266*J296*-1</f>
        <v>179</v>
      </c>
      <c r="K360" s="752">
        <f>'Income Statement'!AQ266*K296*-1</f>
        <v>605</v>
      </c>
      <c r="L360" s="752">
        <f>'Income Statement'!AV266*L296*-1</f>
        <v>190</v>
      </c>
      <c r="M360" s="752">
        <f>'Income Statement'!BA266*M296*-1</f>
        <v>154</v>
      </c>
      <c r="N360" s="752">
        <f>'Income Statement'!BF266*N296*-1</f>
        <v>1099.3900000000001</v>
      </c>
      <c r="O360" s="752">
        <f>'Income Statement'!BK266*O296*-1</f>
        <v>431.53800000000001</v>
      </c>
      <c r="P360" s="752">
        <f>'Income Statement'!BP266*P296*-1</f>
        <v>-225.387</v>
      </c>
      <c r="Q360" s="752">
        <f>'Income Statement'!BU266*Q296*-1</f>
        <v>-419.733</v>
      </c>
      <c r="R360" s="752">
        <f>'Income Statement'!BZ266*R296*-1</f>
        <v>-231.84200000000004</v>
      </c>
      <c r="S360" s="752">
        <f>'Income Statement'!CE266*S296*-1</f>
        <v>-420.06900000000002</v>
      </c>
      <c r="T360" s="752">
        <f>'Income Statement'!CJ266*T296*-1</f>
        <v>-579.59400000000005</v>
      </c>
      <c r="U360" s="752"/>
      <c r="V360" s="752">
        <f>'Income Statement'!CO266*V296*-1</f>
        <v>716.55429602080062</v>
      </c>
      <c r="W360" s="752">
        <f>'Income Statement'!CP266*W296*-1</f>
        <v>-230.98067376252069</v>
      </c>
      <c r="X360" s="752">
        <f>'Income Statement'!CQ266*X296*-1</f>
        <v>-690.92447582855402</v>
      </c>
      <c r="Y360" s="752">
        <f>'Income Statement'!CR266*Y296*-1</f>
        <v>-1367.7147642273173</v>
      </c>
      <c r="Z360" s="752">
        <f>'Income Statement'!CS266*Z296*-1</f>
        <v>-1747.3059378329119</v>
      </c>
      <c r="AA360" s="752">
        <f>'Income Statement'!CT266*AA296*-1</f>
        <v>-2102.155428607176</v>
      </c>
      <c r="AB360" s="347"/>
      <c r="AC360" s="347"/>
      <c r="AD360" s="347"/>
      <c r="AE360" s="347"/>
      <c r="AF360" s="347"/>
      <c r="AG360" s="347"/>
      <c r="AH360" s="347"/>
    </row>
    <row r="361" spans="1:34" s="349" customFormat="1" ht="13">
      <c r="A361" s="870"/>
      <c r="B361" s="390" t="s">
        <v>224</v>
      </c>
      <c r="C361" s="752">
        <v>0</v>
      </c>
      <c r="D361" s="752">
        <v>0</v>
      </c>
      <c r="E361" s="752">
        <v>0</v>
      </c>
      <c r="F361" s="752">
        <v>0</v>
      </c>
      <c r="G361" s="752">
        <v>0</v>
      </c>
      <c r="H361" s="752">
        <v>0</v>
      </c>
      <c r="I361" s="752">
        <v>0</v>
      </c>
      <c r="J361" s="752">
        <v>0</v>
      </c>
      <c r="K361" s="752">
        <v>0</v>
      </c>
      <c r="L361" s="752">
        <v>0</v>
      </c>
      <c r="M361" s="752">
        <v>0</v>
      </c>
      <c r="N361" s="752">
        <v>0</v>
      </c>
      <c r="O361" s="752">
        <v>0</v>
      </c>
      <c r="P361" s="752">
        <v>0</v>
      </c>
      <c r="Q361" s="752">
        <v>0</v>
      </c>
      <c r="R361" s="752">
        <f>'Income Statement'!BZ275</f>
        <v>-1.1999999999943611E-2</v>
      </c>
      <c r="S361" s="752">
        <f>'Income Statement'!CE275</f>
        <v>-3.8650000000000091</v>
      </c>
      <c r="T361" s="752">
        <f>'Income Statement'!CJ275</f>
        <v>4.5340000000001055</v>
      </c>
      <c r="U361" s="752"/>
      <c r="V361" s="752">
        <f>'Income Statement'!CO275</f>
        <v>3500</v>
      </c>
      <c r="W361" s="752">
        <f>'Income Statement'!CP275</f>
        <v>1000</v>
      </c>
      <c r="X361" s="752">
        <f>'Income Statement'!CQ275</f>
        <v>750</v>
      </c>
      <c r="Y361" s="752">
        <f>'Income Statement'!CR275</f>
        <v>0</v>
      </c>
      <c r="Z361" s="752">
        <f>'Income Statement'!CS275</f>
        <v>0</v>
      </c>
      <c r="AA361" s="752">
        <f>'Income Statement'!CT275</f>
        <v>0</v>
      </c>
      <c r="AB361" s="347"/>
      <c r="AC361" s="347"/>
      <c r="AD361" s="347"/>
      <c r="AE361" s="347"/>
      <c r="AF361" s="347"/>
      <c r="AG361" s="347"/>
      <c r="AH361" s="347"/>
    </row>
    <row r="362" spans="1:34" s="349" customFormat="1" ht="13">
      <c r="A362" s="870"/>
      <c r="B362" s="650" t="s">
        <v>225</v>
      </c>
      <c r="C362" s="752">
        <f t="shared" ref="C362:Q362" si="624">SUM(C356:C361)</f>
        <v>629.58000000000004</v>
      </c>
      <c r="D362" s="752">
        <f t="shared" si="624"/>
        <v>271.32</v>
      </c>
      <c r="E362" s="752">
        <f t="shared" si="624"/>
        <v>964.90000000000009</v>
      </c>
      <c r="F362" s="752">
        <f t="shared" si="624"/>
        <v>3059</v>
      </c>
      <c r="G362" s="752">
        <f t="shared" si="624"/>
        <v>2915</v>
      </c>
      <c r="H362" s="752">
        <f t="shared" si="624"/>
        <v>3016</v>
      </c>
      <c r="I362" s="752">
        <f t="shared" si="624"/>
        <v>2045</v>
      </c>
      <c r="J362" s="752">
        <f t="shared" si="624"/>
        <v>454</v>
      </c>
      <c r="K362" s="752">
        <f t="shared" si="624"/>
        <v>2110</v>
      </c>
      <c r="L362" s="752">
        <f t="shared" si="624"/>
        <v>-34</v>
      </c>
      <c r="M362" s="752">
        <f t="shared" si="624"/>
        <v>291</v>
      </c>
      <c r="N362" s="752">
        <f t="shared" si="624"/>
        <v>-3193.6099999999997</v>
      </c>
      <c r="O362" s="752">
        <f t="shared" si="624"/>
        <v>1591.538</v>
      </c>
      <c r="P362" s="752">
        <f t="shared" si="624"/>
        <v>-2113.8320000000003</v>
      </c>
      <c r="Q362" s="752">
        <f t="shared" si="624"/>
        <v>1278.3010000000002</v>
      </c>
      <c r="R362" s="752">
        <f t="shared" ref="R362:Y362" si="625">SUM(R356:R361)</f>
        <v>1182.4709999999998</v>
      </c>
      <c r="S362" s="752">
        <f t="shared" ref="S362" si="626">SUM(S356:S361)</f>
        <v>1280.5830000000001</v>
      </c>
      <c r="T362" s="752">
        <f t="shared" si="625"/>
        <v>1852.165</v>
      </c>
      <c r="U362" s="752"/>
      <c r="V362" s="752">
        <f t="shared" si="625"/>
        <v>1215.7666737212467</v>
      </c>
      <c r="W362" s="752">
        <f t="shared" si="625"/>
        <v>1736.3206886967769</v>
      </c>
      <c r="X362" s="752">
        <f t="shared" si="625"/>
        <v>2952.5305303360401</v>
      </c>
      <c r="Y362" s="752">
        <f t="shared" si="625"/>
        <v>4360.0040675784803</v>
      </c>
      <c r="Z362" s="752">
        <f t="shared" ref="Z362:AA362" si="627">SUM(Z356:Z361)</f>
        <v>5570.065627360118</v>
      </c>
      <c r="AA362" s="752">
        <f t="shared" si="627"/>
        <v>6701.2555973886965</v>
      </c>
      <c r="AB362" s="347"/>
      <c r="AC362" s="347"/>
      <c r="AD362" s="347"/>
      <c r="AE362" s="347"/>
      <c r="AF362" s="347"/>
      <c r="AG362" s="347"/>
      <c r="AH362" s="347"/>
    </row>
    <row r="363" spans="1:34" s="349" customFormat="1" ht="13">
      <c r="A363" s="870"/>
      <c r="B363" s="650"/>
      <c r="C363" s="752"/>
      <c r="D363" s="752"/>
      <c r="E363" s="752"/>
      <c r="F363" s="752"/>
      <c r="G363" s="752"/>
      <c r="H363" s="752"/>
      <c r="I363" s="752"/>
      <c r="J363" s="752"/>
      <c r="K363" s="752"/>
      <c r="L363" s="752"/>
      <c r="M363" s="752"/>
      <c r="N363" s="752"/>
      <c r="O363" s="752"/>
      <c r="P363" s="752"/>
      <c r="Q363" s="752"/>
      <c r="R363" s="752"/>
      <c r="S363" s="752"/>
      <c r="T363" s="752"/>
      <c r="U363" s="752"/>
      <c r="V363" s="752"/>
      <c r="W363" s="752"/>
      <c r="X363" s="752"/>
      <c r="Y363" s="752"/>
      <c r="Z363" s="752"/>
      <c r="AA363" s="752"/>
      <c r="AB363" s="347"/>
      <c r="AC363" s="347"/>
      <c r="AD363" s="347"/>
      <c r="AE363" s="347"/>
      <c r="AF363" s="347"/>
      <c r="AG363" s="347"/>
      <c r="AH363" s="347"/>
    </row>
    <row r="364" spans="1:34" s="349" customFormat="1" ht="13">
      <c r="A364" s="870"/>
      <c r="B364" s="651" t="s">
        <v>226</v>
      </c>
      <c r="C364" s="752">
        <f>C341*(1-30%)</f>
        <v>-2351.2999999999997</v>
      </c>
      <c r="D364" s="752">
        <f t="shared" ref="D364:Y364" si="628">D341*(1-30%)</f>
        <v>-4375</v>
      </c>
      <c r="E364" s="752">
        <f t="shared" si="628"/>
        <v>645.61000000000013</v>
      </c>
      <c r="F364" s="752">
        <f t="shared" si="628"/>
        <v>3107.2999999999997</v>
      </c>
      <c r="G364" s="752">
        <f t="shared" si="628"/>
        <v>1978.1999999999998</v>
      </c>
      <c r="H364" s="752">
        <f t="shared" si="628"/>
        <v>-301.7</v>
      </c>
      <c r="I364" s="752">
        <f t="shared" si="628"/>
        <v>885.5</v>
      </c>
      <c r="J364" s="752">
        <f t="shared" si="628"/>
        <v>1069.5999999999999</v>
      </c>
      <c r="K364" s="752">
        <f t="shared" si="628"/>
        <v>2972.8999999999996</v>
      </c>
      <c r="L364" s="752">
        <f t="shared" si="628"/>
        <v>1731.1</v>
      </c>
      <c r="M364" s="752">
        <f t="shared" si="628"/>
        <v>1136.8</v>
      </c>
      <c r="N364" s="752">
        <f t="shared" si="628"/>
        <v>1567.4729000000002</v>
      </c>
      <c r="O364" s="752">
        <f t="shared" si="628"/>
        <v>608.90409999999952</v>
      </c>
      <c r="P364" s="752">
        <f t="shared" si="628"/>
        <v>-2079.6999999999998</v>
      </c>
      <c r="Q364" s="752">
        <f t="shared" si="628"/>
        <v>2356.1999999999998</v>
      </c>
      <c r="R364" s="752">
        <f t="shared" si="628"/>
        <v>3620.3999999999996</v>
      </c>
      <c r="S364" s="752">
        <f t="shared" ref="S364" si="629">S341*(1-30%)</f>
        <v>6108.9</v>
      </c>
      <c r="T364" s="752">
        <f t="shared" si="628"/>
        <v>7347.9</v>
      </c>
      <c r="U364" s="752"/>
      <c r="V364" s="752">
        <f t="shared" si="628"/>
        <v>-1287.8549926590119</v>
      </c>
      <c r="W364" s="752">
        <f t="shared" si="628"/>
        <v>8136.9171028257642</v>
      </c>
      <c r="X364" s="752">
        <f t="shared" si="628"/>
        <v>9733.3724321010432</v>
      </c>
      <c r="Y364" s="752">
        <f t="shared" si="628"/>
        <v>11065.42120907923</v>
      </c>
      <c r="Z364" s="752">
        <f t="shared" ref="Z364:AA364" si="630">Z341*(1-30%)</f>
        <v>11659.36547247775</v>
      </c>
      <c r="AA364" s="752">
        <f t="shared" si="630"/>
        <v>12087.170692366686</v>
      </c>
      <c r="AB364" s="347"/>
      <c r="AC364" s="347"/>
      <c r="AD364" s="347"/>
      <c r="AE364" s="347"/>
      <c r="AF364" s="347"/>
      <c r="AG364" s="347"/>
      <c r="AH364" s="347"/>
    </row>
    <row r="365" spans="1:34" s="349" customFormat="1" ht="13">
      <c r="A365" s="870"/>
      <c r="B365" s="651" t="s">
        <v>151</v>
      </c>
      <c r="C365" s="353">
        <f>C364/(5*AVERAGE($C430:C430))</f>
        <v>-6.8471170646476398E-2</v>
      </c>
      <c r="D365" s="353">
        <f>D364/(5*AVERAGE($C430:D430))</f>
        <v>-9.5890410958904104E-2</v>
      </c>
      <c r="E365" s="353">
        <f>E364/(5*AVERAGE($C430:E430))</f>
        <v>1.6460754609543316E-2</v>
      </c>
      <c r="F365" s="353">
        <f>F364/(5*AVERAGE($C430:F430))</f>
        <v>8.7589101044019346E-2</v>
      </c>
      <c r="G365" s="353">
        <f>G364/(5*AVERAGE($C430:G430))</f>
        <v>5.6677563626882733E-2</v>
      </c>
      <c r="H365" s="353">
        <f t="shared" ref="H365:T365" si="631">H364/(5*AVERAGE(D430:H430))</f>
        <v>-7.8956941380294004E-3</v>
      </c>
      <c r="I365" s="353">
        <f t="shared" si="631"/>
        <v>2.5874638763160127E-2</v>
      </c>
      <c r="J365" s="353">
        <f t="shared" si="631"/>
        <v>2.9682253364784236E-2</v>
      </c>
      <c r="K365" s="353">
        <f t="shared" si="631"/>
        <v>8.4139473013896349E-2</v>
      </c>
      <c r="L365" s="353">
        <f t="shared" si="631"/>
        <v>5.0329989824102341E-2</v>
      </c>
      <c r="M365" s="353">
        <f t="shared" si="631"/>
        <v>3.6770604217880705E-2</v>
      </c>
      <c r="N365" s="353">
        <f t="shared" si="631"/>
        <v>5.2607259162069174E-2</v>
      </c>
      <c r="O365" s="353">
        <f t="shared" si="631"/>
        <v>1.9149800499356998E-2</v>
      </c>
      <c r="P365" s="353">
        <f t="shared" si="631"/>
        <v>-6.1518865499473607E-2</v>
      </c>
      <c r="Q365" s="633">
        <f t="shared" si="631"/>
        <v>6.1772980495185335E-2</v>
      </c>
      <c r="R365" s="353">
        <f t="shared" si="631"/>
        <v>8.9372974672966843E-2</v>
      </c>
      <c r="S365" s="353">
        <f t="shared" si="631"/>
        <v>0.14758243618984468</v>
      </c>
      <c r="T365" s="353">
        <f t="shared" si="631"/>
        <v>0.18518359837697521</v>
      </c>
      <c r="U365" s="353"/>
      <c r="V365" s="353">
        <f>V364/(5*AVERAGE(Q430:V430))</f>
        <v>-2.3888285456425361E-2</v>
      </c>
      <c r="W365" s="353">
        <f>W364/(5*AVERAGE(R430:W430))</f>
        <v>0.14959628894282764</v>
      </c>
      <c r="X365" s="353">
        <f>X364/(5*AVERAGE(S430:X430))</f>
        <v>0.17477303808741865</v>
      </c>
      <c r="Y365" s="353">
        <f>Y364/(5*AVERAGE(T430:Y430))</f>
        <v>0.18645412897049232</v>
      </c>
      <c r="Z365" s="353">
        <f>Z364/(5*AVERAGE(V430:Z430))</f>
        <v>0.18434399951245611</v>
      </c>
      <c r="AA365" s="353">
        <f>AA364/(5*AVERAGE(W430:AA430))</f>
        <v>0.22011158278238807</v>
      </c>
      <c r="AB365" s="347"/>
      <c r="AC365" s="347"/>
      <c r="AD365" s="347"/>
      <c r="AE365" s="347"/>
      <c r="AF365" s="347"/>
      <c r="AG365" s="347"/>
      <c r="AH365" s="347"/>
    </row>
    <row r="366" spans="1:34" s="349" customFormat="1" ht="13">
      <c r="A366" s="870"/>
      <c r="B366" s="651" t="s">
        <v>227</v>
      </c>
      <c r="C366" s="353">
        <f t="shared" ref="C366:T366" si="632">C356/(C21-C29)</f>
        <v>0.29787775891341256</v>
      </c>
      <c r="D366" s="353">
        <f t="shared" si="632"/>
        <v>0.22592005634794859</v>
      </c>
      <c r="E366" s="353">
        <f t="shared" si="632"/>
        <v>0.29036031820308844</v>
      </c>
      <c r="F366" s="353">
        <f t="shared" si="632"/>
        <v>0.40933533145275036</v>
      </c>
      <c r="G366" s="353">
        <f t="shared" si="632"/>
        <v>0.41654041529275465</v>
      </c>
      <c r="H366" s="353">
        <f t="shared" si="632"/>
        <v>0.36476268902530318</v>
      </c>
      <c r="I366" s="353">
        <f t="shared" si="632"/>
        <v>0.2277126176826382</v>
      </c>
      <c r="J366" s="353">
        <f t="shared" si="632"/>
        <v>0.17850045541111204</v>
      </c>
      <c r="K366" s="353">
        <f t="shared" si="632"/>
        <v>0.19475260872894512</v>
      </c>
      <c r="L366" s="353">
        <f t="shared" si="632"/>
        <v>0.19934187738136475</v>
      </c>
      <c r="M366" s="353">
        <f t="shared" si="632"/>
        <v>0.20248522199775504</v>
      </c>
      <c r="N366" s="353">
        <f t="shared" si="632"/>
        <v>0.20326804782923674</v>
      </c>
      <c r="O366" s="353">
        <f t="shared" si="632"/>
        <v>0.24053547454154289</v>
      </c>
      <c r="P366" s="353">
        <f t="shared" si="632"/>
        <v>0.26714383819952747</v>
      </c>
      <c r="Q366" s="633">
        <f t="shared" si="632"/>
        <v>0.25650895577650079</v>
      </c>
      <c r="R366" s="353">
        <f t="shared" si="632"/>
        <v>0.23363918428657901</v>
      </c>
      <c r="S366" s="353">
        <f t="shared" si="632"/>
        <v>0.23517271907630491</v>
      </c>
      <c r="T366" s="353">
        <f t="shared" si="632"/>
        <v>0.27437801638950943</v>
      </c>
      <c r="U366" s="353"/>
      <c r="V366" s="353">
        <f t="shared" ref="V366:AA366" si="633">V356/(V21-V29)</f>
        <v>0.24253701309281137</v>
      </c>
      <c r="W366" s="353">
        <f t="shared" si="633"/>
        <v>0.29623853550423135</v>
      </c>
      <c r="X366" s="353">
        <f t="shared" si="633"/>
        <v>0.33330350945988385</v>
      </c>
      <c r="Y366" s="353">
        <f t="shared" si="633"/>
        <v>0.36880854122518875</v>
      </c>
      <c r="Z366" s="353">
        <f t="shared" si="633"/>
        <v>0.38646807425037494</v>
      </c>
      <c r="AA366" s="353">
        <f t="shared" si="633"/>
        <v>0.40006707662555591</v>
      </c>
      <c r="AB366" s="347"/>
      <c r="AC366" s="347"/>
      <c r="AD366" s="347"/>
      <c r="AE366" s="347"/>
      <c r="AF366" s="347"/>
      <c r="AG366" s="347"/>
      <c r="AH366" s="347"/>
    </row>
    <row r="367" spans="1:34" s="349" customFormat="1" ht="13">
      <c r="A367" s="870"/>
      <c r="B367" s="647" t="s">
        <v>228</v>
      </c>
      <c r="C367" s="820">
        <f t="shared" ref="C367:Q367" si="634">C362</f>
        <v>629.58000000000004</v>
      </c>
      <c r="D367" s="820">
        <f t="shared" si="634"/>
        <v>271.32</v>
      </c>
      <c r="E367" s="820">
        <f t="shared" si="634"/>
        <v>964.90000000000009</v>
      </c>
      <c r="F367" s="820">
        <f t="shared" si="634"/>
        <v>3059</v>
      </c>
      <c r="G367" s="820">
        <f t="shared" si="634"/>
        <v>2915</v>
      </c>
      <c r="H367" s="820">
        <f t="shared" si="634"/>
        <v>3016</v>
      </c>
      <c r="I367" s="820">
        <f t="shared" si="634"/>
        <v>2045</v>
      </c>
      <c r="J367" s="820">
        <f t="shared" si="634"/>
        <v>454</v>
      </c>
      <c r="K367" s="820">
        <f t="shared" si="634"/>
        <v>2110</v>
      </c>
      <c r="L367" s="820">
        <f t="shared" si="634"/>
        <v>-34</v>
      </c>
      <c r="M367" s="820">
        <f t="shared" si="634"/>
        <v>291</v>
      </c>
      <c r="N367" s="820">
        <f t="shared" si="634"/>
        <v>-3193.6099999999997</v>
      </c>
      <c r="O367" s="820">
        <f t="shared" si="634"/>
        <v>1591.538</v>
      </c>
      <c r="P367" s="820">
        <f t="shared" si="634"/>
        <v>-2113.8320000000003</v>
      </c>
      <c r="Q367" s="821">
        <f t="shared" si="634"/>
        <v>1278.3010000000002</v>
      </c>
      <c r="R367" s="820">
        <f t="shared" ref="R367:Y367" si="635">R362</f>
        <v>1182.4709999999998</v>
      </c>
      <c r="S367" s="820">
        <f t="shared" ref="S367" si="636">S362</f>
        <v>1280.5830000000001</v>
      </c>
      <c r="T367" s="820">
        <f t="shared" si="635"/>
        <v>1852.165</v>
      </c>
      <c r="U367" s="820"/>
      <c r="V367" s="820">
        <f t="shared" si="635"/>
        <v>1215.7666737212467</v>
      </c>
      <c r="W367" s="820">
        <f t="shared" si="635"/>
        <v>1736.3206886967769</v>
      </c>
      <c r="X367" s="820">
        <f t="shared" si="635"/>
        <v>2952.5305303360401</v>
      </c>
      <c r="Y367" s="820">
        <f t="shared" si="635"/>
        <v>4360.0040675784803</v>
      </c>
      <c r="Z367" s="820">
        <f t="shared" ref="Z367:AA367" si="637">Z362</f>
        <v>5570.065627360118</v>
      </c>
      <c r="AA367" s="820">
        <f t="shared" si="637"/>
        <v>6701.2555973886965</v>
      </c>
      <c r="AB367" s="347"/>
      <c r="AC367" s="347"/>
      <c r="AD367" s="347"/>
      <c r="AE367" s="347"/>
      <c r="AF367" s="347"/>
      <c r="AG367" s="347"/>
      <c r="AH367" s="347"/>
    </row>
    <row r="368" spans="1:34" s="349" customFormat="1" ht="13">
      <c r="A368" s="870"/>
      <c r="B368" s="647" t="s">
        <v>229</v>
      </c>
      <c r="C368" s="820">
        <f>'Income Statement'!C437</f>
        <v>1749</v>
      </c>
      <c r="D368" s="820">
        <f>'Income Statement'!H437</f>
        <v>3379</v>
      </c>
      <c r="E368" s="820">
        <f>'Income Statement'!M437</f>
        <v>3741</v>
      </c>
      <c r="F368" s="820">
        <f>'Income Statement'!R437</f>
        <v>4122</v>
      </c>
      <c r="G368" s="820">
        <f>'Income Statement'!W437</f>
        <v>4683</v>
      </c>
      <c r="H368" s="820">
        <f>'Income Statement'!AB437</f>
        <v>5066</v>
      </c>
      <c r="I368" s="820">
        <f>'Income Statement'!AG437</f>
        <v>5759</v>
      </c>
      <c r="J368" s="820">
        <f>'Income Statement'!AL437</f>
        <v>6958</v>
      </c>
      <c r="K368" s="820">
        <f>'Income Statement'!AQ437</f>
        <v>7135</v>
      </c>
      <c r="L368" s="820">
        <f>'Income Statement'!AV437</f>
        <v>8046</v>
      </c>
      <c r="M368" s="820">
        <f>'Income Statement'!BA437</f>
        <v>6951</v>
      </c>
      <c r="N368" s="820">
        <f>'Income Statement'!BF437</f>
        <v>11621</v>
      </c>
      <c r="O368" s="820">
        <f>'Income Statement'!BK437</f>
        <v>6983</v>
      </c>
      <c r="P368" s="820">
        <f>'Income Statement'!BP437</f>
        <v>12074.688</v>
      </c>
      <c r="Q368" s="821">
        <f>'Income Statement'!BU437</f>
        <v>9956.2270000000008</v>
      </c>
      <c r="R368" s="820">
        <f>'Income Statement'!BZ437</f>
        <v>10564.296</v>
      </c>
      <c r="S368" s="820">
        <f>'Income Statement'!CE437</f>
        <v>11347.758</v>
      </c>
      <c r="T368" s="820">
        <f>'Income Statement'!CJ437</f>
        <v>12074.334999999999</v>
      </c>
      <c r="U368" s="820"/>
      <c r="V368" s="820">
        <f>'Income Statement'!CO437</f>
        <v>11235.320870599999</v>
      </c>
      <c r="W368" s="820">
        <f>'Income Statement'!CP437</f>
        <v>12974.248357061337</v>
      </c>
      <c r="X368" s="820">
        <f>'Income Statement'!CQ437</f>
        <v>12485.508932184464</v>
      </c>
      <c r="Y368" s="820">
        <f>'Income Statement'!CR437</f>
        <v>12082.040782644366</v>
      </c>
      <c r="Z368" s="820">
        <f>'Income Statement'!CS437</f>
        <v>11840.944919666748</v>
      </c>
      <c r="AA368" s="820">
        <f>'Income Statement'!CT437</f>
        <v>11734.98419761146</v>
      </c>
      <c r="AB368" s="347"/>
      <c r="AC368" s="347"/>
      <c r="AD368" s="347"/>
      <c r="AE368" s="347"/>
      <c r="AF368" s="347"/>
      <c r="AG368" s="347"/>
      <c r="AH368" s="347"/>
    </row>
    <row r="369" spans="1:34" s="349" customFormat="1" ht="13">
      <c r="A369" s="870"/>
      <c r="B369" s="647" t="s">
        <v>230</v>
      </c>
      <c r="C369" s="820">
        <f>'Income Statement'!C438</f>
        <v>0</v>
      </c>
      <c r="D369" s="820">
        <f>'Income Statement'!H438</f>
        <v>0</v>
      </c>
      <c r="E369" s="820">
        <f>'Income Statement'!M438</f>
        <v>0</v>
      </c>
      <c r="F369" s="820">
        <f>'Income Statement'!R438</f>
        <v>0</v>
      </c>
      <c r="G369" s="820">
        <f>'Income Statement'!W438</f>
        <v>0</v>
      </c>
      <c r="H369" s="820">
        <f>'Income Statement'!AB438</f>
        <v>0</v>
      </c>
      <c r="I369" s="820">
        <f>'Income Statement'!AG438</f>
        <v>0</v>
      </c>
      <c r="J369" s="820">
        <f>'Income Statement'!AL438</f>
        <v>0</v>
      </c>
      <c r="K369" s="820">
        <f>'Income Statement'!AQ438</f>
        <v>0</v>
      </c>
      <c r="L369" s="820">
        <f>'Income Statement'!AV438</f>
        <v>0</v>
      </c>
      <c r="M369" s="820">
        <f>'Income Statement'!BA438</f>
        <v>0</v>
      </c>
      <c r="N369" s="820">
        <f>'Income Statement'!BF438</f>
        <v>0</v>
      </c>
      <c r="O369" s="820">
        <f>'Income Statement'!BK438</f>
        <v>380</v>
      </c>
      <c r="P369" s="820">
        <f>'Income Statement'!BP438</f>
        <v>380</v>
      </c>
      <c r="Q369" s="821">
        <f>'Income Statement'!BU438</f>
        <v>0</v>
      </c>
      <c r="R369" s="820">
        <f>'Income Statement'!BZ438</f>
        <v>0</v>
      </c>
      <c r="S369" s="820">
        <f>'Income Statement'!CE438</f>
        <v>0</v>
      </c>
      <c r="T369" s="820">
        <f>'Income Statement'!CJ438</f>
        <v>0</v>
      </c>
      <c r="U369" s="820"/>
      <c r="V369" s="820">
        <f>'Income Statement'!CO438</f>
        <v>402.32585</v>
      </c>
      <c r="W369" s="820">
        <f>'Income Statement'!CP438</f>
        <v>402.32585</v>
      </c>
      <c r="X369" s="820">
        <f>'Income Statement'!CQ438</f>
        <v>439.43857727272723</v>
      </c>
      <c r="Y369" s="820">
        <f>'Income Statement'!CR438</f>
        <v>476.55130454545451</v>
      </c>
      <c r="Z369" s="820">
        <f>'Income Statement'!CS438</f>
        <v>513.6640318181818</v>
      </c>
      <c r="AA369" s="820">
        <f>'Income Statement'!CT438</f>
        <v>550.77675909090908</v>
      </c>
      <c r="AB369" s="347"/>
      <c r="AC369" s="347"/>
      <c r="AD369" s="347"/>
      <c r="AE369" s="347"/>
      <c r="AF369" s="347"/>
      <c r="AG369" s="347"/>
      <c r="AH369" s="347"/>
    </row>
    <row r="370" spans="1:34" s="349" customFormat="1" ht="13">
      <c r="A370" s="870"/>
      <c r="B370" s="647" t="s">
        <v>231</v>
      </c>
      <c r="C370" s="820">
        <f t="shared" ref="C370:T370" si="638">C75</f>
        <v>6868</v>
      </c>
      <c r="D370" s="820">
        <f t="shared" si="638"/>
        <v>11382</v>
      </c>
      <c r="E370" s="820">
        <f t="shared" si="638"/>
        <v>5282.7</v>
      </c>
      <c r="F370" s="820">
        <f t="shared" si="638"/>
        <v>4848</v>
      </c>
      <c r="G370" s="820">
        <f t="shared" si="638"/>
        <v>6522</v>
      </c>
      <c r="H370" s="820">
        <f t="shared" si="638"/>
        <v>10176</v>
      </c>
      <c r="I370" s="820">
        <f t="shared" si="638"/>
        <v>7394</v>
      </c>
      <c r="J370" s="820">
        <f t="shared" si="638"/>
        <v>7095</v>
      </c>
      <c r="K370" s="820">
        <f t="shared" si="638"/>
        <v>4146</v>
      </c>
      <c r="L370" s="820">
        <f t="shared" si="638"/>
        <v>5584</v>
      </c>
      <c r="M370" s="820">
        <f t="shared" si="638"/>
        <v>6697</v>
      </c>
      <c r="N370" s="820">
        <f t="shared" si="638"/>
        <v>6273.7529999999997</v>
      </c>
      <c r="O370" s="820">
        <f t="shared" si="638"/>
        <v>9096.1370000000006</v>
      </c>
      <c r="P370" s="820">
        <f t="shared" si="638"/>
        <v>6155</v>
      </c>
      <c r="Q370" s="821">
        <f t="shared" si="638"/>
        <v>9921</v>
      </c>
      <c r="R370" s="820">
        <f t="shared" si="638"/>
        <v>9063</v>
      </c>
      <c r="S370" s="820">
        <f t="shared" si="638"/>
        <v>7158</v>
      </c>
      <c r="T370" s="820">
        <f t="shared" si="638"/>
        <v>7382</v>
      </c>
      <c r="U370" s="820"/>
      <c r="V370" s="820">
        <f t="shared" ref="V370:AA370" si="639">V75</f>
        <v>20387.570799343855</v>
      </c>
      <c r="W370" s="820">
        <f t="shared" si="639"/>
        <v>10401.935594551464</v>
      </c>
      <c r="X370" s="820">
        <f t="shared" si="639"/>
        <v>10361.99235565762</v>
      </c>
      <c r="Y370" s="820">
        <f t="shared" si="639"/>
        <v>10813.115188025306</v>
      </c>
      <c r="Z370" s="820">
        <f t="shared" si="639"/>
        <v>11283.256908849437</v>
      </c>
      <c r="AA370" s="820">
        <f t="shared" si="639"/>
        <v>12053.5329260614</v>
      </c>
      <c r="AB370" s="347"/>
      <c r="AC370" s="347"/>
      <c r="AD370" s="347"/>
      <c r="AE370" s="347"/>
      <c r="AF370" s="347"/>
      <c r="AG370" s="347"/>
      <c r="AH370" s="347"/>
    </row>
    <row r="371" spans="1:34" s="349" customFormat="1" ht="13">
      <c r="A371" s="870"/>
      <c r="B371" s="647" t="s">
        <v>232</v>
      </c>
      <c r="C371" s="820">
        <f>0</f>
        <v>0</v>
      </c>
      <c r="D371" s="820">
        <f>0</f>
        <v>0</v>
      </c>
      <c r="E371" s="820">
        <f>0</f>
        <v>0</v>
      </c>
      <c r="F371" s="820">
        <f>0</f>
        <v>0</v>
      </c>
      <c r="G371" s="820">
        <f>0</f>
        <v>0</v>
      </c>
      <c r="H371" s="820">
        <f>0</f>
        <v>0</v>
      </c>
      <c r="I371" s="820">
        <f>0</f>
        <v>0</v>
      </c>
      <c r="J371" s="820">
        <f>0</f>
        <v>0</v>
      </c>
      <c r="K371" s="820">
        <f>0</f>
        <v>0</v>
      </c>
      <c r="L371" s="820">
        <f>0</f>
        <v>0</v>
      </c>
      <c r="M371" s="820">
        <f>0</f>
        <v>0</v>
      </c>
      <c r="N371" s="820">
        <f>0</f>
        <v>0</v>
      </c>
      <c r="O371" s="820">
        <f>0</f>
        <v>0</v>
      </c>
      <c r="P371" s="820">
        <f>0</f>
        <v>0</v>
      </c>
      <c r="Q371" s="821">
        <f>0</f>
        <v>0</v>
      </c>
      <c r="R371" s="820">
        <f>0</f>
        <v>0</v>
      </c>
      <c r="S371" s="820">
        <f>0</f>
        <v>0</v>
      </c>
      <c r="T371" s="820">
        <f>0</f>
        <v>0</v>
      </c>
      <c r="U371" s="820"/>
      <c r="V371" s="820">
        <f>0</f>
        <v>0</v>
      </c>
      <c r="W371" s="820">
        <f>0</f>
        <v>0</v>
      </c>
      <c r="X371" s="820">
        <f>0</f>
        <v>0</v>
      </c>
      <c r="Y371" s="820">
        <f>0</f>
        <v>0</v>
      </c>
      <c r="Z371" s="820">
        <f>0</f>
        <v>0</v>
      </c>
      <c r="AA371" s="820">
        <f>0</f>
        <v>0</v>
      </c>
      <c r="AB371" s="347"/>
      <c r="AC371" s="347"/>
      <c r="AD371" s="347"/>
      <c r="AE371" s="347"/>
      <c r="AF371" s="347"/>
      <c r="AG371" s="347"/>
      <c r="AH371" s="347"/>
    </row>
    <row r="372" spans="1:34" s="349" customFormat="1" ht="13">
      <c r="A372" s="870"/>
      <c r="B372" s="648" t="s">
        <v>233</v>
      </c>
      <c r="C372" s="820">
        <f t="shared" ref="C372:Q372" si="640">C367+C368+C369-C370</f>
        <v>-4489.42</v>
      </c>
      <c r="D372" s="820">
        <f t="shared" si="640"/>
        <v>-7731.68</v>
      </c>
      <c r="E372" s="820">
        <f t="shared" si="640"/>
        <v>-576.80000000000018</v>
      </c>
      <c r="F372" s="820">
        <f t="shared" si="640"/>
        <v>2333</v>
      </c>
      <c r="G372" s="820">
        <f t="shared" si="640"/>
        <v>1076</v>
      </c>
      <c r="H372" s="820">
        <f t="shared" si="640"/>
        <v>-2094</v>
      </c>
      <c r="I372" s="820">
        <f t="shared" si="640"/>
        <v>410</v>
      </c>
      <c r="J372" s="820">
        <f t="shared" si="640"/>
        <v>317</v>
      </c>
      <c r="K372" s="820">
        <f t="shared" si="640"/>
        <v>5099</v>
      </c>
      <c r="L372" s="820">
        <f t="shared" si="640"/>
        <v>2428</v>
      </c>
      <c r="M372" s="820">
        <f t="shared" si="640"/>
        <v>545</v>
      </c>
      <c r="N372" s="820">
        <f t="shared" si="640"/>
        <v>2153.6369999999997</v>
      </c>
      <c r="O372" s="820">
        <f t="shared" si="640"/>
        <v>-141.59900000000016</v>
      </c>
      <c r="P372" s="820">
        <f t="shared" si="640"/>
        <v>4185.8559999999998</v>
      </c>
      <c r="Q372" s="821">
        <f t="shared" si="640"/>
        <v>1313.5280000000002</v>
      </c>
      <c r="R372" s="820">
        <f t="shared" ref="R372:Y372" si="641">R367+R368+R369-R370</f>
        <v>2683.7669999999998</v>
      </c>
      <c r="S372" s="820">
        <f t="shared" ref="S372" si="642">S367+S368+S369-S370</f>
        <v>5470.3410000000003</v>
      </c>
      <c r="T372" s="820">
        <f t="shared" si="641"/>
        <v>6544.5</v>
      </c>
      <c r="U372" s="820"/>
      <c r="V372" s="820">
        <f t="shared" si="641"/>
        <v>-7534.15740502261</v>
      </c>
      <c r="W372" s="820">
        <f t="shared" si="641"/>
        <v>4710.9593012066489</v>
      </c>
      <c r="X372" s="820">
        <f t="shared" si="641"/>
        <v>5515.4856841356122</v>
      </c>
      <c r="Y372" s="820">
        <f t="shared" si="641"/>
        <v>6105.4809667429945</v>
      </c>
      <c r="Z372" s="820">
        <f t="shared" ref="Z372:AA372" si="643">Z367+Z368+Z369-Z370</f>
        <v>6641.4176699956133</v>
      </c>
      <c r="AA372" s="820">
        <f t="shared" si="643"/>
        <v>6933.4836280296677</v>
      </c>
      <c r="AB372" s="347"/>
      <c r="AC372" s="347"/>
      <c r="AD372" s="347"/>
      <c r="AE372" s="347"/>
      <c r="AF372" s="347"/>
      <c r="AG372" s="347"/>
      <c r="AH372" s="347"/>
    </row>
    <row r="373" spans="1:34" s="349" customFormat="1" ht="13">
      <c r="A373" s="870"/>
      <c r="B373" s="647" t="s">
        <v>234</v>
      </c>
      <c r="C373" s="652">
        <f t="shared" ref="C373:Q373" si="644">C372/C315</f>
        <v>-0.63320451339915373</v>
      </c>
      <c r="D373" s="652">
        <f t="shared" si="644"/>
        <v>-1.0905049365303245</v>
      </c>
      <c r="E373" s="652">
        <f t="shared" si="644"/>
        <v>-7.3958199769201205E-2</v>
      </c>
      <c r="F373" s="652">
        <f t="shared" si="644"/>
        <v>0.27421250587682183</v>
      </c>
      <c r="G373" s="652">
        <f t="shared" si="644"/>
        <v>0.12646920545369064</v>
      </c>
      <c r="H373" s="652">
        <f t="shared" si="644"/>
        <v>-0.24612129760225671</v>
      </c>
      <c r="I373" s="652">
        <f t="shared" si="644"/>
        <v>4.8189938881053128E-2</v>
      </c>
      <c r="J373" s="652">
        <f t="shared" si="644"/>
        <v>3.7259050305594732E-2</v>
      </c>
      <c r="K373" s="652">
        <f t="shared" si="644"/>
        <v>0.59815824975071852</v>
      </c>
      <c r="L373" s="652">
        <f t="shared" si="644"/>
        <v>0.25253523324145821</v>
      </c>
      <c r="M373" s="652">
        <f t="shared" si="644"/>
        <v>5.0991766467065866E-2</v>
      </c>
      <c r="N373" s="652">
        <f t="shared" si="644"/>
        <v>0.20150084487433545</v>
      </c>
      <c r="O373" s="652">
        <f t="shared" si="644"/>
        <v>-1.324845901369393E-2</v>
      </c>
      <c r="P373" s="652">
        <f t="shared" si="644"/>
        <v>0.39131175747184832</v>
      </c>
      <c r="Q373" s="653">
        <f t="shared" si="644"/>
        <v>0.1225838844124405</v>
      </c>
      <c r="R373" s="652">
        <f t="shared" ref="R373:Y373" si="645">R372/R315</f>
        <v>0.22502458172558926</v>
      </c>
      <c r="S373" s="652">
        <f t="shared" ref="S373" si="646">S372/S315</f>
        <v>0.41667897249773839</v>
      </c>
      <c r="T373" s="652">
        <f t="shared" si="645"/>
        <v>0.4995730303238925</v>
      </c>
      <c r="U373" s="652"/>
      <c r="V373" s="652">
        <f t="shared" si="645"/>
        <v>-0.49933205220472621</v>
      </c>
      <c r="W373" s="652">
        <f t="shared" si="645"/>
        <v>0.27541416551924286</v>
      </c>
      <c r="X373" s="652">
        <f t="shared" si="645"/>
        <v>0.3224487392069928</v>
      </c>
      <c r="Y373" s="652">
        <f t="shared" si="645"/>
        <v>0.3569413017680792</v>
      </c>
      <c r="Z373" s="652">
        <f t="shared" ref="Z373:AA373" si="647">Z372/Z315</f>
        <v>0.38827346799155882</v>
      </c>
      <c r="AA373" s="652">
        <f t="shared" si="647"/>
        <v>0.40534835592105628</v>
      </c>
      <c r="AB373" s="347"/>
      <c r="AC373" s="347"/>
      <c r="AD373" s="347"/>
      <c r="AE373" s="347"/>
      <c r="AF373" s="347"/>
      <c r="AG373" s="347"/>
      <c r="AH373" s="347"/>
    </row>
    <row r="374" spans="1:34" s="349" customFormat="1" ht="13">
      <c r="A374" s="870"/>
      <c r="B374" s="647" t="s">
        <v>0</v>
      </c>
      <c r="C374" s="353"/>
      <c r="D374" s="353">
        <f t="shared" ref="D374:S374" si="648">D373/C373-1</f>
        <v>0.72220019512542843</v>
      </c>
      <c r="E374" s="353">
        <f t="shared" si="648"/>
        <v>-0.93217985788811275</v>
      </c>
      <c r="F374" s="353">
        <f t="shared" si="648"/>
        <v>-4.7076687471104934</v>
      </c>
      <c r="G374" s="353">
        <f t="shared" si="648"/>
        <v>-0.53879125589369914</v>
      </c>
      <c r="H374" s="353">
        <f t="shared" si="648"/>
        <v>-2.946096654275093</v>
      </c>
      <c r="I374" s="353">
        <f t="shared" si="648"/>
        <v>-1.1957975167144221</v>
      </c>
      <c r="J374" s="353">
        <f t="shared" si="648"/>
        <v>-0.22682926829268302</v>
      </c>
      <c r="K374" s="353">
        <f t="shared" si="648"/>
        <v>15.054039081637583</v>
      </c>
      <c r="L374" s="353">
        <f t="shared" si="648"/>
        <v>-0.57781200318360249</v>
      </c>
      <c r="M374" s="353">
        <f t="shared" si="648"/>
        <v>-0.79808058537989912</v>
      </c>
      <c r="N374" s="353">
        <f t="shared" si="648"/>
        <v>2.9516349174621972</v>
      </c>
      <c r="O374" s="353">
        <f t="shared" si="648"/>
        <v>-1.065748900566428</v>
      </c>
      <c r="P374" s="353">
        <f t="shared" si="648"/>
        <v>-30.536397936347083</v>
      </c>
      <c r="Q374" s="633">
        <f t="shared" si="648"/>
        <v>-0.68673600506046784</v>
      </c>
      <c r="R374" s="353">
        <f t="shared" si="648"/>
        <v>0.83567834225648419</v>
      </c>
      <c r="S374" s="353">
        <f t="shared" si="648"/>
        <v>0.8517042418319698</v>
      </c>
      <c r="T374" s="353">
        <f t="shared" ref="T374:Y374" si="649">T373/S373-1</f>
        <v>0.19893986329392721</v>
      </c>
      <c r="U374" s="353"/>
      <c r="V374" s="353">
        <f>V373/T373-1</f>
        <v>-1.9995176318485206</v>
      </c>
      <c r="W374" s="353">
        <f t="shared" si="649"/>
        <v>-1.551565164509654</v>
      </c>
      <c r="X374" s="353">
        <f t="shared" si="649"/>
        <v>0.17077761268769476</v>
      </c>
      <c r="Y374" s="353">
        <f t="shared" si="649"/>
        <v>0.10697068515732111</v>
      </c>
      <c r="Z374" s="353">
        <f t="shared" ref="Z374" si="650">Z373/Y373-1</f>
        <v>8.777960428865561E-2</v>
      </c>
      <c r="AA374" s="353">
        <f t="shared" ref="AA374" si="651">AA373/Z373-1</f>
        <v>4.3976447883038672E-2</v>
      </c>
      <c r="AB374" s="347"/>
      <c r="AC374" s="347"/>
      <c r="AD374" s="347"/>
      <c r="AE374" s="347"/>
      <c r="AF374" s="347"/>
      <c r="AG374" s="347"/>
      <c r="AH374" s="347"/>
    </row>
    <row r="375" spans="1:34" s="349" customFormat="1" ht="13">
      <c r="A375" s="870"/>
      <c r="B375" s="407"/>
      <c r="C375" s="654"/>
      <c r="D375" s="654"/>
      <c r="E375" s="654"/>
      <c r="F375" s="654"/>
      <c r="G375" s="654"/>
      <c r="H375" s="654"/>
      <c r="I375" s="654"/>
      <c r="J375" s="654"/>
      <c r="K375" s="654"/>
      <c r="L375" s="654"/>
      <c r="M375" s="654"/>
      <c r="N375" s="654"/>
      <c r="O375" s="654"/>
      <c r="P375" s="654"/>
      <c r="Q375" s="654"/>
      <c r="R375" s="654"/>
      <c r="S375" s="654"/>
      <c r="T375" s="654"/>
      <c r="U375" s="654"/>
      <c r="V375" s="654"/>
      <c r="W375" s="654"/>
      <c r="X375" s="654"/>
      <c r="Y375" s="654"/>
      <c r="Z375" s="654"/>
      <c r="AA375" s="654"/>
      <c r="AB375" s="347"/>
      <c r="AC375" s="347"/>
      <c r="AD375" s="347"/>
      <c r="AE375" s="347"/>
      <c r="AF375" s="347"/>
      <c r="AG375" s="468">
        <v>39417</v>
      </c>
      <c r="AH375" s="468">
        <v>39783</v>
      </c>
    </row>
    <row r="376" spans="1:34" s="349" customFormat="1" ht="13">
      <c r="A376" s="870" t="s">
        <v>615</v>
      </c>
      <c r="B376" s="646" t="s">
        <v>1258</v>
      </c>
      <c r="C376" s="485">
        <f>C$2</f>
        <v>2007</v>
      </c>
      <c r="D376" s="383">
        <f t="shared" ref="D376" si="652">C376+1</f>
        <v>2008</v>
      </c>
      <c r="E376" s="383">
        <f t="shared" ref="E376" si="653">D376+1</f>
        <v>2009</v>
      </c>
      <c r="F376" s="383">
        <f t="shared" ref="F376" si="654">E376+1</f>
        <v>2010</v>
      </c>
      <c r="G376" s="383">
        <f t="shared" ref="G376" si="655">F376+1</f>
        <v>2011</v>
      </c>
      <c r="H376" s="383">
        <f t="shared" ref="H376" si="656">G376+1</f>
        <v>2012</v>
      </c>
      <c r="I376" s="383">
        <f t="shared" ref="I376" si="657">H376+1</f>
        <v>2013</v>
      </c>
      <c r="J376" s="383">
        <f t="shared" ref="J376" si="658">I376+1</f>
        <v>2014</v>
      </c>
      <c r="K376" s="383">
        <f t="shared" ref="K376" si="659">J376+1</f>
        <v>2015</v>
      </c>
      <c r="L376" s="383">
        <f t="shared" ref="L376" si="660">K376+1</f>
        <v>2016</v>
      </c>
      <c r="M376" s="383">
        <f t="shared" ref="M376" si="661">L376+1</f>
        <v>2017</v>
      </c>
      <c r="N376" s="383">
        <f t="shared" ref="N376" si="662">M376+1</f>
        <v>2018</v>
      </c>
      <c r="O376" s="383">
        <f t="shared" ref="O376" si="663">N376+1</f>
        <v>2019</v>
      </c>
      <c r="P376" s="383">
        <f t="shared" ref="P376" si="664">O376+1</f>
        <v>2020</v>
      </c>
      <c r="Q376" s="383">
        <f t="shared" ref="Q376" si="665">P376+1</f>
        <v>2021</v>
      </c>
      <c r="R376" s="383">
        <f t="shared" ref="R376" si="666">Q376+1</f>
        <v>2022</v>
      </c>
      <c r="S376" s="383">
        <f t="shared" ref="S376" si="667">R376+1</f>
        <v>2023</v>
      </c>
      <c r="T376" s="383">
        <f t="shared" ref="T376" si="668">S376+1</f>
        <v>2024</v>
      </c>
      <c r="U376" s="383"/>
      <c r="V376" s="383">
        <f t="shared" ref="V376" si="669">T376+1</f>
        <v>2025</v>
      </c>
      <c r="W376" s="383">
        <f t="shared" ref="W376" si="670">V376+1</f>
        <v>2026</v>
      </c>
      <c r="X376" s="383">
        <f t="shared" ref="X376" si="671">W376+1</f>
        <v>2027</v>
      </c>
      <c r="Y376" s="383">
        <f t="shared" ref="Y376" si="672">X376+1</f>
        <v>2028</v>
      </c>
      <c r="Z376" s="383">
        <f t="shared" ref="Z376" si="673">Y376+1</f>
        <v>2029</v>
      </c>
      <c r="AA376" s="383">
        <f t="shared" ref="AA376" si="674">Z376+1</f>
        <v>2030</v>
      </c>
      <c r="AB376" s="347"/>
      <c r="AC376" s="347"/>
      <c r="AD376" s="347"/>
      <c r="AE376" s="347"/>
      <c r="AF376" s="347"/>
      <c r="AG376" s="347"/>
      <c r="AH376" s="347"/>
    </row>
    <row r="377" spans="1:34" s="349" customFormat="1" ht="13">
      <c r="A377" s="870"/>
      <c r="B377" s="407"/>
      <c r="C377" s="654"/>
      <c r="D377" s="654"/>
      <c r="E377" s="654"/>
      <c r="F377" s="654"/>
      <c r="G377" s="654"/>
      <c r="H377" s="654"/>
      <c r="I377" s="654"/>
      <c r="J377" s="654"/>
      <c r="K377" s="654"/>
      <c r="L377" s="654"/>
      <c r="M377" s="654"/>
      <c r="N377" s="654"/>
      <c r="O377" s="654"/>
      <c r="P377" s="654"/>
      <c r="Q377" s="654"/>
      <c r="R377" s="654"/>
      <c r="S377" s="654"/>
      <c r="T377" s="654"/>
      <c r="U377" s="654"/>
      <c r="V377" s="654"/>
      <c r="W377" s="654"/>
      <c r="X377" s="654"/>
      <c r="Y377" s="654"/>
      <c r="Z377" s="654"/>
      <c r="AA377" s="654"/>
      <c r="AB377" s="347"/>
      <c r="AC377" s="347"/>
      <c r="AD377" s="347"/>
      <c r="AE377" s="347"/>
      <c r="AF377" s="347"/>
      <c r="AG377" s="468"/>
      <c r="AH377" s="468"/>
    </row>
    <row r="378" spans="1:34" s="349" customFormat="1" ht="13">
      <c r="A378" s="870"/>
      <c r="B378" s="407" t="s">
        <v>2</v>
      </c>
      <c r="C378" s="821">
        <f>C418</f>
        <v>3509</v>
      </c>
      <c r="D378" s="821">
        <f t="shared" ref="D378:AA378" si="675">D418</f>
        <v>5132</v>
      </c>
      <c r="E378" s="821">
        <f t="shared" si="675"/>
        <v>6205</v>
      </c>
      <c r="F378" s="821">
        <f t="shared" si="675"/>
        <v>9287</v>
      </c>
      <c r="G378" s="821">
        <f t="shared" si="675"/>
        <v>9348</v>
      </c>
      <c r="H378" s="821">
        <f t="shared" si="675"/>
        <v>9745</v>
      </c>
      <c r="I378" s="821">
        <f t="shared" si="675"/>
        <v>8659</v>
      </c>
      <c r="J378" s="821">
        <f t="shared" si="675"/>
        <v>8623</v>
      </c>
      <c r="K378" s="821">
        <f t="shared" si="675"/>
        <v>8393</v>
      </c>
      <c r="L378" s="821">
        <f t="shared" si="675"/>
        <v>8057</v>
      </c>
      <c r="M378" s="821">
        <f t="shared" si="675"/>
        <v>8321</v>
      </c>
      <c r="N378" s="821">
        <f t="shared" si="675"/>
        <v>8513</v>
      </c>
      <c r="O378" s="821">
        <f t="shared" si="675"/>
        <v>9966</v>
      </c>
      <c r="P378" s="821">
        <f t="shared" si="675"/>
        <v>13060</v>
      </c>
      <c r="Q378" s="821">
        <f t="shared" si="675"/>
        <v>13287</v>
      </c>
      <c r="R378" s="821">
        <f t="shared" si="675"/>
        <v>14235</v>
      </c>
      <c r="S378" s="821">
        <f t="shared" si="675"/>
        <v>15885</v>
      </c>
      <c r="T378" s="821">
        <f t="shared" si="675"/>
        <v>17879</v>
      </c>
      <c r="U378" s="821"/>
      <c r="V378" s="821">
        <f t="shared" si="675"/>
        <v>18547.777952688124</v>
      </c>
      <c r="W378" s="821">
        <f t="shared" si="675"/>
        <v>22026.102884302556</v>
      </c>
      <c r="X378" s="821">
        <f t="shared" si="675"/>
        <v>24266.810115801967</v>
      </c>
      <c r="Y378" s="821">
        <f t="shared" si="675"/>
        <v>26620.859772424206</v>
      </c>
      <c r="Z378" s="821">
        <f t="shared" si="675"/>
        <v>27939.493298103363</v>
      </c>
      <c r="AA378" s="821">
        <f t="shared" si="675"/>
        <v>29320.919629442382</v>
      </c>
      <c r="AB378" s="347"/>
      <c r="AC378" s="347"/>
      <c r="AD378" s="347"/>
      <c r="AE378" s="347"/>
      <c r="AF378" s="347"/>
      <c r="AG378" s="468"/>
      <c r="AH378" s="468"/>
    </row>
    <row r="379" spans="1:34" s="349" customFormat="1" ht="13">
      <c r="A379" s="870"/>
      <c r="B379" s="407" t="s">
        <v>1073</v>
      </c>
      <c r="C379" s="821">
        <f t="shared" ref="C379:T379" si="676">C62</f>
        <v>0</v>
      </c>
      <c r="D379" s="821">
        <f t="shared" si="676"/>
        <v>0</v>
      </c>
      <c r="E379" s="821">
        <f t="shared" si="676"/>
        <v>0</v>
      </c>
      <c r="F379" s="821">
        <f t="shared" si="676"/>
        <v>-59</v>
      </c>
      <c r="G379" s="821">
        <f t="shared" si="676"/>
        <v>866</v>
      </c>
      <c r="H379" s="821">
        <f t="shared" si="676"/>
        <v>-662</v>
      </c>
      <c r="I379" s="821">
        <f t="shared" si="676"/>
        <v>-1071.0000000000002</v>
      </c>
      <c r="J379" s="821">
        <f t="shared" si="676"/>
        <v>11130</v>
      </c>
      <c r="K379" s="821">
        <f t="shared" si="676"/>
        <v>-10398</v>
      </c>
      <c r="L379" s="821">
        <f t="shared" si="676"/>
        <v>-158</v>
      </c>
      <c r="M379" s="821">
        <f t="shared" si="676"/>
        <v>1208</v>
      </c>
      <c r="N379" s="821">
        <f t="shared" si="676"/>
        <v>856.89799999999912</v>
      </c>
      <c r="O379" s="821">
        <f t="shared" si="676"/>
        <v>-1226.351999999999</v>
      </c>
      <c r="P379" s="821">
        <f t="shared" si="676"/>
        <v>-531.61900000000014</v>
      </c>
      <c r="Q379" s="821">
        <f t="shared" si="676"/>
        <v>2688.9199999999987</v>
      </c>
      <c r="R379" s="821">
        <f t="shared" si="676"/>
        <v>323.43300000000085</v>
      </c>
      <c r="S379" s="821">
        <f t="shared" si="676"/>
        <v>-2705.6169999999993</v>
      </c>
      <c r="T379" s="821">
        <f t="shared" si="676"/>
        <v>-1754.5090000000012</v>
      </c>
      <c r="U379" s="821"/>
      <c r="V379" s="821">
        <f t="shared" ref="V379:AA379" si="677">V62</f>
        <v>480.56379978137647</v>
      </c>
      <c r="W379" s="821">
        <f t="shared" si="677"/>
        <v>285.83597953290746</v>
      </c>
      <c r="X379" s="821">
        <f t="shared" si="677"/>
        <v>122.55896379882961</v>
      </c>
      <c r="Y379" s="821">
        <f t="shared" si="677"/>
        <v>127.72631381444654</v>
      </c>
      <c r="Z379" s="821">
        <f t="shared" si="677"/>
        <v>133.11112775223813</v>
      </c>
      <c r="AA379" s="821">
        <f t="shared" si="677"/>
        <v>138.72264052118032</v>
      </c>
      <c r="AB379" s="347"/>
      <c r="AC379" s="347"/>
      <c r="AD379" s="347"/>
      <c r="AE379" s="347"/>
      <c r="AF379" s="347"/>
      <c r="AG379" s="468"/>
      <c r="AH379" s="468"/>
    </row>
    <row r="380" spans="1:34" s="349" customFormat="1" ht="13">
      <c r="A380" s="870"/>
      <c r="B380" s="407" t="s">
        <v>1074</v>
      </c>
      <c r="C380" s="821">
        <f t="shared" ref="C380:T380" si="678">C61</f>
        <v>0</v>
      </c>
      <c r="D380" s="821">
        <f t="shared" si="678"/>
        <v>0</v>
      </c>
      <c r="E380" s="821">
        <f t="shared" si="678"/>
        <v>0</v>
      </c>
      <c r="F380" s="821">
        <f t="shared" si="678"/>
        <v>-977</v>
      </c>
      <c r="G380" s="821">
        <f t="shared" si="678"/>
        <v>-1035</v>
      </c>
      <c r="H380" s="821">
        <f t="shared" si="678"/>
        <v>-1035</v>
      </c>
      <c r="I380" s="821">
        <f t="shared" si="678"/>
        <v>-357</v>
      </c>
      <c r="J380" s="821">
        <f t="shared" si="678"/>
        <v>179</v>
      </c>
      <c r="K380" s="821">
        <f t="shared" si="678"/>
        <v>605</v>
      </c>
      <c r="L380" s="821">
        <f t="shared" si="678"/>
        <v>190</v>
      </c>
      <c r="M380" s="821">
        <f t="shared" si="678"/>
        <v>1099</v>
      </c>
      <c r="N380" s="821">
        <f t="shared" si="678"/>
        <v>1099</v>
      </c>
      <c r="O380" s="821">
        <f t="shared" si="678"/>
        <v>-432</v>
      </c>
      <c r="P380" s="821">
        <f t="shared" si="678"/>
        <v>225.78900000000027</v>
      </c>
      <c r="Q380" s="821">
        <f t="shared" si="678"/>
        <v>-419.73299999999983</v>
      </c>
      <c r="R380" s="821">
        <f t="shared" si="678"/>
        <v>-231.84199999999987</v>
      </c>
      <c r="S380" s="821">
        <f t="shared" si="678"/>
        <v>-420.06900000000007</v>
      </c>
      <c r="T380" s="821">
        <f t="shared" si="678"/>
        <v>-579.59399999999994</v>
      </c>
      <c r="U380" s="821"/>
      <c r="V380" s="821">
        <f t="shared" ref="V380:AA380" si="679">V61</f>
        <v>716.55429602080062</v>
      </c>
      <c r="W380" s="821">
        <f t="shared" si="679"/>
        <v>-230.98067376252069</v>
      </c>
      <c r="X380" s="821">
        <f t="shared" si="679"/>
        <v>-690.92447582855402</v>
      </c>
      <c r="Y380" s="821">
        <f t="shared" si="679"/>
        <v>-1367.7147642273173</v>
      </c>
      <c r="Z380" s="821">
        <f t="shared" si="679"/>
        <v>-1747.3059378329119</v>
      </c>
      <c r="AA380" s="821">
        <f t="shared" si="679"/>
        <v>-2102.155428607176</v>
      </c>
      <c r="AB380" s="347"/>
      <c r="AC380" s="347"/>
      <c r="AD380" s="347"/>
      <c r="AE380" s="347"/>
      <c r="AF380" s="347"/>
      <c r="AG380" s="468"/>
      <c r="AH380" s="468"/>
    </row>
    <row r="381" spans="1:34" s="349" customFormat="1" ht="13">
      <c r="A381" s="870"/>
      <c r="B381" s="407" t="s">
        <v>1029</v>
      </c>
      <c r="C381" s="821">
        <f t="shared" ref="C381:T381" si="680">-C75</f>
        <v>-6868</v>
      </c>
      <c r="D381" s="821">
        <f t="shared" si="680"/>
        <v>-11382</v>
      </c>
      <c r="E381" s="821">
        <f t="shared" si="680"/>
        <v>-5282.7</v>
      </c>
      <c r="F381" s="821">
        <f t="shared" si="680"/>
        <v>-4848</v>
      </c>
      <c r="G381" s="821">
        <f t="shared" si="680"/>
        <v>-6522</v>
      </c>
      <c r="H381" s="821">
        <f t="shared" si="680"/>
        <v>-10176</v>
      </c>
      <c r="I381" s="821">
        <f t="shared" si="680"/>
        <v>-7394</v>
      </c>
      <c r="J381" s="821">
        <f t="shared" si="680"/>
        <v>-7095</v>
      </c>
      <c r="K381" s="821">
        <f t="shared" si="680"/>
        <v>-4146</v>
      </c>
      <c r="L381" s="821">
        <f t="shared" si="680"/>
        <v>-5584</v>
      </c>
      <c r="M381" s="821">
        <f t="shared" si="680"/>
        <v>-6697</v>
      </c>
      <c r="N381" s="821">
        <f t="shared" si="680"/>
        <v>-6273.7529999999997</v>
      </c>
      <c r="O381" s="821">
        <f t="shared" si="680"/>
        <v>-9096.1370000000006</v>
      </c>
      <c r="P381" s="821">
        <f t="shared" si="680"/>
        <v>-6155</v>
      </c>
      <c r="Q381" s="821">
        <f t="shared" si="680"/>
        <v>-9921</v>
      </c>
      <c r="R381" s="821">
        <f t="shared" si="680"/>
        <v>-9063</v>
      </c>
      <c r="S381" s="821">
        <f t="shared" si="680"/>
        <v>-7158</v>
      </c>
      <c r="T381" s="821">
        <f t="shared" si="680"/>
        <v>-7382</v>
      </c>
      <c r="U381" s="821"/>
      <c r="V381" s="821">
        <f t="shared" ref="V381:AA381" si="681">-V75</f>
        <v>-20387.570799343855</v>
      </c>
      <c r="W381" s="821">
        <f t="shared" si="681"/>
        <v>-10401.935594551464</v>
      </c>
      <c r="X381" s="821">
        <f t="shared" si="681"/>
        <v>-10361.99235565762</v>
      </c>
      <c r="Y381" s="821">
        <f t="shared" si="681"/>
        <v>-10813.115188025306</v>
      </c>
      <c r="Z381" s="821">
        <f t="shared" si="681"/>
        <v>-11283.256908849437</v>
      </c>
      <c r="AA381" s="821">
        <f t="shared" si="681"/>
        <v>-12053.5329260614</v>
      </c>
      <c r="AB381" s="347"/>
      <c r="AC381" s="347"/>
      <c r="AD381" s="347"/>
      <c r="AE381" s="347"/>
      <c r="AF381" s="347"/>
      <c r="AG381" s="468"/>
      <c r="AH381" s="468"/>
    </row>
    <row r="382" spans="1:34" s="349" customFormat="1" ht="13">
      <c r="A382" s="870"/>
      <c r="B382" s="407" t="s">
        <v>1259</v>
      </c>
      <c r="C382" s="821"/>
      <c r="D382" s="821"/>
      <c r="E382" s="821"/>
      <c r="F382" s="821"/>
      <c r="G382" s="821"/>
      <c r="H382" s="821"/>
      <c r="I382" s="821"/>
      <c r="J382" s="821"/>
      <c r="K382" s="821"/>
      <c r="L382" s="821"/>
      <c r="M382" s="821"/>
      <c r="N382" s="821"/>
      <c r="O382" s="821"/>
      <c r="P382" s="821"/>
      <c r="Q382" s="821"/>
      <c r="R382" s="821"/>
      <c r="S382" s="821"/>
      <c r="T382" s="821"/>
      <c r="U382" s="821"/>
      <c r="V382" s="821"/>
      <c r="W382" s="821"/>
      <c r="X382" s="821"/>
      <c r="Y382" s="821"/>
      <c r="Z382" s="821"/>
      <c r="AA382" s="821"/>
      <c r="AB382" s="347"/>
      <c r="AC382" s="347"/>
      <c r="AD382" s="347"/>
      <c r="AE382" s="347"/>
      <c r="AF382" s="347"/>
      <c r="AG382" s="468"/>
      <c r="AH382" s="468"/>
    </row>
    <row r="383" spans="1:34" s="349" customFormat="1" ht="13">
      <c r="A383" s="870"/>
      <c r="B383" s="407" t="s">
        <v>1260</v>
      </c>
      <c r="C383" s="821"/>
      <c r="D383" s="821"/>
      <c r="E383" s="821"/>
      <c r="F383" s="821"/>
      <c r="G383" s="821"/>
      <c r="H383" s="821"/>
      <c r="I383" s="821"/>
      <c r="J383" s="821"/>
      <c r="K383" s="821"/>
      <c r="L383" s="821"/>
      <c r="M383" s="821"/>
      <c r="N383" s="821"/>
      <c r="O383" s="821"/>
      <c r="P383" s="821"/>
      <c r="Q383" s="821"/>
      <c r="R383" s="821"/>
      <c r="S383" s="821"/>
      <c r="T383" s="821"/>
      <c r="U383" s="821"/>
      <c r="V383" s="821"/>
      <c r="W383" s="821"/>
      <c r="X383" s="821"/>
      <c r="Y383" s="821"/>
      <c r="Z383" s="821"/>
      <c r="AA383" s="821"/>
      <c r="AB383" s="347"/>
      <c r="AC383" s="347" t="s">
        <v>1269</v>
      </c>
      <c r="AD383" s="347"/>
      <c r="AE383" s="347"/>
      <c r="AF383" s="347"/>
      <c r="AG383" s="468"/>
      <c r="AH383" s="468"/>
    </row>
    <row r="384" spans="1:34" s="349" customFormat="1" ht="13">
      <c r="A384" s="870"/>
      <c r="B384" s="407" t="s">
        <v>501</v>
      </c>
      <c r="C384" s="821"/>
      <c r="D384" s="821"/>
      <c r="E384" s="821"/>
      <c r="F384" s="821"/>
      <c r="G384" s="821"/>
      <c r="H384" s="821"/>
      <c r="I384" s="821"/>
      <c r="J384" s="821"/>
      <c r="K384" s="821"/>
      <c r="L384" s="821"/>
      <c r="M384" s="821"/>
      <c r="N384" s="821"/>
      <c r="O384" s="821"/>
      <c r="P384" s="821"/>
      <c r="Q384" s="821"/>
      <c r="R384" s="821"/>
      <c r="S384" s="821"/>
      <c r="T384" s="821"/>
      <c r="U384" s="821"/>
      <c r="V384" s="821"/>
      <c r="W384" s="821"/>
      <c r="X384" s="821"/>
      <c r="Y384" s="821"/>
      <c r="Z384" s="821"/>
      <c r="AA384" s="821"/>
      <c r="AB384" s="347"/>
      <c r="AC384" s="347"/>
      <c r="AD384" s="347"/>
      <c r="AE384" s="347"/>
      <c r="AF384" s="347"/>
      <c r="AG384" s="468"/>
      <c r="AH384" s="468"/>
    </row>
    <row r="385" spans="1:39" s="399" customFormat="1" ht="13">
      <c r="A385" s="872"/>
      <c r="B385" s="462" t="s">
        <v>1075</v>
      </c>
      <c r="C385" s="1030">
        <f>SUM(C378:C384)</f>
        <v>-3359</v>
      </c>
      <c r="D385" s="1030">
        <f t="shared" ref="D385:AA385" si="682">SUM(D378:D384)</f>
        <v>-6250</v>
      </c>
      <c r="E385" s="1030">
        <f t="shared" si="682"/>
        <v>922.30000000000018</v>
      </c>
      <c r="F385" s="1030">
        <f t="shared" si="682"/>
        <v>3403</v>
      </c>
      <c r="G385" s="1030">
        <f t="shared" si="682"/>
        <v>2657</v>
      </c>
      <c r="H385" s="1030">
        <f t="shared" si="682"/>
        <v>-2128</v>
      </c>
      <c r="I385" s="1030">
        <f t="shared" si="682"/>
        <v>-163</v>
      </c>
      <c r="J385" s="1030">
        <f t="shared" si="682"/>
        <v>12837</v>
      </c>
      <c r="K385" s="1030">
        <f t="shared" si="682"/>
        <v>-5546</v>
      </c>
      <c r="L385" s="1030">
        <f t="shared" si="682"/>
        <v>2505</v>
      </c>
      <c r="M385" s="1030">
        <f t="shared" si="682"/>
        <v>3931</v>
      </c>
      <c r="N385" s="1030">
        <f t="shared" si="682"/>
        <v>4195.1449999999995</v>
      </c>
      <c r="O385" s="1030">
        <f t="shared" si="682"/>
        <v>-788.48899999999958</v>
      </c>
      <c r="P385" s="1030">
        <f t="shared" si="682"/>
        <v>6599.17</v>
      </c>
      <c r="Q385" s="1030">
        <f t="shared" si="682"/>
        <v>5635.1869999999981</v>
      </c>
      <c r="R385" s="1030">
        <f t="shared" si="682"/>
        <v>5263.5910000000003</v>
      </c>
      <c r="S385" s="1030">
        <f t="shared" si="682"/>
        <v>5601.3140000000021</v>
      </c>
      <c r="T385" s="1030">
        <f t="shared" si="682"/>
        <v>8162.896999999999</v>
      </c>
      <c r="U385" s="1030"/>
      <c r="V385" s="1030">
        <f t="shared" si="682"/>
        <v>-642.67475085355545</v>
      </c>
      <c r="W385" s="1030">
        <f t="shared" si="682"/>
        <v>11679.022595521479</v>
      </c>
      <c r="X385" s="1030">
        <f t="shared" si="682"/>
        <v>13336.452248114625</v>
      </c>
      <c r="Y385" s="1030">
        <f t="shared" si="682"/>
        <v>14567.756133986033</v>
      </c>
      <c r="Z385" s="1030">
        <f t="shared" si="682"/>
        <v>15042.041579173254</v>
      </c>
      <c r="AA385" s="1030">
        <f t="shared" si="682"/>
        <v>15303.953915294986</v>
      </c>
      <c r="AB385" s="364"/>
      <c r="AC385" s="364"/>
      <c r="AD385" s="364"/>
      <c r="AE385" s="364"/>
      <c r="AF385" s="364"/>
      <c r="AG385" s="1031"/>
      <c r="AH385" s="1031"/>
    </row>
    <row r="386" spans="1:39" s="349" customFormat="1" ht="13">
      <c r="A386" s="870"/>
      <c r="B386" s="407" t="s">
        <v>1076</v>
      </c>
      <c r="C386" s="821">
        <f t="shared" ref="C386:T386" si="683">C60</f>
        <v>-643</v>
      </c>
      <c r="D386" s="821">
        <f t="shared" si="683"/>
        <v>-1094</v>
      </c>
      <c r="E386" s="821">
        <f t="shared" si="683"/>
        <v>-1218.3</v>
      </c>
      <c r="F386" s="821">
        <f t="shared" si="683"/>
        <v>-780</v>
      </c>
      <c r="G386" s="821">
        <f t="shared" si="683"/>
        <v>-580</v>
      </c>
      <c r="H386" s="821">
        <f t="shared" si="683"/>
        <v>-601</v>
      </c>
      <c r="I386" s="821">
        <f t="shared" si="683"/>
        <v>-293</v>
      </c>
      <c r="J386" s="821">
        <f t="shared" si="683"/>
        <v>-1346</v>
      </c>
      <c r="K386" s="821">
        <f t="shared" si="683"/>
        <v>-1466</v>
      </c>
      <c r="L386" s="821">
        <f t="shared" si="683"/>
        <v>-1080</v>
      </c>
      <c r="M386" s="821">
        <f t="shared" si="683"/>
        <v>-1295</v>
      </c>
      <c r="N386" s="821">
        <f t="shared" si="683"/>
        <v>-1258.701</v>
      </c>
      <c r="O386" s="821">
        <f t="shared" si="683"/>
        <v>-2131.413</v>
      </c>
      <c r="P386" s="821">
        <f t="shared" si="683"/>
        <v>-2485.2670000000003</v>
      </c>
      <c r="Q386" s="821">
        <f t="shared" si="683"/>
        <v>-2290.471</v>
      </c>
      <c r="R386" s="821">
        <f t="shared" si="683"/>
        <v>-2664.9569999999999</v>
      </c>
      <c r="S386" s="821">
        <f t="shared" si="683"/>
        <v>-2839.8829999999998</v>
      </c>
      <c r="T386" s="821">
        <f t="shared" si="683"/>
        <v>-3032.5460000000003</v>
      </c>
      <c r="U386" s="821"/>
      <c r="V386" s="821">
        <f t="shared" ref="V386:AA386" si="684">V60</f>
        <v>-3085.2438688735665</v>
      </c>
      <c r="W386" s="821">
        <f t="shared" si="684"/>
        <v>-4102.6764453690657</v>
      </c>
      <c r="X386" s="821">
        <f t="shared" si="684"/>
        <v>-4815.4847906609348</v>
      </c>
      <c r="Y386" s="821">
        <f t="shared" si="684"/>
        <v>-4633.3604535720533</v>
      </c>
      <c r="Z386" s="821">
        <f t="shared" si="684"/>
        <v>-4454.8104787029542</v>
      </c>
      <c r="AA386" s="821">
        <f t="shared" si="684"/>
        <v>-4276.9060807905635</v>
      </c>
      <c r="AB386" s="347"/>
      <c r="AC386" s="347"/>
      <c r="AD386" s="347"/>
      <c r="AE386" s="347"/>
      <c r="AF386" s="347"/>
      <c r="AG386" s="468"/>
      <c r="AH386" s="468"/>
    </row>
    <row r="387" spans="1:39" s="349" customFormat="1" ht="13">
      <c r="A387" s="870"/>
      <c r="B387" s="407" t="s">
        <v>1077</v>
      </c>
      <c r="C387" s="821">
        <f t="shared" ref="C387:T387" si="685">C59</f>
        <v>0</v>
      </c>
      <c r="D387" s="821">
        <f t="shared" si="685"/>
        <v>0</v>
      </c>
      <c r="E387" s="821">
        <f t="shared" si="685"/>
        <v>0</v>
      </c>
      <c r="F387" s="821">
        <f t="shared" si="685"/>
        <v>0</v>
      </c>
      <c r="G387" s="821">
        <f t="shared" si="685"/>
        <v>0</v>
      </c>
      <c r="H387" s="821">
        <f t="shared" si="685"/>
        <v>0</v>
      </c>
      <c r="I387" s="821">
        <f t="shared" si="685"/>
        <v>0</v>
      </c>
      <c r="J387" s="821">
        <f t="shared" si="685"/>
        <v>0</v>
      </c>
      <c r="K387" s="821">
        <f t="shared" si="685"/>
        <v>0</v>
      </c>
      <c r="L387" s="821">
        <f t="shared" si="685"/>
        <v>0</v>
      </c>
      <c r="M387" s="821">
        <f t="shared" si="685"/>
        <v>0</v>
      </c>
      <c r="N387" s="821">
        <f t="shared" si="685"/>
        <v>0</v>
      </c>
      <c r="O387" s="821">
        <f t="shared" si="685"/>
        <v>0</v>
      </c>
      <c r="P387" s="821">
        <f t="shared" si="685"/>
        <v>0</v>
      </c>
      <c r="Q387" s="821">
        <f t="shared" si="685"/>
        <v>-3474.7179999999998</v>
      </c>
      <c r="R387" s="821">
        <f t="shared" si="685"/>
        <v>-4162.4189999999999</v>
      </c>
      <c r="S387" s="821">
        <f t="shared" si="685"/>
        <v>-4327.2470000000003</v>
      </c>
      <c r="T387" s="821">
        <f t="shared" si="685"/>
        <v>-4748.17</v>
      </c>
      <c r="U387" s="821"/>
      <c r="V387" s="821">
        <f t="shared" ref="V387:AA387" si="686">V59</f>
        <v>-5864.0567080431802</v>
      </c>
      <c r="W387" s="821">
        <f t="shared" si="686"/>
        <v>-6527.778300028217</v>
      </c>
      <c r="X387" s="821">
        <f t="shared" si="686"/>
        <v>-6812.3646935869438</v>
      </c>
      <c r="Y387" s="821">
        <f t="shared" si="686"/>
        <v>-7108.9498627522735</v>
      </c>
      <c r="Z387" s="821">
        <f t="shared" si="686"/>
        <v>-7418.0387666999595</v>
      </c>
      <c r="AA387" s="821">
        <f t="shared" si="686"/>
        <v>-7740.1578084019357</v>
      </c>
      <c r="AB387" s="347"/>
      <c r="AC387" s="347"/>
      <c r="AD387" s="347"/>
      <c r="AE387" s="347"/>
      <c r="AF387" s="347"/>
      <c r="AG387" s="468"/>
      <c r="AH387" s="468"/>
    </row>
    <row r="388" spans="1:39" s="349" customFormat="1" ht="13">
      <c r="A388" s="870"/>
      <c r="B388" s="462" t="s">
        <v>1261</v>
      </c>
      <c r="C388" s="1030">
        <f>SUM(C385:C387)</f>
        <v>-4002</v>
      </c>
      <c r="D388" s="1030">
        <f t="shared" ref="D388:AA388" si="687">SUM(D385:D387)</f>
        <v>-7344</v>
      </c>
      <c r="E388" s="1030">
        <f t="shared" si="687"/>
        <v>-295.99999999999977</v>
      </c>
      <c r="F388" s="1030">
        <f t="shared" si="687"/>
        <v>2623</v>
      </c>
      <c r="G388" s="1030">
        <f t="shared" si="687"/>
        <v>2077</v>
      </c>
      <c r="H388" s="1030">
        <f t="shared" si="687"/>
        <v>-2729</v>
      </c>
      <c r="I388" s="1030">
        <f t="shared" si="687"/>
        <v>-456</v>
      </c>
      <c r="J388" s="1030">
        <f t="shared" si="687"/>
        <v>11491</v>
      </c>
      <c r="K388" s="1030">
        <f t="shared" si="687"/>
        <v>-7012</v>
      </c>
      <c r="L388" s="1030">
        <f t="shared" si="687"/>
        <v>1425</v>
      </c>
      <c r="M388" s="1030">
        <f t="shared" si="687"/>
        <v>2636</v>
      </c>
      <c r="N388" s="1030">
        <f t="shared" si="687"/>
        <v>2936.4439999999995</v>
      </c>
      <c r="O388" s="1030">
        <f t="shared" si="687"/>
        <v>-2919.9019999999996</v>
      </c>
      <c r="P388" s="1030">
        <f t="shared" si="687"/>
        <v>4113.9030000000002</v>
      </c>
      <c r="Q388" s="1030">
        <f t="shared" si="687"/>
        <v>-130.00200000000177</v>
      </c>
      <c r="R388" s="1030">
        <f t="shared" si="687"/>
        <v>-1563.7849999999994</v>
      </c>
      <c r="S388" s="1030">
        <f t="shared" si="687"/>
        <v>-1565.815999999998</v>
      </c>
      <c r="T388" s="1030">
        <f t="shared" si="687"/>
        <v>382.18099999999868</v>
      </c>
      <c r="U388" s="1030"/>
      <c r="V388" s="1030">
        <f t="shared" si="687"/>
        <v>-9591.9753277703021</v>
      </c>
      <c r="W388" s="1030">
        <f t="shared" si="687"/>
        <v>1048.5678501241964</v>
      </c>
      <c r="X388" s="1030">
        <f t="shared" si="687"/>
        <v>1708.6027638667474</v>
      </c>
      <c r="Y388" s="1030">
        <f t="shared" si="687"/>
        <v>2825.4458176617063</v>
      </c>
      <c r="Z388" s="1030">
        <f t="shared" si="687"/>
        <v>3169.1923337703411</v>
      </c>
      <c r="AA388" s="1030">
        <f t="shared" si="687"/>
        <v>3286.8900261024855</v>
      </c>
      <c r="AB388" s="347"/>
      <c r="AC388" s="347"/>
      <c r="AD388" s="347"/>
      <c r="AE388" s="347"/>
      <c r="AF388" s="347"/>
      <c r="AG388" s="468"/>
      <c r="AH388" s="468"/>
    </row>
    <row r="389" spans="1:39" s="349" customFormat="1" ht="13">
      <c r="A389" s="870"/>
      <c r="B389" s="407" t="s">
        <v>1078</v>
      </c>
      <c r="C389" s="821"/>
      <c r="D389" s="821"/>
      <c r="E389" s="821"/>
      <c r="F389" s="821"/>
      <c r="G389" s="821"/>
      <c r="H389" s="821"/>
      <c r="I389" s="821"/>
      <c r="J389" s="821"/>
      <c r="K389" s="821"/>
      <c r="L389" s="821"/>
      <c r="M389" s="821"/>
      <c r="N389" s="821"/>
      <c r="O389" s="821"/>
      <c r="P389" s="821"/>
      <c r="Q389" s="821"/>
      <c r="R389" s="821"/>
      <c r="S389" s="821"/>
      <c r="T389" s="821">
        <f>T67</f>
        <v>0</v>
      </c>
      <c r="U389" s="821"/>
      <c r="V389" s="821">
        <f t="shared" ref="V389:AA389" si="688">V67</f>
        <v>0</v>
      </c>
      <c r="W389" s="821">
        <f t="shared" si="688"/>
        <v>-742.25454545454534</v>
      </c>
      <c r="X389" s="821">
        <f t="shared" si="688"/>
        <v>-742.25454545454534</v>
      </c>
      <c r="Y389" s="821">
        <f t="shared" si="688"/>
        <v>-742.25454545454534</v>
      </c>
      <c r="Z389" s="821">
        <f t="shared" si="688"/>
        <v>-742.25454545454534</v>
      </c>
      <c r="AA389" s="821">
        <f t="shared" si="688"/>
        <v>-742.25454545454534</v>
      </c>
      <c r="AB389" s="347"/>
      <c r="AC389" s="347"/>
      <c r="AD389" s="347"/>
      <c r="AE389" s="347"/>
      <c r="AF389" s="347"/>
      <c r="AG389" s="468"/>
      <c r="AH389" s="468"/>
    </row>
    <row r="390" spans="1:39" s="349" customFormat="1" ht="13">
      <c r="A390" s="870"/>
      <c r="B390" s="483" t="s">
        <v>1079</v>
      </c>
      <c r="C390" s="1032">
        <f>C388+C389</f>
        <v>-4002</v>
      </c>
      <c r="D390" s="1032">
        <f t="shared" ref="D390:AA390" si="689">D388+D389</f>
        <v>-7344</v>
      </c>
      <c r="E390" s="1032">
        <f t="shared" si="689"/>
        <v>-295.99999999999977</v>
      </c>
      <c r="F390" s="1032">
        <f t="shared" si="689"/>
        <v>2623</v>
      </c>
      <c r="G390" s="1032">
        <f t="shared" si="689"/>
        <v>2077</v>
      </c>
      <c r="H390" s="1032">
        <f t="shared" si="689"/>
        <v>-2729</v>
      </c>
      <c r="I390" s="1032">
        <f t="shared" si="689"/>
        <v>-456</v>
      </c>
      <c r="J390" s="1032">
        <f t="shared" si="689"/>
        <v>11491</v>
      </c>
      <c r="K390" s="1032">
        <f t="shared" si="689"/>
        <v>-7012</v>
      </c>
      <c r="L390" s="1032">
        <f t="shared" si="689"/>
        <v>1425</v>
      </c>
      <c r="M390" s="1032">
        <f t="shared" si="689"/>
        <v>2636</v>
      </c>
      <c r="N390" s="1032">
        <f t="shared" si="689"/>
        <v>2936.4439999999995</v>
      </c>
      <c r="O390" s="1032">
        <f t="shared" si="689"/>
        <v>-2919.9019999999996</v>
      </c>
      <c r="P390" s="1032">
        <f t="shared" si="689"/>
        <v>4113.9030000000002</v>
      </c>
      <c r="Q390" s="1032">
        <f t="shared" si="689"/>
        <v>-130.00200000000177</v>
      </c>
      <c r="R390" s="1032">
        <f t="shared" si="689"/>
        <v>-1563.7849999999994</v>
      </c>
      <c r="S390" s="1032">
        <f t="shared" si="689"/>
        <v>-1565.815999999998</v>
      </c>
      <c r="T390" s="1032">
        <f t="shared" si="689"/>
        <v>382.18099999999868</v>
      </c>
      <c r="U390" s="1032"/>
      <c r="V390" s="1032">
        <f t="shared" si="689"/>
        <v>-9591.9753277703021</v>
      </c>
      <c r="W390" s="1032">
        <f t="shared" si="689"/>
        <v>306.31330466965107</v>
      </c>
      <c r="X390" s="1032">
        <f t="shared" si="689"/>
        <v>966.34821841220207</v>
      </c>
      <c r="Y390" s="1032">
        <f t="shared" si="689"/>
        <v>2083.1912722071611</v>
      </c>
      <c r="Z390" s="1032">
        <f t="shared" si="689"/>
        <v>2426.9377883157958</v>
      </c>
      <c r="AA390" s="1032">
        <f t="shared" si="689"/>
        <v>2544.6354806479403</v>
      </c>
      <c r="AB390" s="347"/>
      <c r="AC390" s="347"/>
      <c r="AD390" s="347"/>
      <c r="AE390" s="347"/>
      <c r="AF390" s="347"/>
      <c r="AG390" s="468"/>
      <c r="AH390" s="468"/>
    </row>
    <row r="391" spans="1:39" s="349" customFormat="1" ht="13">
      <c r="A391" s="870"/>
      <c r="B391" s="407"/>
      <c r="C391" s="821"/>
      <c r="D391" s="821"/>
      <c r="E391" s="821"/>
      <c r="F391" s="821"/>
      <c r="G391" s="821"/>
      <c r="H391" s="821"/>
      <c r="I391" s="821"/>
      <c r="J391" s="821"/>
      <c r="K391" s="821"/>
      <c r="L391" s="821"/>
      <c r="M391" s="821"/>
      <c r="N391" s="821"/>
      <c r="O391" s="821"/>
      <c r="P391" s="821"/>
      <c r="Q391" s="821"/>
      <c r="R391" s="821"/>
      <c r="S391" s="821"/>
      <c r="T391" s="821"/>
      <c r="U391" s="821"/>
      <c r="V391" s="821"/>
      <c r="W391" s="821"/>
      <c r="X391" s="821"/>
      <c r="Y391" s="821"/>
      <c r="Z391" s="821"/>
      <c r="AA391" s="821"/>
      <c r="AB391" s="347"/>
      <c r="AC391" s="347"/>
      <c r="AD391" s="347"/>
      <c r="AE391" s="347"/>
      <c r="AF391" s="347"/>
      <c r="AG391" s="468"/>
      <c r="AH391" s="468"/>
    </row>
    <row r="392" spans="1:39" s="349" customFormat="1" ht="13">
      <c r="A392" s="870"/>
      <c r="B392" s="407" t="s">
        <v>204</v>
      </c>
      <c r="C392" s="821"/>
      <c r="D392" s="821"/>
      <c r="E392" s="821"/>
      <c r="F392" s="821"/>
      <c r="G392" s="821"/>
      <c r="H392" s="821"/>
      <c r="I392" s="821"/>
      <c r="J392" s="821"/>
      <c r="K392" s="821"/>
      <c r="L392" s="821"/>
      <c r="M392" s="821">
        <f t="shared" ref="M392:T392" si="690">-M65</f>
        <v>0</v>
      </c>
      <c r="N392" s="821">
        <f t="shared" si="690"/>
        <v>0</v>
      </c>
      <c r="O392" s="821">
        <f t="shared" si="690"/>
        <v>0</v>
      </c>
      <c r="P392" s="821">
        <f t="shared" si="690"/>
        <v>213.024</v>
      </c>
      <c r="Q392" s="821">
        <f t="shared" si="690"/>
        <v>0</v>
      </c>
      <c r="R392" s="821">
        <f t="shared" si="690"/>
        <v>544.07799999999997</v>
      </c>
      <c r="S392" s="821">
        <f t="shared" si="690"/>
        <v>549.02300000000002</v>
      </c>
      <c r="T392" s="821">
        <f t="shared" si="690"/>
        <v>646.346</v>
      </c>
      <c r="U392" s="821"/>
      <c r="V392" s="821">
        <f>'Income Statement'!CO284*'Income Statement'!CO281/1000</f>
        <v>0</v>
      </c>
      <c r="W392" s="821">
        <f>'Income Statement'!CP284*'Income Statement'!CP281/1000</f>
        <v>0</v>
      </c>
      <c r="X392" s="821">
        <f>'Income Statement'!CQ284*'Income Statement'!CQ281/1000</f>
        <v>1101.2652651680201</v>
      </c>
      <c r="Y392" s="821">
        <f>'Income Statement'!CR284*'Income Statement'!CR281/1000</f>
        <v>2180.0020337892402</v>
      </c>
      <c r="Z392" s="821">
        <f>'Income Statement'!CS284*'Income Statement'!CS281/1000</f>
        <v>2785.032813680059</v>
      </c>
      <c r="AA392" s="821">
        <f>'Income Statement'!CT284*'Income Statement'!CT281/1000</f>
        <v>3350.6277986943483</v>
      </c>
      <c r="AB392" s="347"/>
      <c r="AC392" s="347"/>
      <c r="AD392" s="347"/>
      <c r="AE392" s="347"/>
      <c r="AF392" s="347"/>
      <c r="AG392" s="468"/>
      <c r="AH392" s="468"/>
    </row>
    <row r="393" spans="1:39" s="349" customFormat="1" ht="13">
      <c r="A393" s="870"/>
      <c r="B393" s="407" t="s">
        <v>1262</v>
      </c>
      <c r="C393" s="821"/>
      <c r="D393" s="821"/>
      <c r="E393" s="821"/>
      <c r="F393" s="821"/>
      <c r="G393" s="821"/>
      <c r="H393" s="821"/>
      <c r="I393" s="821"/>
      <c r="J393" s="821"/>
      <c r="K393" s="821"/>
      <c r="L393" s="821"/>
      <c r="M393" s="821"/>
      <c r="N393" s="821"/>
      <c r="O393" s="821"/>
      <c r="P393" s="821"/>
      <c r="Q393" s="821"/>
      <c r="R393" s="821"/>
      <c r="S393" s="821"/>
      <c r="T393" s="821"/>
      <c r="U393" s="821"/>
      <c r="V393" s="821"/>
      <c r="W393" s="821"/>
      <c r="X393" s="821"/>
      <c r="Y393" s="821"/>
      <c r="Z393" s="821"/>
      <c r="AA393" s="821"/>
      <c r="AB393" s="347"/>
      <c r="AC393" s="347"/>
      <c r="AD393" s="347"/>
      <c r="AE393" s="347"/>
      <c r="AF393" s="347"/>
      <c r="AG393" s="468"/>
      <c r="AH393" s="468"/>
    </row>
    <row r="394" spans="1:39" s="349" customFormat="1" ht="13">
      <c r="A394" s="870"/>
      <c r="B394" s="407"/>
      <c r="C394" s="654"/>
      <c r="D394" s="654"/>
      <c r="E394" s="654"/>
      <c r="F394" s="654"/>
      <c r="G394" s="654"/>
      <c r="H394" s="654"/>
      <c r="I394" s="654"/>
      <c r="J394" s="654"/>
      <c r="K394" s="654"/>
      <c r="L394" s="654"/>
      <c r="M394" s="654"/>
      <c r="N394" s="654"/>
      <c r="O394" s="654"/>
      <c r="P394" s="654"/>
      <c r="Q394" s="654"/>
      <c r="R394" s="654"/>
      <c r="S394" s="654"/>
      <c r="T394" s="654"/>
      <c r="U394" s="654"/>
      <c r="V394" s="654"/>
      <c r="W394" s="654"/>
      <c r="X394" s="654"/>
      <c r="Y394" s="654"/>
      <c r="Z394" s="654"/>
      <c r="AA394" s="654"/>
      <c r="AB394" s="347"/>
      <c r="AC394" s="347"/>
      <c r="AD394" s="347"/>
      <c r="AE394" s="347"/>
      <c r="AF394" s="347"/>
      <c r="AG394" s="468"/>
      <c r="AH394" s="468"/>
    </row>
    <row r="395" spans="1:39" s="349" customFormat="1" ht="13">
      <c r="A395" s="870"/>
      <c r="B395" s="407" t="s">
        <v>1265</v>
      </c>
      <c r="C395" s="654">
        <f>IFERROR(C390/DCF!$B$53,"")</f>
        <v>-5.9990672636997061E-2</v>
      </c>
      <c r="D395" s="633">
        <f>IFERROR(D390/DCF!$B$53,"")</f>
        <v>-0.1100878310460036</v>
      </c>
      <c r="E395" s="633">
        <f>IFERROR(E390/DCF!$B$53,"")</f>
        <v>-4.4370912295230176E-3</v>
      </c>
      <c r="F395" s="633">
        <f>IFERROR(F390/DCF!$B$53,"")</f>
        <v>3.931922396972596E-2</v>
      </c>
      <c r="G395" s="633">
        <f>IFERROR(G390/DCF!$B$53,"")</f>
        <v>3.1134589472024712E-2</v>
      </c>
      <c r="H395" s="633">
        <f>IFERROR(H390/DCF!$B$53,"")</f>
        <v>-4.0908182315433528E-2</v>
      </c>
      <c r="I395" s="633">
        <f>IFERROR(I390/DCF!$B$53,"")</f>
        <v>-6.8355189211570869E-3</v>
      </c>
      <c r="J395" s="633">
        <f>IFERROR(J390/DCF!$B$53,"")</f>
        <v>0.17225207877854404</v>
      </c>
      <c r="K395" s="633">
        <f>IFERROR(K390/DCF!$B$53,"")</f>
        <v>-0.10511109358586292</v>
      </c>
      <c r="L395" s="633">
        <f>IFERROR(L390/DCF!$B$53,"")</f>
        <v>2.1360996628615896E-2</v>
      </c>
      <c r="M395" s="633">
        <f>IFERROR(M390/DCF!$B$53,"")</f>
        <v>3.9514096219671231E-2</v>
      </c>
      <c r="N395" s="633">
        <f>IFERROR(N390/DCF!$B$53,"")</f>
        <v>4.4017803778329381E-2</v>
      </c>
      <c r="O395" s="633">
        <f>IFERROR(O390/DCF!$B$53,"")</f>
        <v>-4.3769836335360565E-2</v>
      </c>
      <c r="P395" s="633">
        <f>IFERROR(P390/DCF!$B$53,"")</f>
        <v>6.1668117974352857E-2</v>
      </c>
      <c r="Q395" s="633">
        <f>IFERROR(Q390/DCF!$B$53,"")</f>
        <v>-1.9487524797988502E-3</v>
      </c>
      <c r="R395" s="633">
        <f>IFERROR(R390/DCF!$B$53,"")</f>
        <v>-2.3441407798512347E-2</v>
      </c>
      <c r="S395" s="633">
        <f>IFERROR(S390/DCF!$B$53,"")</f>
        <v>-2.3471852840023007E-2</v>
      </c>
      <c r="T395" s="633">
        <f>IFERROR(T390/DCF!$B$53,"")</f>
        <v>5.7289593351024723E-3</v>
      </c>
      <c r="U395" s="633"/>
      <c r="V395" s="633">
        <f>IFERROR(V390/DCF!$B$53,"")</f>
        <v>-0.14378537027246896</v>
      </c>
      <c r="W395" s="633">
        <f>IFERROR(W390/DCF!$B$53,"")</f>
        <v>4.5916894514727085E-3</v>
      </c>
      <c r="X395" s="633">
        <f>IFERROR(X390/DCF!$B$53,"")</f>
        <v>1.4485727042506684E-2</v>
      </c>
      <c r="Y395" s="633">
        <f>IFERROR(Y390/DCF!$B$53,"")</f>
        <v>3.1227397713950333E-2</v>
      </c>
      <c r="Z395" s="633">
        <f>IFERROR(Z390/DCF!$B$53,"")</f>
        <v>3.6380217483560864E-2</v>
      </c>
      <c r="AA395" s="633">
        <f>IFERROR(AA390/DCF!$B$53,"")</f>
        <v>3.8144526261878628E-2</v>
      </c>
      <c r="AB395" s="347"/>
      <c r="AC395" s="347"/>
      <c r="AD395" s="347"/>
      <c r="AE395" s="347"/>
      <c r="AF395" s="347"/>
      <c r="AG395" s="468"/>
      <c r="AH395" s="468"/>
    </row>
    <row r="396" spans="1:39" s="349" customFormat="1" ht="13">
      <c r="A396" s="870"/>
      <c r="B396" s="407" t="s">
        <v>1266</v>
      </c>
      <c r="C396" s="654">
        <f>IFERROR(C392/DCF!$B$53,"")</f>
        <v>0</v>
      </c>
      <c r="D396" s="633">
        <f>IFERROR(D392/DCF!$B$53,"")</f>
        <v>0</v>
      </c>
      <c r="E396" s="633">
        <f>IFERROR(E392/DCF!$B$53,"")</f>
        <v>0</v>
      </c>
      <c r="F396" s="633">
        <f>IFERROR(F392/DCF!$B$53,"")</f>
        <v>0</v>
      </c>
      <c r="G396" s="633">
        <f>IFERROR(G392/DCF!$B$53,"")</f>
        <v>0</v>
      </c>
      <c r="H396" s="633">
        <f>IFERROR(H392/DCF!$B$53,"")</f>
        <v>0</v>
      </c>
      <c r="I396" s="633">
        <f>IFERROR(I392/DCF!$B$53,"")</f>
        <v>0</v>
      </c>
      <c r="J396" s="633">
        <f>IFERROR(J392/DCF!$B$53,"")</f>
        <v>0</v>
      </c>
      <c r="K396" s="633">
        <f>IFERROR(K392/DCF!$B$53,"")</f>
        <v>0</v>
      </c>
      <c r="L396" s="633">
        <f>IFERROR(L392/DCF!$B$53,"")</f>
        <v>0</v>
      </c>
      <c r="M396" s="633">
        <f>IFERROR(M392/DCF!$B$53,"")</f>
        <v>0</v>
      </c>
      <c r="N396" s="633">
        <f>IFERROR(N392/DCF!$B$53,"")</f>
        <v>0</v>
      </c>
      <c r="O396" s="633">
        <f>IFERROR(O392/DCF!$B$53,"")</f>
        <v>0</v>
      </c>
      <c r="P396" s="633">
        <f>IFERROR(P392/DCF!$B$53,"")</f>
        <v>3.1932666286415947E-3</v>
      </c>
      <c r="Q396" s="633">
        <f>IFERROR(Q392/DCF!$B$53,"")</f>
        <v>0</v>
      </c>
      <c r="R396" s="633">
        <f>IFERROR(R392/DCF!$B$53,"")</f>
        <v>8.155823385055494E-3</v>
      </c>
      <c r="S396" s="633">
        <f>IFERROR(S392/DCF!$B$53,"")</f>
        <v>8.2299497909000593E-3</v>
      </c>
      <c r="T396" s="633">
        <f>IFERROR(T392/DCF!$B$53,"")</f>
        <v>9.6888384048556975E-3</v>
      </c>
      <c r="U396" s="633"/>
      <c r="V396" s="633">
        <f>IFERROR(V392/DCF!$B$53,"")</f>
        <v>0</v>
      </c>
      <c r="W396" s="633">
        <f>IFERROR(W392/DCF!$B$53,"")</f>
        <v>0</v>
      </c>
      <c r="X396" s="633">
        <f>IFERROR(X392/DCF!$B$53,"")</f>
        <v>1.6508156923835695E-2</v>
      </c>
      <c r="Y396" s="633">
        <f>IFERROR(Y392/DCF!$B$53,"")</f>
        <v>3.2678607785366846E-2</v>
      </c>
      <c r="Z396" s="633">
        <f>IFERROR(Z392/DCF!$B$53,"")</f>
        <v>4.1748123890248692E-2</v>
      </c>
      <c r="AA396" s="633">
        <f>IFERROR(AA392/DCF!$B$53,"")</f>
        <v>5.0226490604671346E-2</v>
      </c>
      <c r="AB396" s="347"/>
      <c r="AC396" s="347"/>
      <c r="AD396" s="347"/>
      <c r="AE396" s="347"/>
      <c r="AF396" s="347"/>
      <c r="AG396" s="468"/>
      <c r="AH396" s="468"/>
    </row>
    <row r="397" spans="1:39" s="349" customFormat="1" ht="13">
      <c r="A397" s="870"/>
      <c r="B397" s="457"/>
      <c r="C397" s="655"/>
      <c r="D397" s="655"/>
      <c r="E397" s="655"/>
      <c r="F397" s="655"/>
      <c r="G397" s="655"/>
      <c r="H397" s="655"/>
      <c r="I397" s="655"/>
      <c r="J397" s="655"/>
      <c r="K397" s="655"/>
      <c r="L397" s="655"/>
      <c r="M397" s="655"/>
      <c r="N397" s="655"/>
      <c r="O397" s="655"/>
      <c r="P397" s="655"/>
      <c r="Q397" s="655"/>
      <c r="R397" s="655"/>
      <c r="S397" s="655"/>
      <c r="T397" s="655"/>
      <c r="U397" s="655"/>
      <c r="V397" s="655"/>
      <c r="W397" s="655"/>
      <c r="X397" s="655"/>
      <c r="Y397" s="655"/>
      <c r="Z397" s="655"/>
      <c r="AA397" s="655"/>
      <c r="AB397" s="347"/>
      <c r="AC397" s="347"/>
      <c r="AD397" s="347"/>
      <c r="AE397" s="347"/>
      <c r="AF397" s="347"/>
      <c r="AG397" s="468"/>
      <c r="AH397" s="468"/>
    </row>
    <row r="398" spans="1:39" s="349" customFormat="1" ht="13">
      <c r="A398" s="870"/>
      <c r="B398" s="656"/>
      <c r="C398" s="485">
        <f>C$2</f>
        <v>2007</v>
      </c>
      <c r="D398" s="383">
        <f t="shared" ref="D398:S398" si="691">C398+1</f>
        <v>2008</v>
      </c>
      <c r="E398" s="383">
        <f t="shared" si="691"/>
        <v>2009</v>
      </c>
      <c r="F398" s="383">
        <f t="shared" si="691"/>
        <v>2010</v>
      </c>
      <c r="G398" s="383">
        <f t="shared" si="691"/>
        <v>2011</v>
      </c>
      <c r="H398" s="383">
        <f t="shared" si="691"/>
        <v>2012</v>
      </c>
      <c r="I398" s="383">
        <f t="shared" si="691"/>
        <v>2013</v>
      </c>
      <c r="J398" s="383">
        <f t="shared" si="691"/>
        <v>2014</v>
      </c>
      <c r="K398" s="383">
        <f t="shared" si="691"/>
        <v>2015</v>
      </c>
      <c r="L398" s="383">
        <f t="shared" si="691"/>
        <v>2016</v>
      </c>
      <c r="M398" s="383">
        <f t="shared" si="691"/>
        <v>2017</v>
      </c>
      <c r="N398" s="383">
        <f t="shared" si="691"/>
        <v>2018</v>
      </c>
      <c r="O398" s="383">
        <f t="shared" si="691"/>
        <v>2019</v>
      </c>
      <c r="P398" s="383">
        <f t="shared" si="691"/>
        <v>2020</v>
      </c>
      <c r="Q398" s="383">
        <f t="shared" si="691"/>
        <v>2021</v>
      </c>
      <c r="R398" s="383">
        <f t="shared" si="691"/>
        <v>2022</v>
      </c>
      <c r="S398" s="383">
        <f t="shared" si="691"/>
        <v>2023</v>
      </c>
      <c r="T398" s="383">
        <f t="shared" ref="T398:Y398" si="692">S398+1</f>
        <v>2024</v>
      </c>
      <c r="U398" s="383"/>
      <c r="V398" s="383">
        <f>T398+1</f>
        <v>2025</v>
      </c>
      <c r="W398" s="383">
        <f t="shared" si="692"/>
        <v>2026</v>
      </c>
      <c r="X398" s="383">
        <f t="shared" si="692"/>
        <v>2027</v>
      </c>
      <c r="Y398" s="383">
        <f t="shared" si="692"/>
        <v>2028</v>
      </c>
      <c r="Z398" s="383">
        <f t="shared" ref="Z398" si="693">Y398+1</f>
        <v>2029</v>
      </c>
      <c r="AA398" s="383">
        <f t="shared" ref="AA398" si="694">Z398+1</f>
        <v>2030</v>
      </c>
      <c r="AB398" s="347"/>
      <c r="AC398" s="347"/>
      <c r="AD398" s="347"/>
      <c r="AE398" s="347"/>
      <c r="AF398" s="468">
        <v>39052</v>
      </c>
      <c r="AG398" s="356">
        <v>7.7594476224526421E-2</v>
      </c>
      <c r="AH398" s="356">
        <v>-1.996018231706953E-2</v>
      </c>
      <c r="AI398" s="468">
        <v>39783</v>
      </c>
      <c r="AJ398" s="468">
        <v>40148</v>
      </c>
      <c r="AK398" s="468">
        <v>40513</v>
      </c>
      <c r="AL398" s="468">
        <v>40878</v>
      </c>
      <c r="AM398" s="468">
        <v>41244</v>
      </c>
    </row>
    <row r="399" spans="1:39" s="349" customFormat="1" ht="13">
      <c r="A399" s="870"/>
      <c r="B399" s="347" t="s">
        <v>235</v>
      </c>
      <c r="C399" s="351">
        <f>'Income Statement'!C96</f>
        <v>15469</v>
      </c>
      <c r="D399" s="351">
        <f>'Income Statement'!H96</f>
        <v>26016</v>
      </c>
      <c r="E399" s="351">
        <f>'Income Statement'!M96</f>
        <v>31100</v>
      </c>
      <c r="F399" s="351">
        <f>'Income Statement'!R96</f>
        <v>40400</v>
      </c>
      <c r="G399" s="351">
        <f>'Income Statement'!W96</f>
        <v>46400</v>
      </c>
      <c r="H399" s="351">
        <f>'Income Statement'!AB96</f>
        <v>45800</v>
      </c>
      <c r="I399" s="351">
        <f>'Income Statement'!AG96</f>
        <v>60500</v>
      </c>
      <c r="J399" s="351">
        <f>'Income Statement'!AL96</f>
        <v>59600</v>
      </c>
      <c r="K399" s="351">
        <f>'Income Statement'!AQ96</f>
        <v>42000</v>
      </c>
      <c r="L399" s="351">
        <f>'Income Statement'!AV96</f>
        <v>46500</v>
      </c>
      <c r="M399" s="351">
        <f>'Income Statement'!BA96</f>
        <v>53500</v>
      </c>
      <c r="N399" s="351">
        <f>'Income Statement'!BF96</f>
        <v>54900</v>
      </c>
      <c r="O399" s="351">
        <f>'Income Statement'!BK96</f>
        <v>56700</v>
      </c>
      <c r="P399" s="351">
        <f>'Income Statement'!BP96</f>
        <v>57890</v>
      </c>
      <c r="Q399" s="391">
        <f>'Income Statement'!BU96</f>
        <v>57910</v>
      </c>
      <c r="R399" s="351">
        <f>'Income Statement'!BZ96</f>
        <v>57500</v>
      </c>
      <c r="S399" s="351">
        <f>'Income Statement'!CE96</f>
        <v>57500</v>
      </c>
      <c r="T399" s="351">
        <f>'Income Statement'!CJ96</f>
        <v>58800</v>
      </c>
      <c r="U399" s="351"/>
      <c r="V399" s="351">
        <f>'Income Statement'!CO96</f>
        <v>82771.271720245146</v>
      </c>
      <c r="W399" s="351">
        <f>'Income Statement'!CP96</f>
        <v>83969.257163598711</v>
      </c>
      <c r="X399" s="351">
        <f>'Income Statement'!CQ96</f>
        <v>85182.942914061918</v>
      </c>
      <c r="Y399" s="351">
        <f>'Income Statement'!CR96</f>
        <v>86412.523357124315</v>
      </c>
      <c r="Z399" s="351">
        <f>'Income Statement'!CS96</f>
        <v>87658.195197739857</v>
      </c>
      <c r="AA399" s="351">
        <f>'Income Statement'!CT96</f>
        <v>88920.15748729551</v>
      </c>
      <c r="AB399" s="347"/>
      <c r="AC399" s="347"/>
      <c r="AD399" s="347"/>
      <c r="AE399" s="347"/>
      <c r="AF399" s="356">
        <v>7.3635000868718548E-2</v>
      </c>
      <c r="AG399" s="347"/>
      <c r="AH399" s="347"/>
      <c r="AI399" s="356">
        <v>-7.6284760395818996E-2</v>
      </c>
      <c r="AJ399" s="356">
        <v>-2.2462492609200302E-2</v>
      </c>
      <c r="AK399" s="356">
        <v>-1.1829053031161552E-3</v>
      </c>
      <c r="AL399" s="356">
        <v>5.4107734794393014E-3</v>
      </c>
      <c r="AM399" s="356">
        <v>4.2168961524915449E-3</v>
      </c>
    </row>
    <row r="400" spans="1:39" s="349" customFormat="1" ht="13">
      <c r="A400" s="870"/>
      <c r="B400" s="347" t="s">
        <v>46</v>
      </c>
      <c r="C400" s="356">
        <f>'Income Statement'!C42</f>
        <v>0.19090207153688665</v>
      </c>
      <c r="D400" s="356">
        <f>'Income Statement'!H42</f>
        <v>0.19464749321023217</v>
      </c>
      <c r="E400" s="356">
        <f>'Income Statement'!M42</f>
        <v>0.20084541028932121</v>
      </c>
      <c r="F400" s="356">
        <f>'Income Statement'!R42</f>
        <v>0.20668450428972665</v>
      </c>
      <c r="G400" s="356">
        <f>'Income Statement'!W42</f>
        <v>0.20368450428972668</v>
      </c>
      <c r="H400" s="356">
        <f>'Income Statement'!AB42</f>
        <v>0.20591823498660083</v>
      </c>
      <c r="I400" s="356">
        <f>'Income Statement'!AG42</f>
        <v>0.219613537769904</v>
      </c>
      <c r="J400" s="356">
        <f>'Income Statement'!AL42</f>
        <v>0.20917600603520053</v>
      </c>
      <c r="K400" s="356">
        <f>'Income Statement'!AQ42</f>
        <v>0.14981657662143286</v>
      </c>
      <c r="L400" s="356">
        <f>'Income Statement'!AV42</f>
        <v>0.14139153596818235</v>
      </c>
      <c r="M400" s="356">
        <f>'Income Statement'!BA42</f>
        <v>0.14861111111111111</v>
      </c>
      <c r="N400" s="356">
        <f>'Income Statement'!BF42</f>
        <v>0.19899379458330918</v>
      </c>
      <c r="O400" s="356">
        <f>'Income Statement'!BK42</f>
        <v>0.20203420829132041</v>
      </c>
      <c r="P400" s="356">
        <f>'Income Statement'!BP42</f>
        <v>0.1985904737565905</v>
      </c>
      <c r="Q400" s="356">
        <f>'Income Statement'!BU42</f>
        <v>0.17506733940572031</v>
      </c>
      <c r="R400" s="356">
        <f>'Income Statement'!BZ42</f>
        <v>0.16305501513370144</v>
      </c>
      <c r="S400" s="356">
        <f>'Income Statement'!CE42</f>
        <v>0.1612158644278493</v>
      </c>
      <c r="T400" s="356">
        <f>'Income Statement'!CJ42</f>
        <v>0.16287530760630523</v>
      </c>
      <c r="U400" s="356"/>
      <c r="V400" s="356">
        <f>'Income Statement'!CO42</f>
        <v>0.22699999999999998</v>
      </c>
      <c r="W400" s="356">
        <f>'Income Statement'!CP42</f>
        <v>0.22800000000000001</v>
      </c>
      <c r="X400" s="356">
        <f>'Income Statement'!CQ42</f>
        <v>0.22900000000000001</v>
      </c>
      <c r="Y400" s="356">
        <f>'Income Statement'!CR42</f>
        <v>0.23</v>
      </c>
      <c r="Z400" s="356">
        <f>'Income Statement'!CS42</f>
        <v>0.23100000000000001</v>
      </c>
      <c r="AA400" s="356">
        <f>'Income Statement'!CT42</f>
        <v>0.23200000000000001</v>
      </c>
      <c r="AB400" s="347"/>
      <c r="AC400" s="347"/>
      <c r="AD400" s="347"/>
      <c r="AE400" s="347"/>
      <c r="AF400" s="347"/>
      <c r="AG400" s="347"/>
      <c r="AH400" s="347"/>
    </row>
    <row r="401" spans="1:71" s="349" customFormat="1" ht="13">
      <c r="A401" s="870"/>
      <c r="B401" s="347" t="s">
        <v>236</v>
      </c>
      <c r="C401" s="356">
        <f>'Income Statement'!C68</f>
        <v>0</v>
      </c>
      <c r="D401" s="356">
        <f>'Income Statement'!H68</f>
        <v>0.25923559051247391</v>
      </c>
      <c r="E401" s="356">
        <f>'Income Statement'!M68</f>
        <v>0.28200576880408251</v>
      </c>
      <c r="F401" s="356">
        <f>'Income Statement'!R68</f>
        <v>-0.14430163488687181</v>
      </c>
      <c r="G401" s="356">
        <f>'Income Statement'!W68</f>
        <v>0.18444865672182714</v>
      </c>
      <c r="H401" s="356">
        <f>'Income Statement'!AB68</f>
        <v>0.22754160970251996</v>
      </c>
      <c r="I401" s="356">
        <f>'Income Statement'!AG68</f>
        <v>0.34996948135018413</v>
      </c>
      <c r="J401" s="356">
        <f>'Income Statement'!AL68</f>
        <v>-9.5302749352880509E-2</v>
      </c>
      <c r="K401" s="356">
        <f>'Income Statement'!AQ68</f>
        <v>3.838849107191709</v>
      </c>
      <c r="L401" s="356">
        <f>'Income Statement'!AV68</f>
        <v>9.27238741479154E-2</v>
      </c>
      <c r="M401" s="356">
        <f>'Income Statement'!BA68</f>
        <v>0.2248923729358093</v>
      </c>
      <c r="N401" s="356">
        <f>'Income Statement'!BF68</f>
        <v>-1.6644474034620507E-2</v>
      </c>
      <c r="O401" s="356">
        <f>'Income Statement'!BK68</f>
        <v>0.37834658971330826</v>
      </c>
      <c r="P401" s="356">
        <f>'Income Statement'!BP68</f>
        <v>0.10958779908568388</v>
      </c>
      <c r="Q401" s="356">
        <f>'Income Statement'!BU68</f>
        <v>5.09131471754458E-4</v>
      </c>
      <c r="R401" s="356">
        <f>'Income Statement'!BZ68</f>
        <v>-1.8760254721284446E-2</v>
      </c>
      <c r="S401" s="356">
        <f>'Income Statement'!CE68</f>
        <v>0</v>
      </c>
      <c r="T401" s="356">
        <f>'Income Statement'!CJ68</f>
        <v>0.29900769871040023</v>
      </c>
      <c r="U401" s="356"/>
      <c r="V401" s="356">
        <f>'Income Statement'!CO68</f>
        <v>6.6241161605839913</v>
      </c>
      <c r="W401" s="356">
        <f>'Income Statement'!CP68</f>
        <v>0.32776057462091068</v>
      </c>
      <c r="X401" s="356">
        <f>'Income Statement'!CQ68</f>
        <v>0.32876057462091007</v>
      </c>
      <c r="Y401" s="356">
        <f>'Income Statement'!CR68</f>
        <v>0.32976057462090952</v>
      </c>
      <c r="Z401" s="356">
        <f>'Income Statement'!CS68</f>
        <v>0.33076057462091019</v>
      </c>
      <c r="AA401" s="356">
        <f>'Income Statement'!CT68</f>
        <v>0.33176057462091174</v>
      </c>
      <c r="AB401" s="347"/>
      <c r="AC401" s="347"/>
      <c r="AD401" s="347"/>
      <c r="AE401" s="347"/>
      <c r="AF401" s="347"/>
      <c r="AG401" s="347"/>
      <c r="AH401" s="347"/>
    </row>
    <row r="402" spans="1:71" s="349" customFormat="1" ht="13">
      <c r="A402" s="870"/>
      <c r="B402" s="347" t="s">
        <v>237</v>
      </c>
      <c r="C402" s="351">
        <f>'Income Statement'!C55</f>
        <v>81031.074600000007</v>
      </c>
      <c r="D402" s="351">
        <f>'Income Statement'!H55</f>
        <v>133657</v>
      </c>
      <c r="E402" s="351">
        <f>'Income Statement'!M55</f>
        <v>154845.46027315198</v>
      </c>
      <c r="F402" s="351">
        <f>'Income Statement'!R55</f>
        <v>195467</v>
      </c>
      <c r="G402" s="351">
        <f>'Income Statement'!W55</f>
        <v>225951.80177076135</v>
      </c>
      <c r="H402" s="351">
        <f>'Income Statement'!AB55</f>
        <v>249293</v>
      </c>
      <c r="I402" s="351">
        <f>'Income Statement'!AG55</f>
        <v>275483.92787783308</v>
      </c>
      <c r="J402" s="351">
        <f>'Income Statement'!AL55</f>
        <v>284927.51692548522</v>
      </c>
      <c r="K402" s="351">
        <f>'Income Statement'!AQ55</f>
        <v>280342.80950183887</v>
      </c>
      <c r="L402" s="351">
        <f t="shared" ref="L402:Q402" si="695">L403*L405</f>
        <v>2447090.9864686676</v>
      </c>
      <c r="M402" s="351">
        <f t="shared" si="695"/>
        <v>2462614.8171925298</v>
      </c>
      <c r="N402" s="351">
        <f t="shared" si="695"/>
        <v>2477150.1395553136</v>
      </c>
      <c r="O402" s="351">
        <f t="shared" si="695"/>
        <v>2481272.6944876597</v>
      </c>
      <c r="P402" s="351">
        <f t="shared" si="695"/>
        <v>2488452.3453715588</v>
      </c>
      <c r="Q402" s="391">
        <f t="shared" si="695"/>
        <v>2491943.7588133514</v>
      </c>
      <c r="R402" s="351">
        <f t="shared" ref="R402:Y402" si="696">R403*R405</f>
        <v>2493911.9682083074</v>
      </c>
      <c r="S402" s="351">
        <f t="shared" ref="S402" si="697">S403*S405</f>
        <v>2508875.4400175572</v>
      </c>
      <c r="T402" s="351">
        <f t="shared" si="696"/>
        <v>2504482.0070290021</v>
      </c>
      <c r="U402" s="351"/>
      <c r="V402" s="351">
        <f t="shared" si="696"/>
        <v>2505261.4583638115</v>
      </c>
      <c r="W402" s="351">
        <f t="shared" si="696"/>
        <v>2505960.1017623856</v>
      </c>
      <c r="X402" s="351">
        <f t="shared" si="696"/>
        <v>2506576.9394692411</v>
      </c>
      <c r="Y402" s="351">
        <f t="shared" si="696"/>
        <v>2521616.4011060563</v>
      </c>
      <c r="Z402" s="351">
        <f t="shared" ref="Z402:AA402" si="698">Z403*Z405</f>
        <v>2536746.0995126925</v>
      </c>
      <c r="AA402" s="351">
        <f t="shared" si="698"/>
        <v>2551966.5761097688</v>
      </c>
      <c r="AB402" s="347"/>
      <c r="AC402" s="347"/>
      <c r="AD402" s="347"/>
      <c r="AE402" s="347"/>
      <c r="AF402" s="347"/>
      <c r="AG402" s="347"/>
      <c r="AH402" s="347"/>
    </row>
    <row r="403" spans="1:71" s="349" customFormat="1" ht="13">
      <c r="A403" s="870"/>
      <c r="B403" s="347" t="s">
        <v>11</v>
      </c>
      <c r="C403" s="426">
        <v>2.9819340030911903</v>
      </c>
      <c r="D403" s="426">
        <v>4.8202899596076172</v>
      </c>
      <c r="E403" s="426">
        <v>5.5065469352548391</v>
      </c>
      <c r="F403" s="426">
        <v>6.8046377884451452</v>
      </c>
      <c r="G403" s="426">
        <v>7.7305956139468082</v>
      </c>
      <c r="H403" s="426">
        <v>8.3824855459301713</v>
      </c>
      <c r="I403" s="426">
        <v>9.1038391946262074</v>
      </c>
      <c r="J403" s="426">
        <v>9.253974252794098</v>
      </c>
      <c r="K403" s="426">
        <v>9.406585248334034</v>
      </c>
      <c r="L403" s="356">
        <v>9.3559685054278177</v>
      </c>
      <c r="M403" s="356">
        <v>9.3053517625216031</v>
      </c>
      <c r="N403" s="356">
        <v>9.2547350196153886</v>
      </c>
      <c r="O403" s="356">
        <v>9.204118276709174</v>
      </c>
      <c r="P403" s="356">
        <v>9.1535015338029595</v>
      </c>
      <c r="Q403" s="356">
        <v>9.102884790896745</v>
      </c>
      <c r="R403" s="356">
        <v>9.0522680479905304</v>
      </c>
      <c r="S403" s="356">
        <v>9.0522680479905304</v>
      </c>
      <c r="T403" s="356">
        <v>8.9510345621781013</v>
      </c>
      <c r="U403" s="356"/>
      <c r="V403" s="356">
        <v>8.9004178192718868</v>
      </c>
      <c r="W403" s="356">
        <v>8.8498010763656723</v>
      </c>
      <c r="X403" s="356">
        <v>8.7991843334594577</v>
      </c>
      <c r="Y403" s="356">
        <v>8.7991843334594577</v>
      </c>
      <c r="Z403" s="356">
        <v>8.7991843334594577</v>
      </c>
      <c r="AA403" s="356">
        <v>8.7991843334594577</v>
      </c>
      <c r="AB403" s="347"/>
      <c r="AC403" s="347"/>
      <c r="AD403" s="347"/>
      <c r="AE403" s="347"/>
      <c r="AF403" s="347"/>
      <c r="AG403" s="347"/>
      <c r="AH403" s="347"/>
    </row>
    <row r="404" spans="1:71" s="349" customFormat="1" ht="13">
      <c r="A404" s="870"/>
      <c r="B404" s="393" t="s">
        <v>238</v>
      </c>
      <c r="C404" s="353"/>
      <c r="D404" s="353">
        <f t="shared" ref="D404:K404" si="699">D403-C403</f>
        <v>1.8383559565164269</v>
      </c>
      <c r="E404" s="353">
        <f t="shared" si="699"/>
        <v>0.68625697564722188</v>
      </c>
      <c r="F404" s="353">
        <f t="shared" si="699"/>
        <v>1.2980908531903061</v>
      </c>
      <c r="G404" s="353">
        <f t="shared" si="699"/>
        <v>0.92595782550166295</v>
      </c>
      <c r="H404" s="353">
        <f t="shared" si="699"/>
        <v>0.65188993198336309</v>
      </c>
      <c r="I404" s="353">
        <f t="shared" si="699"/>
        <v>0.72135364869603613</v>
      </c>
      <c r="J404" s="353">
        <f t="shared" si="699"/>
        <v>0.15013505816789063</v>
      </c>
      <c r="K404" s="353">
        <f t="shared" si="699"/>
        <v>0.15261099553993596</v>
      </c>
      <c r="L404" s="353">
        <f t="shared" ref="L404:Y404" si="700">L403-K403</f>
        <v>-5.0616742906216317E-2</v>
      </c>
      <c r="M404" s="353">
        <f t="shared" si="700"/>
        <v>-5.061674290621454E-2</v>
      </c>
      <c r="N404" s="353">
        <f t="shared" si="700"/>
        <v>-5.061674290621454E-2</v>
      </c>
      <c r="O404" s="353">
        <f t="shared" si="700"/>
        <v>-5.061674290621454E-2</v>
      </c>
      <c r="P404" s="353">
        <f t="shared" si="700"/>
        <v>-5.061674290621454E-2</v>
      </c>
      <c r="Q404" s="633">
        <f t="shared" si="700"/>
        <v>-5.061674290621454E-2</v>
      </c>
      <c r="R404" s="353">
        <f t="shared" si="700"/>
        <v>-5.061674290621454E-2</v>
      </c>
      <c r="S404" s="353">
        <f t="shared" si="700"/>
        <v>0</v>
      </c>
      <c r="T404" s="353">
        <f t="shared" si="700"/>
        <v>-0.10123348581242908</v>
      </c>
      <c r="U404" s="353"/>
      <c r="V404" s="353">
        <f>V403-T403</f>
        <v>-5.061674290621454E-2</v>
      </c>
      <c r="W404" s="353">
        <f t="shared" si="700"/>
        <v>-5.061674290621454E-2</v>
      </c>
      <c r="X404" s="353">
        <f t="shared" si="700"/>
        <v>-5.061674290621454E-2</v>
      </c>
      <c r="Y404" s="353">
        <f t="shared" si="700"/>
        <v>0</v>
      </c>
      <c r="Z404" s="353">
        <f t="shared" ref="Z404" si="701">Z403-Y403</f>
        <v>0</v>
      </c>
      <c r="AA404" s="353">
        <f t="shared" ref="AA404" si="702">AA403-Z403</f>
        <v>0</v>
      </c>
      <c r="AB404" s="347"/>
      <c r="AC404" s="347"/>
      <c r="AD404" s="347"/>
      <c r="AE404" s="347"/>
      <c r="AF404" s="347"/>
      <c r="AG404" s="347"/>
      <c r="AH404" s="347"/>
    </row>
    <row r="405" spans="1:71" s="349" customFormat="1" ht="13">
      <c r="A405" s="870"/>
      <c r="B405" s="347" t="s">
        <v>239</v>
      </c>
      <c r="C405" s="347">
        <v>27174</v>
      </c>
      <c r="D405" s="351">
        <v>27728</v>
      </c>
      <c r="E405" s="351">
        <v>28231.504111999999</v>
      </c>
      <c r="F405" s="351">
        <v>28725.555433960002</v>
      </c>
      <c r="G405" s="351">
        <v>29228.252654054304</v>
      </c>
      <c r="H405" s="351">
        <v>29739.747075500258</v>
      </c>
      <c r="I405" s="351">
        <v>30260.192649321514</v>
      </c>
      <c r="J405" s="351">
        <v>30789.746020684644</v>
      </c>
      <c r="K405" s="351">
        <v>31328.566576046629</v>
      </c>
      <c r="L405" s="351">
        <f>'Income Statement'!AV47</f>
        <v>261554</v>
      </c>
      <c r="M405" s="351">
        <f>'Income Statement'!BA47</f>
        <v>264645</v>
      </c>
      <c r="N405" s="351">
        <f>'Income Statement'!BF47</f>
        <v>267663</v>
      </c>
      <c r="O405" s="351">
        <f>'Income Statement'!BK47</f>
        <v>269582.87800000003</v>
      </c>
      <c r="P405" s="351">
        <f>'Income Statement'!BP47</f>
        <v>271857.96999999997</v>
      </c>
      <c r="Q405" s="391">
        <f>'Income Statement'!BU47</f>
        <v>273753.19099999999</v>
      </c>
      <c r="R405" s="351">
        <f>'Income Statement'!BZ47</f>
        <v>275501.33899999998</v>
      </c>
      <c r="S405" s="351">
        <f>'Income Statement'!CE47</f>
        <v>277154.34703399998</v>
      </c>
      <c r="T405" s="351">
        <f>'Income Statement'!CJ47</f>
        <v>279798.049</v>
      </c>
      <c r="U405" s="351"/>
      <c r="V405" s="351">
        <f>'Income Statement'!CO47</f>
        <v>281476.83729400003</v>
      </c>
      <c r="W405" s="351">
        <f>'Income Statement'!CP47</f>
        <v>283165.69831776404</v>
      </c>
      <c r="X405" s="351">
        <f>'Income Statement'!CQ47</f>
        <v>284864.69250767061</v>
      </c>
      <c r="Y405" s="351">
        <f>'Income Statement'!CR47</f>
        <v>286573.88066271663</v>
      </c>
      <c r="Z405" s="351">
        <f>'Income Statement'!CS47</f>
        <v>288293.32394669292</v>
      </c>
      <c r="AA405" s="351">
        <f>'Income Statement'!CT47</f>
        <v>290023.08389037306</v>
      </c>
      <c r="AB405" s="347"/>
      <c r="AC405" s="347"/>
      <c r="AD405" s="347"/>
      <c r="AE405" s="347"/>
      <c r="AF405" s="347"/>
      <c r="AG405" s="347"/>
      <c r="AH405" s="347"/>
    </row>
    <row r="406" spans="1:71" s="349" customFormat="1" ht="13">
      <c r="A406" s="870"/>
      <c r="B406" s="347" t="s">
        <v>0</v>
      </c>
      <c r="C406" s="356"/>
      <c r="D406" s="356">
        <f t="shared" ref="D406:K406" si="703">D405/C405-1</f>
        <v>2.0387134761168824E-2</v>
      </c>
      <c r="E406" s="356">
        <f t="shared" si="703"/>
        <v>1.8158688401615608E-2</v>
      </c>
      <c r="F406" s="356">
        <f t="shared" si="703"/>
        <v>1.7500000000000071E-2</v>
      </c>
      <c r="G406" s="356">
        <f t="shared" si="703"/>
        <v>1.7500000000000071E-2</v>
      </c>
      <c r="H406" s="356">
        <f t="shared" si="703"/>
        <v>1.7500000000000071E-2</v>
      </c>
      <c r="I406" s="356">
        <f t="shared" si="703"/>
        <v>1.7500000000000071E-2</v>
      </c>
      <c r="J406" s="356">
        <f t="shared" si="703"/>
        <v>1.7500000000000071E-2</v>
      </c>
      <c r="K406" s="356">
        <f t="shared" si="703"/>
        <v>1.7500000000000071E-2</v>
      </c>
      <c r="L406" s="356">
        <f t="shared" ref="L406:Y406" si="704">L405/K405-1</f>
        <v>7.3487381832522285</v>
      </c>
      <c r="M406" s="356">
        <f t="shared" si="704"/>
        <v>1.1817827293790106E-2</v>
      </c>
      <c r="N406" s="356">
        <f t="shared" si="704"/>
        <v>1.1403956243269286E-2</v>
      </c>
      <c r="O406" s="356">
        <f t="shared" si="704"/>
        <v>7.172743337704679E-3</v>
      </c>
      <c r="P406" s="356">
        <f t="shared" si="704"/>
        <v>8.4393045169579572E-3</v>
      </c>
      <c r="Q406" s="356">
        <f t="shared" si="704"/>
        <v>6.9713644959537024E-3</v>
      </c>
      <c r="R406" s="356">
        <f t="shared" si="704"/>
        <v>6.385854329639562E-3</v>
      </c>
      <c r="S406" s="356">
        <f t="shared" si="704"/>
        <v>6.0000000000000053E-3</v>
      </c>
      <c r="T406" s="356">
        <f t="shared" si="704"/>
        <v>9.5387353447344836E-3</v>
      </c>
      <c r="U406" s="356"/>
      <c r="V406" s="356">
        <f>V405/T405-1</f>
        <v>6.0000000000000053E-3</v>
      </c>
      <c r="W406" s="356">
        <f t="shared" si="704"/>
        <v>6.0000000000000053E-3</v>
      </c>
      <c r="X406" s="356">
        <f t="shared" si="704"/>
        <v>6.0000000000000053E-3</v>
      </c>
      <c r="Y406" s="356">
        <f t="shared" si="704"/>
        <v>6.0000000000000053E-3</v>
      </c>
      <c r="Z406" s="356">
        <f t="shared" ref="Z406" si="705">Z405/Y405-1</f>
        <v>6.0000000000000053E-3</v>
      </c>
      <c r="AA406" s="356">
        <f t="shared" ref="AA406" si="706">AA405/Z405-1</f>
        <v>6.0000000000000053E-3</v>
      </c>
      <c r="AB406" s="347"/>
      <c r="AC406" s="347"/>
      <c r="AD406" s="347"/>
      <c r="AE406" s="347"/>
      <c r="AF406" s="347"/>
      <c r="AG406" s="347"/>
      <c r="AH406" s="347"/>
    </row>
    <row r="407" spans="1:71" s="349" customFormat="1" ht="13">
      <c r="A407" s="870"/>
      <c r="B407" s="347"/>
      <c r="C407" s="347"/>
      <c r="D407" s="347"/>
      <c r="E407" s="347"/>
      <c r="F407" s="347"/>
      <c r="G407" s="347"/>
      <c r="H407" s="347"/>
      <c r="I407" s="403"/>
      <c r="J407" s="403"/>
      <c r="K407" s="347"/>
      <c r="L407" s="347"/>
      <c r="M407" s="347"/>
      <c r="N407" s="347"/>
      <c r="O407" s="347"/>
      <c r="P407" s="347"/>
      <c r="Q407" s="347"/>
      <c r="R407" s="347"/>
      <c r="S407" s="347"/>
      <c r="T407" s="347"/>
      <c r="U407" s="347"/>
      <c r="V407" s="347"/>
      <c r="W407" s="347"/>
      <c r="X407" s="347"/>
      <c r="Y407" s="347"/>
      <c r="Z407" s="347"/>
      <c r="AA407" s="347"/>
      <c r="AB407" s="347"/>
      <c r="AC407" s="347"/>
      <c r="AD407" s="347"/>
      <c r="AE407" s="347"/>
      <c r="AF407" s="347"/>
      <c r="AG407" s="347"/>
      <c r="AH407" s="347"/>
      <c r="BK407" s="657"/>
      <c r="BL407" s="657"/>
      <c r="BM407" s="657"/>
      <c r="BN407" s="657"/>
    </row>
    <row r="408" spans="1:71" s="349" customFormat="1" ht="13">
      <c r="A408" s="870"/>
      <c r="B408" s="347" t="s">
        <v>240</v>
      </c>
      <c r="C408" s="351">
        <f>(C399+C399)/2</f>
        <v>15469</v>
      </c>
      <c r="D408" s="351">
        <f t="shared" ref="D408:S408" si="707">(C399+D399)/2</f>
        <v>20742.5</v>
      </c>
      <c r="E408" s="351">
        <f t="shared" si="707"/>
        <v>28558</v>
      </c>
      <c r="F408" s="351">
        <f t="shared" si="707"/>
        <v>35750</v>
      </c>
      <c r="G408" s="351">
        <f t="shared" si="707"/>
        <v>43400</v>
      </c>
      <c r="H408" s="351">
        <f t="shared" si="707"/>
        <v>46100</v>
      </c>
      <c r="I408" s="351">
        <f t="shared" si="707"/>
        <v>53150</v>
      </c>
      <c r="J408" s="351">
        <f t="shared" si="707"/>
        <v>60050</v>
      </c>
      <c r="K408" s="351">
        <f t="shared" si="707"/>
        <v>50800</v>
      </c>
      <c r="L408" s="351">
        <f t="shared" si="707"/>
        <v>44250</v>
      </c>
      <c r="M408" s="351">
        <f t="shared" si="707"/>
        <v>50000</v>
      </c>
      <c r="N408" s="351">
        <f t="shared" si="707"/>
        <v>54200</v>
      </c>
      <c r="O408" s="351">
        <f t="shared" si="707"/>
        <v>55800</v>
      </c>
      <c r="P408" s="351">
        <f t="shared" si="707"/>
        <v>57295</v>
      </c>
      <c r="Q408" s="391">
        <f t="shared" si="707"/>
        <v>57900</v>
      </c>
      <c r="R408" s="351">
        <f t="shared" si="707"/>
        <v>57705</v>
      </c>
      <c r="S408" s="351">
        <f t="shared" si="707"/>
        <v>57500</v>
      </c>
      <c r="T408" s="351">
        <f t="shared" ref="T408:Y408" si="708">(S399+T399)/2</f>
        <v>58150</v>
      </c>
      <c r="U408" s="351"/>
      <c r="V408" s="351">
        <f>(T399+V399)/2</f>
        <v>70785.635860122566</v>
      </c>
      <c r="W408" s="351">
        <f t="shared" si="708"/>
        <v>83370.264441921929</v>
      </c>
      <c r="X408" s="351">
        <f t="shared" si="708"/>
        <v>84576.100038830307</v>
      </c>
      <c r="Y408" s="351">
        <f t="shared" si="708"/>
        <v>85797.733135593124</v>
      </c>
      <c r="Z408" s="351">
        <f t="shared" ref="Z408" si="709">(Y399+Z399)/2</f>
        <v>87035.359277432086</v>
      </c>
      <c r="AA408" s="351">
        <f t="shared" ref="AA408" si="710">(Z399+AA399)/2</f>
        <v>88289.176342517691</v>
      </c>
      <c r="AB408" s="347"/>
      <c r="AC408" s="347"/>
      <c r="AD408" s="347"/>
      <c r="AE408" s="347"/>
      <c r="AF408" s="347"/>
      <c r="AG408" s="347"/>
      <c r="AH408" s="347"/>
    </row>
    <row r="409" spans="1:71" s="349" customFormat="1" ht="13">
      <c r="A409" s="870"/>
      <c r="B409" s="347" t="s">
        <v>241</v>
      </c>
      <c r="C409" s="351">
        <f>'Income Statement'!C136/4</f>
        <v>13318.26485844968</v>
      </c>
      <c r="D409" s="351">
        <f>'Income Statement'!H136/4</f>
        <v>12113.816238801171</v>
      </c>
      <c r="E409" s="351">
        <f>'Income Statement'!M136/4</f>
        <v>9000</v>
      </c>
      <c r="F409" s="351">
        <f>'Income Statement'!R136/4</f>
        <v>8500</v>
      </c>
      <c r="G409" s="351">
        <f>'Income Statement'!W136/4</f>
        <v>8000</v>
      </c>
      <c r="H409" s="351">
        <f>'Income Statement'!AB136/4</f>
        <v>7750</v>
      </c>
      <c r="I409" s="351">
        <f>'Income Statement'!AG136/4</f>
        <v>6750</v>
      </c>
      <c r="J409" s="351">
        <f>'Income Statement'!AL136/4</f>
        <v>6000</v>
      </c>
      <c r="K409" s="351">
        <f>'Income Statement'!AQ136/4</f>
        <v>8500</v>
      </c>
      <c r="L409" s="351">
        <f>'Income Statement'!AV136/4</f>
        <v>8750</v>
      </c>
      <c r="M409" s="351">
        <f>'Income Statement'!M136/4</f>
        <v>9000</v>
      </c>
      <c r="N409" s="351">
        <f>'Income Statement'!N136/4</f>
        <v>8750</v>
      </c>
      <c r="O409" s="351">
        <f>'Income Statement'!O136/4</f>
        <v>8250</v>
      </c>
      <c r="P409" s="351">
        <f>'Income Statement'!P136/4</f>
        <v>8500</v>
      </c>
      <c r="Q409" s="391">
        <f>'Income Statement'!Q136/4</f>
        <v>8500</v>
      </c>
      <c r="R409" s="351">
        <f>'Income Statement'!R136/4</f>
        <v>8500</v>
      </c>
      <c r="S409" s="351">
        <f>'Income Statement'!S136/4</f>
        <v>8000</v>
      </c>
      <c r="T409" s="351">
        <f>'Income Statement'!T136/4</f>
        <v>8000</v>
      </c>
      <c r="U409" s="351"/>
      <c r="V409" s="351">
        <f>'Income Statement'!U136/4</f>
        <v>8000</v>
      </c>
      <c r="W409" s="351">
        <f>'Income Statement'!V136/4</f>
        <v>8000</v>
      </c>
      <c r="X409" s="351">
        <f>'Income Statement'!W136/4</f>
        <v>8000</v>
      </c>
      <c r="Y409" s="351">
        <f>'Income Statement'!X136/4</f>
        <v>7250</v>
      </c>
      <c r="Z409" s="351">
        <f>'Income Statement'!Y136/4</f>
        <v>7750</v>
      </c>
      <c r="AA409" s="351">
        <f>'Income Statement'!Z136/4</f>
        <v>8000</v>
      </c>
      <c r="AB409" s="347"/>
      <c r="AC409" s="347"/>
      <c r="AD409" s="347"/>
      <c r="AE409" s="347"/>
      <c r="AF409" s="347"/>
      <c r="AG409" s="373"/>
      <c r="AH409" s="373"/>
    </row>
    <row r="410" spans="1:71" s="349" customFormat="1" ht="13">
      <c r="A410" s="870"/>
      <c r="B410" s="347" t="s">
        <v>0</v>
      </c>
      <c r="C410" s="356"/>
      <c r="D410" s="356">
        <f t="shared" ref="D410:S410" si="711">D409/C409-1</f>
        <v>-9.0435851250123989E-2</v>
      </c>
      <c r="E410" s="356">
        <f t="shared" si="711"/>
        <v>-0.25704667937981918</v>
      </c>
      <c r="F410" s="356">
        <f t="shared" si="711"/>
        <v>-5.555555555555558E-2</v>
      </c>
      <c r="G410" s="356">
        <f t="shared" si="711"/>
        <v>-5.8823529411764719E-2</v>
      </c>
      <c r="H410" s="356">
        <f t="shared" si="711"/>
        <v>-3.125E-2</v>
      </c>
      <c r="I410" s="356">
        <f t="shared" si="711"/>
        <v>-0.12903225806451613</v>
      </c>
      <c r="J410" s="356">
        <f t="shared" si="711"/>
        <v>-0.11111111111111116</v>
      </c>
      <c r="K410" s="356">
        <f t="shared" si="711"/>
        <v>0.41666666666666674</v>
      </c>
      <c r="L410" s="356">
        <f t="shared" si="711"/>
        <v>2.9411764705882248E-2</v>
      </c>
      <c r="M410" s="356">
        <f t="shared" si="711"/>
        <v>2.857142857142847E-2</v>
      </c>
      <c r="N410" s="356">
        <f t="shared" si="711"/>
        <v>-2.777777777777779E-2</v>
      </c>
      <c r="O410" s="356">
        <f t="shared" si="711"/>
        <v>-5.7142857142857162E-2</v>
      </c>
      <c r="P410" s="356">
        <f t="shared" si="711"/>
        <v>3.0303030303030276E-2</v>
      </c>
      <c r="Q410" s="356">
        <f t="shared" si="711"/>
        <v>0</v>
      </c>
      <c r="R410" s="356">
        <f t="shared" si="711"/>
        <v>0</v>
      </c>
      <c r="S410" s="356">
        <f t="shared" si="711"/>
        <v>-5.8823529411764719E-2</v>
      </c>
      <c r="T410" s="356">
        <f t="shared" ref="T410:Y410" si="712">T409/S409-1</f>
        <v>0</v>
      </c>
      <c r="U410" s="356"/>
      <c r="V410" s="356">
        <f>V409/T409-1</f>
        <v>0</v>
      </c>
      <c r="W410" s="356">
        <f t="shared" si="712"/>
        <v>0</v>
      </c>
      <c r="X410" s="356">
        <f t="shared" si="712"/>
        <v>0</v>
      </c>
      <c r="Y410" s="356">
        <f t="shared" si="712"/>
        <v>-9.375E-2</v>
      </c>
      <c r="Z410" s="356">
        <f t="shared" ref="Z410" si="713">Z409/Y409-1</f>
        <v>6.8965517241379226E-2</v>
      </c>
      <c r="AA410" s="356">
        <f t="shared" ref="AA410" si="714">AA409/Z409-1</f>
        <v>3.2258064516129004E-2</v>
      </c>
      <c r="AB410" s="347"/>
      <c r="AC410" s="347"/>
      <c r="AD410" s="347"/>
      <c r="AE410" s="347"/>
      <c r="AF410" s="373"/>
      <c r="AG410" s="347"/>
      <c r="AH410" s="347"/>
    </row>
    <row r="411" spans="1:71" s="349" customFormat="1" ht="13">
      <c r="A411" s="870"/>
      <c r="B411" s="347" t="s">
        <v>41</v>
      </c>
      <c r="C411" s="351">
        <f>'Income Statement'!C447</f>
        <v>7990</v>
      </c>
      <c r="D411" s="351">
        <f>'Income Statement'!H447</f>
        <v>12061.33</v>
      </c>
      <c r="E411" s="351">
        <f>'Income Statement'!M447</f>
        <v>13707</v>
      </c>
      <c r="F411" s="351">
        <f>'Income Statement'!R447</f>
        <v>17460</v>
      </c>
      <c r="G411" s="351">
        <f>'Income Statement'!W447</f>
        <v>18262</v>
      </c>
      <c r="H411" s="351">
        <f>'Income Statement'!AB447</f>
        <v>20969</v>
      </c>
      <c r="I411" s="351">
        <f>'Income Statement'!AG447</f>
        <v>21266</v>
      </c>
      <c r="J411" s="351">
        <f>'Income Statement'!AL447</f>
        <v>23460</v>
      </c>
      <c r="K411" s="351">
        <f>'Income Statement'!AQ447</f>
        <v>22875</v>
      </c>
      <c r="L411" s="351">
        <f>'Income Statement'!AV447</f>
        <v>21342</v>
      </c>
      <c r="M411" s="351">
        <f>'Income Statement'!BA447</f>
        <v>22875</v>
      </c>
      <c r="N411" s="351">
        <f>'Income Statement'!BF447</f>
        <v>22938.812000000002</v>
      </c>
      <c r="O411" s="351">
        <f>'Income Statement'!BK447</f>
        <v>25132.851999999999</v>
      </c>
      <c r="P411" s="351">
        <f>'Income Statement'!BP447</f>
        <v>26009.094999999998</v>
      </c>
      <c r="Q411" s="391">
        <f>'Income Statement'!BU447</f>
        <v>26754.05</v>
      </c>
      <c r="R411" s="351">
        <f>'Income Statement'!BZ447</f>
        <v>31765.998</v>
      </c>
      <c r="S411" s="351">
        <f>'Income Statement'!CE447</f>
        <v>35257.812999999995</v>
      </c>
      <c r="T411" s="351">
        <f>'Income Statement'!CJ447</f>
        <v>2950.0410000000015</v>
      </c>
      <c r="U411" s="351"/>
      <c r="V411" s="351">
        <f>'Income Statement'!CO447</f>
        <v>2979.7249000000015</v>
      </c>
      <c r="W411" s="351">
        <f>'Income Statement'!CP447</f>
        <v>3009.7056390000016</v>
      </c>
      <c r="X411" s="351">
        <f>'Income Statement'!CQ447</f>
        <v>3039.9861853900015</v>
      </c>
      <c r="Y411" s="351">
        <f>'Income Statement'!CR447</f>
        <v>3070.5695372439018</v>
      </c>
      <c r="Z411" s="351">
        <f>'Income Statement'!CS447</f>
        <v>3101.4587226163408</v>
      </c>
      <c r="AA411" s="351">
        <f>'Income Statement'!CT447</f>
        <v>3132.6567998425044</v>
      </c>
      <c r="AB411" s="347"/>
      <c r="AC411" s="347"/>
      <c r="AD411" s="347"/>
      <c r="AE411" s="347"/>
      <c r="AF411" s="347"/>
      <c r="AG411" s="347"/>
      <c r="AH411" s="347"/>
      <c r="BJ411" s="657"/>
      <c r="BO411" s="657"/>
      <c r="BP411" s="657"/>
      <c r="BQ411" s="657"/>
      <c r="BR411" s="657"/>
      <c r="BS411" s="657"/>
    </row>
    <row r="412" spans="1:71" s="349" customFormat="1" ht="13">
      <c r="A412" s="870"/>
      <c r="B412" s="347"/>
      <c r="C412" s="427"/>
      <c r="D412" s="427"/>
      <c r="E412" s="427"/>
      <c r="F412" s="427"/>
      <c r="G412" s="427"/>
      <c r="H412" s="427"/>
      <c r="I412" s="658"/>
      <c r="J412" s="658"/>
      <c r="K412" s="658"/>
      <c r="L412" s="658"/>
      <c r="M412" s="658"/>
      <c r="N412" s="658"/>
      <c r="O412" s="658"/>
      <c r="P412" s="658"/>
      <c r="Q412" s="658"/>
      <c r="R412" s="658"/>
      <c r="S412" s="658"/>
      <c r="T412" s="658"/>
      <c r="U412" s="658"/>
      <c r="V412" s="658"/>
      <c r="W412" s="658"/>
      <c r="X412" s="658"/>
      <c r="Y412" s="658"/>
      <c r="Z412" s="658"/>
      <c r="AA412" s="658"/>
      <c r="AB412" s="347"/>
      <c r="AC412" s="347"/>
      <c r="AD412" s="347"/>
      <c r="AE412" s="347"/>
      <c r="AF412" s="347"/>
      <c r="AG412" s="347"/>
      <c r="AH412" s="347"/>
    </row>
    <row r="413" spans="1:71" s="349" customFormat="1" ht="13">
      <c r="A413" s="870"/>
      <c r="B413" s="347" t="s">
        <v>242</v>
      </c>
      <c r="C413" s="659">
        <f>'Income Statement'!C459-C411</f>
        <v>0</v>
      </c>
      <c r="D413" s="659">
        <f>'Income Statement'!H459-D411</f>
        <v>0</v>
      </c>
      <c r="E413" s="659">
        <f>'Income Statement'!M459-E411</f>
        <v>0</v>
      </c>
      <c r="F413" s="659">
        <f>'Income Statement'!R459-F411</f>
        <v>0</v>
      </c>
      <c r="G413" s="659">
        <f>'Income Statement'!W459-G411</f>
        <v>0</v>
      </c>
      <c r="H413" s="659">
        <f>'Income Statement'!AB459-H411</f>
        <v>0</v>
      </c>
      <c r="I413" s="659">
        <f>'Income Statement'!AG459-I411</f>
        <v>0</v>
      </c>
      <c r="J413" s="659">
        <f>'Income Statement'!AL459-J411</f>
        <v>0</v>
      </c>
      <c r="K413" s="659">
        <f>'Income Statement'!AQ459-K411</f>
        <v>0</v>
      </c>
      <c r="L413" s="659">
        <f>'Income Statement'!AV459-L411</f>
        <v>0</v>
      </c>
      <c r="M413" s="659">
        <f>'Income Statement'!BA459-M411</f>
        <v>0</v>
      </c>
      <c r="N413" s="659">
        <f>'Income Statement'!BF459-N411</f>
        <v>0</v>
      </c>
      <c r="O413" s="659">
        <f>'Income Statement'!BK459-O411</f>
        <v>0</v>
      </c>
      <c r="P413" s="659">
        <f>'Income Statement'!BP459-P411</f>
        <v>0</v>
      </c>
      <c r="Q413" s="660">
        <f>'Income Statement'!BU459-Q411</f>
        <v>0</v>
      </c>
      <c r="R413" s="659">
        <f>'Income Statement'!BZ459-R411</f>
        <v>0</v>
      </c>
      <c r="S413" s="659">
        <f>'Income Statement'!CE459-S411</f>
        <v>0</v>
      </c>
      <c r="T413" s="659">
        <f>'Income Statement'!CJ459-T411</f>
        <v>0</v>
      </c>
      <c r="U413" s="659"/>
      <c r="V413" s="659">
        <f>'Income Statement'!CO459-V411</f>
        <v>0</v>
      </c>
      <c r="W413" s="659">
        <f>'Income Statement'!CP459-W411</f>
        <v>0</v>
      </c>
      <c r="X413" s="659">
        <f>'Income Statement'!CQ459-X411</f>
        <v>0</v>
      </c>
      <c r="Y413" s="659">
        <f>'Income Statement'!CR459-Y411</f>
        <v>0</v>
      </c>
      <c r="Z413" s="659">
        <f>'Income Statement'!CS459-Z411</f>
        <v>0</v>
      </c>
      <c r="AA413" s="659">
        <f>'Income Statement'!CT459-AA411</f>
        <v>0</v>
      </c>
      <c r="AB413" s="347"/>
      <c r="AC413" s="347"/>
      <c r="AD413" s="347"/>
      <c r="AE413" s="347"/>
      <c r="AF413" s="347"/>
      <c r="AG413" s="347"/>
      <c r="AH413" s="347"/>
    </row>
    <row r="414" spans="1:71" s="349" customFormat="1" ht="13">
      <c r="A414" s="870"/>
      <c r="B414" s="347" t="s">
        <v>243</v>
      </c>
      <c r="C414" s="356"/>
      <c r="D414" s="356"/>
      <c r="E414" s="356"/>
      <c r="F414" s="356"/>
      <c r="G414" s="356"/>
      <c r="H414" s="356"/>
      <c r="I414" s="403"/>
      <c r="J414" s="403"/>
      <c r="K414" s="403"/>
      <c r="L414" s="403"/>
      <c r="M414" s="403"/>
      <c r="N414" s="403"/>
      <c r="O414" s="403"/>
      <c r="P414" s="403"/>
      <c r="Q414" s="403"/>
      <c r="R414" s="403"/>
      <c r="S414" s="403"/>
      <c r="T414" s="403"/>
      <c r="U414" s="403"/>
      <c r="V414" s="403"/>
      <c r="W414" s="403"/>
      <c r="X414" s="403"/>
      <c r="Y414" s="403"/>
      <c r="Z414" s="403"/>
      <c r="AA414" s="403"/>
      <c r="AB414" s="347"/>
      <c r="AC414" s="347"/>
      <c r="AD414" s="347"/>
      <c r="AE414" s="347"/>
      <c r="AF414" s="347"/>
      <c r="AG414" s="347"/>
      <c r="AH414" s="347"/>
    </row>
    <row r="415" spans="1:71" s="349" customFormat="1" ht="13">
      <c r="A415" s="870"/>
      <c r="B415" s="347"/>
      <c r="C415" s="372"/>
      <c r="D415" s="372"/>
      <c r="E415" s="372"/>
      <c r="F415" s="372"/>
      <c r="G415" s="372"/>
      <c r="H415" s="372"/>
      <c r="I415" s="403"/>
      <c r="J415" s="403"/>
      <c r="K415" s="403"/>
      <c r="L415" s="403"/>
      <c r="M415" s="403"/>
      <c r="N415" s="403"/>
      <c r="O415" s="403"/>
      <c r="P415" s="403"/>
      <c r="Q415" s="403"/>
      <c r="R415" s="403"/>
      <c r="S415" s="403"/>
      <c r="T415" s="403"/>
      <c r="U415" s="403"/>
      <c r="V415" s="403"/>
      <c r="W415" s="403"/>
      <c r="X415" s="403"/>
      <c r="Y415" s="403"/>
      <c r="Z415" s="403"/>
      <c r="AA415" s="403"/>
      <c r="AB415" s="347"/>
      <c r="AC415" s="347"/>
      <c r="AD415" s="347"/>
      <c r="AE415" s="347"/>
      <c r="AF415" s="347"/>
      <c r="AG415" s="347"/>
      <c r="AH415" s="347"/>
    </row>
    <row r="416" spans="1:71" s="349" customFormat="1" ht="13">
      <c r="A416" s="870"/>
      <c r="B416" s="364" t="s">
        <v>687</v>
      </c>
      <c r="C416" s="415">
        <f>'Income Statement'!C236</f>
        <v>7990</v>
      </c>
      <c r="D416" s="415">
        <f>'Income Statement'!H236</f>
        <v>12061.33</v>
      </c>
      <c r="E416" s="415">
        <f>'Income Statement'!M236</f>
        <v>13707</v>
      </c>
      <c r="F416" s="415">
        <f>'Income Statement'!R236</f>
        <v>17460</v>
      </c>
      <c r="G416" s="415">
        <f>'Income Statement'!W236</f>
        <v>18262</v>
      </c>
      <c r="H416" s="415">
        <f>'Income Statement'!AB236</f>
        <v>20969</v>
      </c>
      <c r="I416" s="415">
        <f>'Income Statement'!AG236</f>
        <v>21266</v>
      </c>
      <c r="J416" s="415">
        <f>'Income Statement'!AL236</f>
        <v>23460</v>
      </c>
      <c r="K416" s="415">
        <f>'Income Statement'!AQ236</f>
        <v>22895</v>
      </c>
      <c r="L416" s="415">
        <f>'Income Statement'!AV236</f>
        <v>21341</v>
      </c>
      <c r="M416" s="415">
        <f>'Income Statement'!BA236</f>
        <v>22901</v>
      </c>
      <c r="N416" s="415">
        <f>'Income Statement'!BF236</f>
        <v>22938.811999999998</v>
      </c>
      <c r="O416" s="415">
        <f>'Income Statement'!BK236</f>
        <v>25132.851999999999</v>
      </c>
      <c r="P416" s="415">
        <f>'Income Statement'!BP236</f>
        <v>26009.095000000001</v>
      </c>
      <c r="Q416" s="561">
        <f>'Income Statement'!BU236</f>
        <v>26754.050000000003</v>
      </c>
      <c r="R416" s="415">
        <f>'Income Statement'!BZ236</f>
        <v>29141.994000000002</v>
      </c>
      <c r="S416" s="415">
        <f>'Income Statement'!CE236</f>
        <v>32322.651000000005</v>
      </c>
      <c r="T416" s="415">
        <f>'Income Statement'!CJ236</f>
        <v>34391.597000000002</v>
      </c>
      <c r="U416" s="415"/>
      <c r="V416" s="415">
        <f>'Income Statement'!CO236</f>
        <v>42474.105831966364</v>
      </c>
      <c r="W416" s="415">
        <f>'Income Statement'!CP236</f>
        <v>47281.52542977938</v>
      </c>
      <c r="X416" s="415">
        <f>'Income Statement'!CQ236</f>
        <v>49342.820741226758</v>
      </c>
      <c r="Y416" s="415">
        <f>'Income Statement'!CR236</f>
        <v>51491.024704882409</v>
      </c>
      <c r="Z416" s="415">
        <f>'Income Statement'!CS236</f>
        <v>53729.794804044934</v>
      </c>
      <c r="AA416" s="415">
        <f>'Income Statement'!CT236</f>
        <v>56062.943842146051</v>
      </c>
      <c r="AB416" s="347"/>
      <c r="AC416" s="347"/>
      <c r="AD416" s="347"/>
      <c r="AE416" s="347"/>
      <c r="AF416" s="347"/>
      <c r="AG416" s="347"/>
      <c r="AH416" s="347"/>
    </row>
    <row r="417" spans="1:75" s="349" customFormat="1" ht="13">
      <c r="A417" s="870"/>
      <c r="B417" s="347"/>
      <c r="C417" s="372"/>
      <c r="D417" s="372"/>
      <c r="E417" s="372"/>
      <c r="F417" s="372"/>
      <c r="G417" s="372"/>
      <c r="H417" s="372"/>
      <c r="I417" s="403"/>
      <c r="J417" s="403"/>
      <c r="K417" s="403"/>
      <c r="L417" s="403"/>
      <c r="M417" s="403"/>
      <c r="N417" s="403"/>
      <c r="O417" s="403"/>
      <c r="P417" s="403"/>
      <c r="Q417" s="403"/>
      <c r="R417" s="403"/>
      <c r="S417" s="403"/>
      <c r="T417" s="403"/>
      <c r="U417" s="403"/>
      <c r="V417" s="403"/>
      <c r="W417" s="403"/>
      <c r="X417" s="403"/>
      <c r="Y417" s="403"/>
      <c r="Z417" s="403"/>
      <c r="AA417" s="403"/>
      <c r="AB417" s="347"/>
      <c r="AC417" s="347"/>
      <c r="AD417" s="347"/>
      <c r="AE417" s="347"/>
      <c r="AF417" s="347"/>
      <c r="AG417" s="347"/>
      <c r="AH417" s="347"/>
    </row>
    <row r="418" spans="1:75" s="349" customFormat="1" ht="13">
      <c r="A418" s="870"/>
      <c r="B418" s="364" t="s">
        <v>2</v>
      </c>
      <c r="C418" s="415">
        <f>'Income Statement'!C248</f>
        <v>3509</v>
      </c>
      <c r="D418" s="415">
        <f>'Income Statement'!H248</f>
        <v>5132</v>
      </c>
      <c r="E418" s="415">
        <f>'Income Statement'!M248</f>
        <v>6205</v>
      </c>
      <c r="F418" s="415">
        <f>'Income Statement'!R248</f>
        <v>9287</v>
      </c>
      <c r="G418" s="415">
        <f>'Income Statement'!W248</f>
        <v>9348</v>
      </c>
      <c r="H418" s="415">
        <f>'Income Statement'!AB248</f>
        <v>9745</v>
      </c>
      <c r="I418" s="415">
        <f>'Income Statement'!AG248</f>
        <v>8659</v>
      </c>
      <c r="J418" s="415">
        <f>'Income Statement'!AL248</f>
        <v>8623</v>
      </c>
      <c r="K418" s="415">
        <f>'Income Statement'!AQ248</f>
        <v>8393</v>
      </c>
      <c r="L418" s="415">
        <f>'Income Statement'!AV248</f>
        <v>8057</v>
      </c>
      <c r="M418" s="415">
        <f>'Income Statement'!BA248</f>
        <v>8321</v>
      </c>
      <c r="N418" s="415">
        <f>'Income Statement'!BF248</f>
        <v>8513</v>
      </c>
      <c r="O418" s="415">
        <f>'Income Statement'!BK248</f>
        <v>9966</v>
      </c>
      <c r="P418" s="415">
        <f>'Income Statement'!BP248</f>
        <v>13060</v>
      </c>
      <c r="Q418" s="561">
        <f>'Income Statement'!BU248</f>
        <v>13287</v>
      </c>
      <c r="R418" s="415">
        <f>'Income Statement'!BZ248</f>
        <v>14235</v>
      </c>
      <c r="S418" s="415">
        <f>'Income Statement'!CE248</f>
        <v>15885</v>
      </c>
      <c r="T418" s="415">
        <f>'Income Statement'!CJ248</f>
        <v>17879</v>
      </c>
      <c r="U418" s="415"/>
      <c r="V418" s="415">
        <f>'Income Statement'!CO248</f>
        <v>18547.777952688124</v>
      </c>
      <c r="W418" s="415">
        <f>'Income Statement'!CP248</f>
        <v>22026.102884302556</v>
      </c>
      <c r="X418" s="415">
        <f>'Income Statement'!CQ248</f>
        <v>24266.810115801967</v>
      </c>
      <c r="Y418" s="415">
        <f>'Income Statement'!CR248</f>
        <v>26620.859772424206</v>
      </c>
      <c r="Z418" s="415">
        <f>'Income Statement'!CS248</f>
        <v>27939.493298103363</v>
      </c>
      <c r="AA418" s="415">
        <f>'Income Statement'!CT248</f>
        <v>29320.919629442382</v>
      </c>
      <c r="AB418" s="347"/>
      <c r="AC418" s="347"/>
      <c r="AD418" s="347"/>
      <c r="AE418" s="347"/>
      <c r="AF418" s="347"/>
      <c r="AG418" s="347"/>
      <c r="AH418" s="347"/>
    </row>
    <row r="419" spans="1:75" s="349" customFormat="1" ht="13">
      <c r="A419" s="870"/>
      <c r="B419" s="347" t="s">
        <v>244</v>
      </c>
      <c r="C419" s="426">
        <f>'Income Statement'!C431</f>
        <v>0</v>
      </c>
      <c r="D419" s="426">
        <f>'Income Statement'!H431</f>
        <v>0.42549204772607996</v>
      </c>
      <c r="E419" s="426">
        <f>'Income Statement'!M431</f>
        <v>0.45268840738308891</v>
      </c>
      <c r="F419" s="426">
        <f>'Income Statement'!R431</f>
        <v>0.53190148911798396</v>
      </c>
      <c r="G419" s="426">
        <f>'Income Statement'!W431</f>
        <v>0.51188259774394917</v>
      </c>
      <c r="H419" s="426">
        <f>'Income Statement'!AB431</f>
        <v>0.46473365444227194</v>
      </c>
      <c r="I419" s="426">
        <f>'Income Statement'!AG431</f>
        <v>0.40717577353522055</v>
      </c>
      <c r="J419" s="426">
        <f>'Income Statement'!AL431</f>
        <v>0.3675618073316283</v>
      </c>
      <c r="K419" s="426">
        <f>'Income Statement'!AQ431</f>
        <v>0.36690710382513664</v>
      </c>
      <c r="L419" s="426">
        <f>'Income Statement'!AV431</f>
        <v>0.3775185081060819</v>
      </c>
      <c r="M419" s="426">
        <f>'Income Statement'!BA431</f>
        <v>0.36375956284153005</v>
      </c>
      <c r="N419" s="353">
        <f>'Income Statement'!BF431</f>
        <v>0.37111773704758555</v>
      </c>
      <c r="O419" s="353">
        <f>'Income Statement'!BK431</f>
        <v>0.39653279301529332</v>
      </c>
      <c r="P419" s="353">
        <f>'Income Statement'!BP431</f>
        <v>0.50213204265661693</v>
      </c>
      <c r="Q419" s="633">
        <f>'Income Statement'!BU431</f>
        <v>0.4966350888930835</v>
      </c>
      <c r="R419" s="353">
        <f>'Income Statement'!BZ431</f>
        <v>0.44812066033625009</v>
      </c>
      <c r="S419" s="353">
        <f>'Income Statement'!CE431</f>
        <v>0.45053843810448491</v>
      </c>
      <c r="T419" s="353">
        <f>'Income Statement'!CJ431</f>
        <v>6.0605937341209799</v>
      </c>
      <c r="U419" s="353"/>
      <c r="V419" s="353">
        <f>'Income Statement'!CO431</f>
        <v>6.2246611936182816</v>
      </c>
      <c r="W419" s="353">
        <f>'Income Statement'!CP431</f>
        <v>7.3183578483179845</v>
      </c>
      <c r="X419" s="353">
        <f>'Income Statement'!CQ431</f>
        <v>7.9825396024583464</v>
      </c>
      <c r="Y419" s="353">
        <f>'Income Statement'!CR431</f>
        <v>8.6696814547045555</v>
      </c>
      <c r="Z419" s="353">
        <f>'Income Statement'!CS431</f>
        <v>9.0085007723507786</v>
      </c>
      <c r="AA419" s="353">
        <f>'Income Statement'!CT431</f>
        <v>9.3597612195873179</v>
      </c>
      <c r="AB419" s="347"/>
      <c r="AC419" s="347"/>
      <c r="AD419" s="347"/>
      <c r="AE419" s="347"/>
      <c r="AF419" s="347"/>
      <c r="AG419" s="347"/>
      <c r="AH419" s="347"/>
    </row>
    <row r="420" spans="1:75" s="349" customFormat="1" ht="13">
      <c r="A420" s="870"/>
      <c r="B420" s="347" t="s">
        <v>245</v>
      </c>
      <c r="C420" s="426"/>
      <c r="D420" s="426">
        <f t="shared" ref="D420:S420" si="715">D418/C418-1</f>
        <v>0.46252493587916788</v>
      </c>
      <c r="E420" s="426">
        <f t="shared" si="715"/>
        <v>0.20908028059236172</v>
      </c>
      <c r="F420" s="426">
        <f t="shared" si="715"/>
        <v>0.49669621273166809</v>
      </c>
      <c r="G420" s="426">
        <f t="shared" si="715"/>
        <v>6.5683213093572501E-3</v>
      </c>
      <c r="H420" s="426">
        <f t="shared" si="715"/>
        <v>4.2468977321352241E-2</v>
      </c>
      <c r="I420" s="426">
        <f t="shared" si="715"/>
        <v>-0.1114417650076962</v>
      </c>
      <c r="J420" s="426">
        <f t="shared" si="715"/>
        <v>-4.1575239635062156E-3</v>
      </c>
      <c r="K420" s="426">
        <f t="shared" si="715"/>
        <v>-2.6672851675750953E-2</v>
      </c>
      <c r="L420" s="426">
        <f t="shared" si="715"/>
        <v>-4.0033361134278578E-2</v>
      </c>
      <c r="M420" s="426">
        <f t="shared" si="715"/>
        <v>3.2766538413801616E-2</v>
      </c>
      <c r="N420" s="353">
        <f t="shared" si="715"/>
        <v>2.3074149741617589E-2</v>
      </c>
      <c r="O420" s="353">
        <f t="shared" si="715"/>
        <v>0.17068013626218725</v>
      </c>
      <c r="P420" s="353">
        <f t="shared" si="715"/>
        <v>0.3104555488661449</v>
      </c>
      <c r="Q420" s="633">
        <f t="shared" si="715"/>
        <v>1.7381316998468677E-2</v>
      </c>
      <c r="R420" s="353">
        <f t="shared" si="715"/>
        <v>7.1347934070896457E-2</v>
      </c>
      <c r="S420" s="353">
        <f t="shared" si="715"/>
        <v>0.11591148577449939</v>
      </c>
      <c r="T420" s="353">
        <f t="shared" ref="T420:Y420" si="716">T418/S418-1</f>
        <v>0.12552722694365759</v>
      </c>
      <c r="U420" s="353"/>
      <c r="V420" s="353">
        <f>V418/T418-1</f>
        <v>3.7405780674988787E-2</v>
      </c>
      <c r="W420" s="353">
        <f t="shared" si="716"/>
        <v>0.18753324201351673</v>
      </c>
      <c r="X420" s="353">
        <f t="shared" si="716"/>
        <v>0.1017296270370327</v>
      </c>
      <c r="Y420" s="353">
        <f t="shared" si="716"/>
        <v>9.7006967351235707E-2</v>
      </c>
      <c r="Z420" s="353">
        <f t="shared" ref="Z420" si="717">Z418/Y418-1</f>
        <v>4.9533844396907556E-2</v>
      </c>
      <c r="AA420" s="353">
        <f t="shared" ref="AA420" si="718">AA418/Z418-1</f>
        <v>4.9443499801508306E-2</v>
      </c>
      <c r="AB420" s="347"/>
      <c r="AC420" s="347"/>
      <c r="AD420" s="347"/>
      <c r="AE420" s="347"/>
      <c r="AF420" s="347"/>
      <c r="AG420" s="347"/>
      <c r="AH420" s="347"/>
    </row>
    <row r="421" spans="1:75" s="349" customFormat="1" ht="13">
      <c r="A421" s="870"/>
      <c r="B421" s="347"/>
      <c r="C421" s="347"/>
      <c r="D421" s="347"/>
      <c r="E421" s="347"/>
      <c r="F421" s="347"/>
      <c r="G421" s="347"/>
      <c r="H421" s="347"/>
      <c r="I421" s="403"/>
      <c r="J421" s="403"/>
      <c r="K421" s="403"/>
      <c r="L421" s="403"/>
      <c r="M421" s="403"/>
      <c r="N421" s="403"/>
      <c r="O421" s="403"/>
      <c r="P421" s="403"/>
      <c r="Q421" s="403"/>
      <c r="R421" s="403"/>
      <c r="S421" s="403"/>
      <c r="T421" s="403"/>
      <c r="U421" s="403"/>
      <c r="V421" s="403"/>
      <c r="W421" s="403"/>
      <c r="X421" s="403"/>
      <c r="Y421" s="403"/>
      <c r="Z421" s="403"/>
      <c r="AA421" s="403"/>
      <c r="AB421" s="347"/>
      <c r="AC421" s="347"/>
      <c r="AD421" s="347"/>
      <c r="AE421" s="347"/>
      <c r="AF421" s="347"/>
      <c r="AG421" s="347"/>
      <c r="AH421" s="347"/>
    </row>
    <row r="422" spans="1:75" s="349" customFormat="1" ht="13">
      <c r="A422" s="870"/>
      <c r="B422" s="364" t="s">
        <v>246</v>
      </c>
      <c r="C422" s="365">
        <f>'Income Statement'!C459-C418</f>
        <v>4481</v>
      </c>
      <c r="D422" s="365">
        <f>'Income Statement'!H459-D418</f>
        <v>6929.33</v>
      </c>
      <c r="E422" s="365">
        <f>'Income Statement'!M459-E418</f>
        <v>7502</v>
      </c>
      <c r="F422" s="365">
        <f>'Income Statement'!R459-F418</f>
        <v>8173</v>
      </c>
      <c r="G422" s="365">
        <f>'Income Statement'!W459-G418</f>
        <v>8914</v>
      </c>
      <c r="H422" s="365">
        <f>'Income Statement'!AB459-H418</f>
        <v>11224</v>
      </c>
      <c r="I422" s="365">
        <f>'Income Statement'!AG459-I418</f>
        <v>12607</v>
      </c>
      <c r="J422" s="365">
        <f>'Income Statement'!AL459-J418</f>
        <v>14837</v>
      </c>
      <c r="K422" s="365">
        <f>'Income Statement'!AQ459-K418</f>
        <v>14482</v>
      </c>
      <c r="L422" s="365">
        <f>'Income Statement'!AV459-L418</f>
        <v>13285</v>
      </c>
      <c r="M422" s="365">
        <f>'Income Statement'!BA459-M418</f>
        <v>14554</v>
      </c>
      <c r="N422" s="365">
        <f>'Income Statement'!BF459-N418</f>
        <v>14425.812000000002</v>
      </c>
      <c r="O422" s="365">
        <f>'Income Statement'!BK459-O418</f>
        <v>15166.851999999999</v>
      </c>
      <c r="P422" s="365">
        <f>'Income Statement'!BP459-P418</f>
        <v>12949.094999999998</v>
      </c>
      <c r="Q422" s="365">
        <f>'Income Statement'!BU459-Q418</f>
        <v>13467.05</v>
      </c>
      <c r="R422" s="365">
        <f>'Income Statement'!BZ459-R418</f>
        <v>17530.998</v>
      </c>
      <c r="S422" s="365">
        <f>'Income Statement'!CE459-S418</f>
        <v>19372.812999999995</v>
      </c>
      <c r="T422" s="365">
        <f>'Income Statement'!CJ459-T418</f>
        <v>-14928.958999999999</v>
      </c>
      <c r="U422" s="365"/>
      <c r="V422" s="365">
        <f>'Income Statement'!CO459-V418</f>
        <v>-15568.053052688123</v>
      </c>
      <c r="W422" s="365">
        <f>'Income Statement'!CP459-W418</f>
        <v>-19016.397245302556</v>
      </c>
      <c r="X422" s="365">
        <f>'Income Statement'!CQ459-X418</f>
        <v>-21226.823930411967</v>
      </c>
      <c r="Y422" s="365">
        <f>'Income Statement'!CR459-Y418</f>
        <v>-23550.290235180306</v>
      </c>
      <c r="Z422" s="365">
        <f>'Income Statement'!CS459-Z418</f>
        <v>-24838.034575487021</v>
      </c>
      <c r="AA422" s="365">
        <f>'Income Statement'!CT459-AA418</f>
        <v>-26188.262829599877</v>
      </c>
      <c r="AB422" s="347"/>
      <c r="AC422" s="347"/>
      <c r="AD422" s="347"/>
      <c r="AE422" s="347"/>
      <c r="AF422" s="347"/>
      <c r="AG422" s="364"/>
      <c r="AH422" s="364"/>
      <c r="BT422" s="657"/>
    </row>
    <row r="423" spans="1:75" s="349" customFormat="1" ht="13">
      <c r="A423" s="870"/>
      <c r="B423" s="373" t="s">
        <v>247</v>
      </c>
      <c r="C423" s="661">
        <f t="shared" ref="C423:AA423" si="719">C422/C408</f>
        <v>0.28967612644644125</v>
      </c>
      <c r="D423" s="661">
        <f t="shared" si="719"/>
        <v>0.33406436061226952</v>
      </c>
      <c r="E423" s="661">
        <f t="shared" si="719"/>
        <v>0.26269346592898662</v>
      </c>
      <c r="F423" s="661">
        <f t="shared" si="719"/>
        <v>0.22861538461538461</v>
      </c>
      <c r="G423" s="661">
        <f t="shared" si="719"/>
        <v>0.20539170506912444</v>
      </c>
      <c r="H423" s="661">
        <f t="shared" si="719"/>
        <v>0.24347071583514099</v>
      </c>
      <c r="I423" s="661">
        <f t="shared" si="719"/>
        <v>0.23719661335841957</v>
      </c>
      <c r="J423" s="661">
        <f t="shared" si="719"/>
        <v>0.24707743547044131</v>
      </c>
      <c r="K423" s="661">
        <f t="shared" si="719"/>
        <v>0.2850787401574803</v>
      </c>
      <c r="L423" s="661">
        <f t="shared" si="719"/>
        <v>0.30022598870056499</v>
      </c>
      <c r="M423" s="661">
        <f t="shared" si="719"/>
        <v>0.29108000000000001</v>
      </c>
      <c r="N423" s="661">
        <f t="shared" si="719"/>
        <v>0.26615889298892992</v>
      </c>
      <c r="O423" s="661">
        <f t="shared" si="719"/>
        <v>0.2718073835125448</v>
      </c>
      <c r="P423" s="661">
        <f t="shared" si="719"/>
        <v>0.22600741775023994</v>
      </c>
      <c r="Q423" s="661">
        <f t="shared" si="719"/>
        <v>0.23259153713298789</v>
      </c>
      <c r="R423" s="661">
        <f t="shared" si="719"/>
        <v>0.30380379516506367</v>
      </c>
      <c r="S423" s="661">
        <f t="shared" si="719"/>
        <v>0.33691848695652166</v>
      </c>
      <c r="T423" s="661">
        <f t="shared" si="719"/>
        <v>-0.25673188306104899</v>
      </c>
      <c r="U423" s="661"/>
      <c r="V423" s="661">
        <f t="shared" si="719"/>
        <v>-0.21993237559455847</v>
      </c>
      <c r="W423" s="661">
        <f t="shared" si="719"/>
        <v>-0.22809568102725539</v>
      </c>
      <c r="X423" s="661">
        <f t="shared" si="719"/>
        <v>-0.2509789872158491</v>
      </c>
      <c r="Y423" s="661">
        <f t="shared" si="719"/>
        <v>-0.27448615918513686</v>
      </c>
      <c r="Z423" s="661">
        <f t="shared" si="719"/>
        <v>-0.28537866427728326</v>
      </c>
      <c r="AA423" s="661">
        <f t="shared" si="719"/>
        <v>-0.29661917705520957</v>
      </c>
      <c r="AB423" s="373"/>
      <c r="AC423" s="373"/>
      <c r="AD423" s="373"/>
      <c r="AE423" s="373"/>
      <c r="AF423" s="364"/>
      <c r="AG423" s="347"/>
      <c r="AH423" s="347"/>
      <c r="BH423" s="657"/>
      <c r="BI423" s="657"/>
      <c r="BU423" s="657"/>
      <c r="BV423" s="657"/>
      <c r="BW423" s="657"/>
    </row>
    <row r="424" spans="1:75" s="349" customFormat="1" ht="13">
      <c r="A424" s="870"/>
      <c r="B424" s="347" t="s">
        <v>0</v>
      </c>
      <c r="C424" s="356"/>
      <c r="D424" s="356">
        <f t="shared" ref="D424:S424" si="720">D423/C423-1</f>
        <v>0.15323400899602713</v>
      </c>
      <c r="E424" s="356">
        <f t="shared" si="720"/>
        <v>-0.21364414495600514</v>
      </c>
      <c r="F424" s="356">
        <f t="shared" si="720"/>
        <v>-0.12972565264647373</v>
      </c>
      <c r="G424" s="356">
        <f t="shared" si="720"/>
        <v>-0.10158406261823094</v>
      </c>
      <c r="H424" s="356">
        <f t="shared" si="720"/>
        <v>0.18539702347376252</v>
      </c>
      <c r="I424" s="356">
        <f t="shared" si="720"/>
        <v>-2.5769433729228242E-2</v>
      </c>
      <c r="J424" s="356">
        <f t="shared" si="720"/>
        <v>4.1656674486710177E-2</v>
      </c>
      <c r="K424" s="356">
        <f t="shared" si="720"/>
        <v>0.15380321806677166</v>
      </c>
      <c r="L424" s="356">
        <f t="shared" si="720"/>
        <v>5.3133560695256321E-2</v>
      </c>
      <c r="M424" s="356">
        <f t="shared" si="720"/>
        <v>-3.0463680843056173E-2</v>
      </c>
      <c r="N424" s="356">
        <f t="shared" si="720"/>
        <v>-8.5616005947059537E-2</v>
      </c>
      <c r="O424" s="356">
        <f t="shared" si="720"/>
        <v>2.1222249837993701E-2</v>
      </c>
      <c r="P424" s="356">
        <f t="shared" si="720"/>
        <v>-0.16850155124719424</v>
      </c>
      <c r="Q424" s="356">
        <f t="shared" si="720"/>
        <v>2.9132315427027322E-2</v>
      </c>
      <c r="R424" s="356">
        <f t="shared" si="720"/>
        <v>0.30616874074553735</v>
      </c>
      <c r="S424" s="356">
        <f t="shared" si="720"/>
        <v>0.1090002571345956</v>
      </c>
      <c r="T424" s="356">
        <f t="shared" ref="T424:Y424" si="721">T423/S423-1</f>
        <v>-1.7619999881282249</v>
      </c>
      <c r="U424" s="356"/>
      <c r="V424" s="356">
        <f>V423/T423-1</f>
        <v>-0.14333828361216772</v>
      </c>
      <c r="W424" s="356">
        <f t="shared" si="721"/>
        <v>3.7117343049782869E-2</v>
      </c>
      <c r="X424" s="356">
        <f t="shared" si="721"/>
        <v>0.10032327699295362</v>
      </c>
      <c r="Y424" s="356">
        <f t="shared" si="721"/>
        <v>9.3661912616895382E-2</v>
      </c>
      <c r="Z424" s="356">
        <f t="shared" ref="Z424" si="722">Z423/Y423-1</f>
        <v>3.9683258072038319E-2</v>
      </c>
      <c r="AA424" s="356">
        <f t="shared" ref="AA424" si="723">AA423/Z423-1</f>
        <v>3.9388062896687615E-2</v>
      </c>
      <c r="AB424" s="347"/>
      <c r="AC424" s="347"/>
      <c r="AD424" s="347"/>
      <c r="AE424" s="347"/>
      <c r="AF424" s="347"/>
      <c r="AG424" s="347"/>
      <c r="AH424" s="347"/>
    </row>
    <row r="425" spans="1:75" s="349" customFormat="1" ht="13">
      <c r="A425" s="870"/>
      <c r="B425" s="347"/>
      <c r="C425" s="347"/>
      <c r="D425" s="347"/>
      <c r="E425" s="347"/>
      <c r="F425" s="347"/>
      <c r="G425" s="347"/>
      <c r="H425" s="347"/>
      <c r="I425" s="403"/>
      <c r="J425" s="403"/>
      <c r="K425" s="403"/>
      <c r="L425" s="403"/>
      <c r="M425" s="403"/>
      <c r="N425" s="403"/>
      <c r="O425" s="403"/>
      <c r="P425" s="403"/>
      <c r="Q425" s="403"/>
      <c r="R425" s="403"/>
      <c r="S425" s="403"/>
      <c r="T425" s="403"/>
      <c r="U425" s="403"/>
      <c r="V425" s="403"/>
      <c r="W425" s="403"/>
      <c r="X425" s="403"/>
      <c r="Y425" s="403"/>
      <c r="Z425" s="403"/>
      <c r="AA425" s="403"/>
      <c r="AB425" s="347"/>
      <c r="AC425" s="347"/>
      <c r="AD425" s="347"/>
      <c r="AE425" s="347"/>
      <c r="AF425" s="347"/>
      <c r="AG425" s="347"/>
      <c r="AH425" s="347"/>
    </row>
    <row r="426" spans="1:75" s="349" customFormat="1" ht="13">
      <c r="A426" s="870"/>
      <c r="B426" s="364" t="s">
        <v>77</v>
      </c>
      <c r="C426" s="415">
        <f>'Income Statement'!C257</f>
        <v>0</v>
      </c>
      <c r="D426" s="415">
        <f>'Income Statement'!H257</f>
        <v>0</v>
      </c>
      <c r="E426" s="415">
        <f>'Income Statement'!M257</f>
        <v>2464</v>
      </c>
      <c r="F426" s="415">
        <f>'Income Statement'!R257</f>
        <v>5165</v>
      </c>
      <c r="G426" s="415">
        <f>'Income Statement'!W257</f>
        <v>4665</v>
      </c>
      <c r="H426" s="415">
        <f>'Income Statement'!AB257</f>
        <v>4679</v>
      </c>
      <c r="I426" s="415">
        <f>'Income Statement'!AG257</f>
        <v>2900</v>
      </c>
      <c r="J426" s="415">
        <f>'Income Statement'!AL257</f>
        <v>1665</v>
      </c>
      <c r="K426" s="415">
        <f>'Income Statement'!AQ257</f>
        <v>1258</v>
      </c>
      <c r="L426" s="415">
        <f>'Income Statement'!AV257</f>
        <v>11</v>
      </c>
      <c r="M426" s="415">
        <f>'Income Statement'!BA257</f>
        <v>1370</v>
      </c>
      <c r="N426" s="415">
        <f>'Income Statement'!BF257</f>
        <v>-3108</v>
      </c>
      <c r="O426" s="415">
        <f>'Income Statement'!BK257</f>
        <v>2603</v>
      </c>
      <c r="P426" s="415">
        <f>'Income Statement'!BP257</f>
        <v>2632.085</v>
      </c>
      <c r="Q426" s="561">
        <f>'Income Statement'!BU257</f>
        <v>3330.7729999999992</v>
      </c>
      <c r="R426" s="415">
        <f>'Income Statement'!BZ257</f>
        <v>3670.7039999999997</v>
      </c>
      <c r="S426" s="415">
        <f>'Income Statement'!CE257</f>
        <v>4537.2420000000002</v>
      </c>
      <c r="T426" s="415">
        <f>'Income Statement'!CJ257</f>
        <v>5804.6650000000009</v>
      </c>
      <c r="U426" s="415"/>
      <c r="V426" s="415">
        <f>'Income Statement'!CO257</f>
        <v>2084.4562465740128</v>
      </c>
      <c r="W426" s="415">
        <f>'Income Statement'!CP257</f>
        <v>5069.9778078283634</v>
      </c>
      <c r="X426" s="415">
        <f>'Income Statement'!CQ257</f>
        <v>7708.9397968255289</v>
      </c>
      <c r="Y426" s="415">
        <f>'Income Statement'!CR257</f>
        <v>10361.079285377851</v>
      </c>
      <c r="Z426" s="415">
        <f>'Income Statement'!CS257</f>
        <v>11772.182043895984</v>
      </c>
      <c r="AA426" s="415">
        <f>'Income Statement'!CT257</f>
        <v>13080.317106786435</v>
      </c>
      <c r="AB426" s="347"/>
      <c r="AC426" s="347"/>
      <c r="AD426" s="347"/>
      <c r="AE426" s="347"/>
      <c r="AF426" s="347"/>
      <c r="AG426" s="347"/>
      <c r="AH426" s="347"/>
    </row>
    <row r="427" spans="1:75" s="349" customFormat="1" ht="13">
      <c r="A427" s="870"/>
      <c r="B427" s="347"/>
      <c r="C427" s="347"/>
      <c r="D427" s="347"/>
      <c r="E427" s="347"/>
      <c r="F427" s="347"/>
      <c r="G427" s="347"/>
      <c r="H427" s="347"/>
      <c r="I427" s="403"/>
      <c r="J427" s="403"/>
      <c r="K427" s="403"/>
      <c r="L427" s="403"/>
      <c r="M427" s="403"/>
      <c r="N427" s="403"/>
      <c r="O427" s="403"/>
      <c r="P427" s="403"/>
      <c r="Q427" s="403"/>
      <c r="R427" s="403"/>
      <c r="S427" s="403"/>
      <c r="T427" s="403"/>
      <c r="U427" s="403"/>
      <c r="V427" s="403"/>
      <c r="W427" s="403"/>
      <c r="X427" s="403"/>
      <c r="Y427" s="403"/>
      <c r="Z427" s="403"/>
      <c r="AA427" s="403"/>
      <c r="AB427" s="347"/>
      <c r="AC427" s="347"/>
      <c r="AD427" s="347"/>
      <c r="AE427" s="347"/>
      <c r="AF427" s="347"/>
      <c r="AG427" s="347"/>
      <c r="AH427" s="347"/>
    </row>
    <row r="428" spans="1:75" s="349" customFormat="1" ht="13">
      <c r="A428" s="870"/>
      <c r="B428" s="364" t="s">
        <v>111</v>
      </c>
      <c r="C428" s="415">
        <f>'Income Statement'!C271</f>
        <v>252</v>
      </c>
      <c r="D428" s="415">
        <f>'Income Statement'!H271</f>
        <v>-14</v>
      </c>
      <c r="E428" s="415">
        <f>'Income Statement'!M271</f>
        <v>1709.5000000000002</v>
      </c>
      <c r="F428" s="415">
        <f>'Income Statement'!R271</f>
        <v>2892</v>
      </c>
      <c r="G428" s="415">
        <f>'Income Statement'!W271</f>
        <v>2830</v>
      </c>
      <c r="H428" s="415">
        <f>'Income Statement'!AB271</f>
        <v>2717</v>
      </c>
      <c r="I428" s="415">
        <f>'Income Statement'!AG271</f>
        <v>1032</v>
      </c>
      <c r="J428" s="415">
        <f>'Income Statement'!AL271</f>
        <v>-891</v>
      </c>
      <c r="K428" s="415">
        <f>'Income Statement'!AQ271</f>
        <v>-25</v>
      </c>
      <c r="L428" s="415">
        <f>'Income Statement'!AV271</f>
        <v>374</v>
      </c>
      <c r="M428" s="415">
        <f>'Income Statement'!BA271</f>
        <v>361</v>
      </c>
      <c r="N428" s="415">
        <f>'Income Statement'!BF271</f>
        <v>-3294</v>
      </c>
      <c r="O428" s="415">
        <f>'Income Statement'!BK271</f>
        <v>711</v>
      </c>
      <c r="P428" s="415">
        <f>'Income Statement'!BP271</f>
        <v>-1654.7730000000001</v>
      </c>
      <c r="Q428" s="561">
        <f>'Income Statement'!BU271</f>
        <v>1287.8070000000002</v>
      </c>
      <c r="R428" s="415">
        <f>'Income Statement'!BZ271</f>
        <v>1121.1880000000001</v>
      </c>
      <c r="S428" s="415">
        <f>'Income Statement'!CE271</f>
        <v>1284.4479999999999</v>
      </c>
      <c r="T428" s="415">
        <f>'Income Statement'!CJ271</f>
        <v>1847.6309999999999</v>
      </c>
      <c r="U428" s="415"/>
      <c r="V428" s="415">
        <f>'Income Statement'!CO271</f>
        <v>-2284.2333262787533</v>
      </c>
      <c r="W428" s="415">
        <f>'Income Statement'!CP271</f>
        <v>736.32068869677698</v>
      </c>
      <c r="X428" s="415">
        <f>'Income Statement'!CQ271</f>
        <v>2202.5305303360401</v>
      </c>
      <c r="Y428" s="415">
        <f>'Income Statement'!CR271</f>
        <v>4360.0040675784803</v>
      </c>
      <c r="Z428" s="415">
        <f>'Income Statement'!CS271</f>
        <v>5570.065627360118</v>
      </c>
      <c r="AA428" s="415">
        <f>'Income Statement'!CT271</f>
        <v>6701.2555973886965</v>
      </c>
      <c r="AB428" s="347"/>
      <c r="AC428" s="347"/>
      <c r="AD428" s="347"/>
      <c r="AE428" s="347"/>
      <c r="AF428" s="347"/>
      <c r="AG428" s="347"/>
      <c r="AH428" s="347"/>
    </row>
    <row r="429" spans="1:75" s="349" customFormat="1" ht="13">
      <c r="A429" s="870"/>
      <c r="B429" s="347"/>
      <c r="C429" s="347"/>
      <c r="D429" s="347"/>
      <c r="E429" s="347"/>
      <c r="F429" s="347"/>
      <c r="G429" s="347"/>
      <c r="H429" s="347"/>
      <c r="I429" s="403"/>
      <c r="J429" s="403"/>
      <c r="K429" s="403"/>
      <c r="L429" s="403"/>
      <c r="M429" s="403"/>
      <c r="N429" s="403"/>
      <c r="O429" s="403"/>
      <c r="P429" s="403"/>
      <c r="Q429" s="403"/>
      <c r="R429" s="403"/>
      <c r="S429" s="403"/>
      <c r="T429" s="403"/>
      <c r="U429" s="403"/>
      <c r="V429" s="403"/>
      <c r="W429" s="403"/>
      <c r="X429" s="403"/>
      <c r="Y429" s="403"/>
      <c r="Z429" s="403"/>
      <c r="AA429" s="403"/>
      <c r="AB429" s="347"/>
      <c r="AC429" s="347"/>
      <c r="AD429" s="347"/>
      <c r="AE429" s="347"/>
      <c r="AF429" s="347"/>
      <c r="AG429" s="347"/>
      <c r="AH429" s="347"/>
    </row>
    <row r="430" spans="1:75" s="349" customFormat="1" ht="13">
      <c r="A430" s="870"/>
      <c r="B430" s="364" t="s">
        <v>248</v>
      </c>
      <c r="C430" s="415">
        <f t="shared" ref="C430:T430" si="724">C75</f>
        <v>6868</v>
      </c>
      <c r="D430" s="415">
        <f t="shared" si="724"/>
        <v>11382</v>
      </c>
      <c r="E430" s="415">
        <f t="shared" si="724"/>
        <v>5282.7</v>
      </c>
      <c r="F430" s="415">
        <f t="shared" si="724"/>
        <v>4848</v>
      </c>
      <c r="G430" s="415">
        <f t="shared" si="724"/>
        <v>6522</v>
      </c>
      <c r="H430" s="415">
        <f t="shared" si="724"/>
        <v>10176</v>
      </c>
      <c r="I430" s="415">
        <f t="shared" si="724"/>
        <v>7394</v>
      </c>
      <c r="J430" s="415">
        <f t="shared" si="724"/>
        <v>7095</v>
      </c>
      <c r="K430" s="415">
        <f t="shared" si="724"/>
        <v>4146</v>
      </c>
      <c r="L430" s="415">
        <f t="shared" si="724"/>
        <v>5584</v>
      </c>
      <c r="M430" s="415">
        <f t="shared" si="724"/>
        <v>6697</v>
      </c>
      <c r="N430" s="415">
        <f t="shared" si="724"/>
        <v>6273.7529999999997</v>
      </c>
      <c r="O430" s="415">
        <f t="shared" si="724"/>
        <v>9096.1370000000006</v>
      </c>
      <c r="P430" s="415">
        <f t="shared" si="724"/>
        <v>6155</v>
      </c>
      <c r="Q430" s="561">
        <f t="shared" si="724"/>
        <v>9921</v>
      </c>
      <c r="R430" s="415">
        <f t="shared" si="724"/>
        <v>9063</v>
      </c>
      <c r="S430" s="415">
        <f t="shared" si="724"/>
        <v>7158</v>
      </c>
      <c r="T430" s="415">
        <f t="shared" si="724"/>
        <v>7382</v>
      </c>
      <c r="U430" s="415"/>
      <c r="V430" s="415">
        <f t="shared" ref="V430:AA430" si="725">V75</f>
        <v>20387.570799343855</v>
      </c>
      <c r="W430" s="415">
        <f t="shared" si="725"/>
        <v>10401.935594551464</v>
      </c>
      <c r="X430" s="415">
        <f t="shared" si="725"/>
        <v>10361.99235565762</v>
      </c>
      <c r="Y430" s="415">
        <f t="shared" si="725"/>
        <v>10813.115188025306</v>
      </c>
      <c r="Z430" s="415">
        <f t="shared" si="725"/>
        <v>11283.256908849437</v>
      </c>
      <c r="AA430" s="415">
        <f t="shared" si="725"/>
        <v>12053.5329260614</v>
      </c>
      <c r="AB430" s="347"/>
      <c r="AC430" s="347"/>
      <c r="AD430" s="347"/>
      <c r="AE430" s="347"/>
      <c r="AF430" s="347"/>
      <c r="AG430" s="347"/>
      <c r="AH430" s="347"/>
    </row>
    <row r="431" spans="1:75" s="356" customFormat="1" ht="13">
      <c r="A431" s="876"/>
      <c r="B431" s="356" t="s">
        <v>0</v>
      </c>
      <c r="D431" s="356">
        <f t="shared" ref="D431:S431" si="726">D430/C430-1</f>
        <v>0.65725101921956908</v>
      </c>
      <c r="E431" s="356">
        <f t="shared" si="726"/>
        <v>-0.535872430152873</v>
      </c>
      <c r="F431" s="356">
        <f t="shared" si="726"/>
        <v>-8.2287466636379092E-2</v>
      </c>
      <c r="G431" s="356">
        <f t="shared" si="726"/>
        <v>0.34529702970297027</v>
      </c>
      <c r="H431" s="356">
        <f t="shared" si="726"/>
        <v>0.56025758969641215</v>
      </c>
      <c r="I431" s="356">
        <f t="shared" si="726"/>
        <v>-0.27338836477987416</v>
      </c>
      <c r="J431" s="356">
        <f t="shared" si="726"/>
        <v>-4.0438193129564537E-2</v>
      </c>
      <c r="K431" s="356">
        <f t="shared" si="726"/>
        <v>-0.41564482029598304</v>
      </c>
      <c r="L431" s="356">
        <f t="shared" si="726"/>
        <v>0.34684032802701403</v>
      </c>
      <c r="M431" s="356">
        <f t="shared" si="726"/>
        <v>0.19931948424068757</v>
      </c>
      <c r="N431" s="356">
        <f t="shared" si="726"/>
        <v>-6.3199492309989558E-2</v>
      </c>
      <c r="O431" s="356">
        <f t="shared" si="726"/>
        <v>0.44987171155765959</v>
      </c>
      <c r="P431" s="356">
        <f t="shared" si="726"/>
        <v>-0.3233391273680245</v>
      </c>
      <c r="Q431" s="356">
        <f t="shared" si="726"/>
        <v>0.61186027619821282</v>
      </c>
      <c r="R431" s="356">
        <f t="shared" si="726"/>
        <v>-8.6483217417599012E-2</v>
      </c>
      <c r="S431" s="356">
        <f t="shared" si="726"/>
        <v>-0.21019529956967886</v>
      </c>
      <c r="T431" s="356">
        <f t="shared" ref="T431:Y431" si="727">T430/S430-1</f>
        <v>3.1293657446213929E-2</v>
      </c>
      <c r="V431" s="356">
        <f>V430/T430-1</f>
        <v>1.7617950148122263</v>
      </c>
      <c r="W431" s="356">
        <f t="shared" si="727"/>
        <v>-0.48979033858775201</v>
      </c>
      <c r="X431" s="356">
        <f t="shared" si="727"/>
        <v>-3.8399813698871688E-3</v>
      </c>
      <c r="Y431" s="356">
        <f t="shared" si="727"/>
        <v>4.3536302371558255E-2</v>
      </c>
      <c r="Z431" s="356">
        <f t="shared" ref="Z431" si="728">Z430/Y430-1</f>
        <v>4.3478841448464145E-2</v>
      </c>
      <c r="AA431" s="356">
        <f t="shared" ref="AA431" si="729">AA430/Z430-1</f>
        <v>6.8267169970032127E-2</v>
      </c>
    </row>
    <row r="432" spans="1:75" s="349" customFormat="1" ht="13">
      <c r="A432" s="870"/>
      <c r="B432" s="347" t="s">
        <v>181</v>
      </c>
      <c r="C432" s="356">
        <f t="shared" ref="C432:T432" si="730">C430/C416</f>
        <v>0.8595744680851064</v>
      </c>
      <c r="D432" s="356">
        <f t="shared" si="730"/>
        <v>0.94367702400978992</v>
      </c>
      <c r="E432" s="356">
        <f t="shared" si="730"/>
        <v>0.38540161961041802</v>
      </c>
      <c r="F432" s="356">
        <f t="shared" si="730"/>
        <v>0.27766323024054984</v>
      </c>
      <c r="G432" s="356">
        <f t="shared" si="730"/>
        <v>0.35713503449786443</v>
      </c>
      <c r="H432" s="356">
        <f t="shared" si="730"/>
        <v>0.48528780580857456</v>
      </c>
      <c r="I432" s="356">
        <f t="shared" si="730"/>
        <v>0.34769115019279601</v>
      </c>
      <c r="J432" s="356">
        <f t="shared" si="730"/>
        <v>0.3024296675191816</v>
      </c>
      <c r="K432" s="356">
        <f t="shared" si="730"/>
        <v>0.18108757370604936</v>
      </c>
      <c r="L432" s="356">
        <f t="shared" si="730"/>
        <v>0.26165596738672042</v>
      </c>
      <c r="M432" s="356">
        <f t="shared" si="730"/>
        <v>0.29243264486266973</v>
      </c>
      <c r="N432" s="356">
        <f t="shared" si="730"/>
        <v>0.27349947329443219</v>
      </c>
      <c r="O432" s="356">
        <f t="shared" si="730"/>
        <v>0.36192219649405494</v>
      </c>
      <c r="P432" s="356">
        <f t="shared" si="730"/>
        <v>0.23664798794421721</v>
      </c>
      <c r="Q432" s="356">
        <f t="shared" si="730"/>
        <v>0.37082236147424402</v>
      </c>
      <c r="R432" s="356">
        <f t="shared" si="730"/>
        <v>0.31099450504313464</v>
      </c>
      <c r="S432" s="356">
        <f t="shared" si="730"/>
        <v>0.22145460779191653</v>
      </c>
      <c r="T432" s="356">
        <f t="shared" si="730"/>
        <v>0.21464545540005017</v>
      </c>
      <c r="U432" s="356"/>
      <c r="V432" s="356">
        <f t="shared" ref="V432:AA432" si="731">V430/V416</f>
        <v>0.48000000000000004</v>
      </c>
      <c r="W432" s="356">
        <f t="shared" si="731"/>
        <v>0.22</v>
      </c>
      <c r="X432" s="356">
        <f t="shared" si="731"/>
        <v>0.21</v>
      </c>
      <c r="Y432" s="356">
        <f t="shared" si="731"/>
        <v>0.21</v>
      </c>
      <c r="Z432" s="356">
        <f t="shared" si="731"/>
        <v>0.21000000000000002</v>
      </c>
      <c r="AA432" s="356">
        <f t="shared" si="731"/>
        <v>0.21499999999999997</v>
      </c>
      <c r="AB432" s="347"/>
      <c r="AC432" s="347"/>
      <c r="AD432" s="347"/>
      <c r="AE432" s="347"/>
      <c r="AF432" s="347"/>
      <c r="AG432" s="347"/>
      <c r="AH432" s="347"/>
    </row>
    <row r="433" spans="1:34" s="349" customFormat="1" ht="13">
      <c r="A433" s="870"/>
      <c r="B433" s="347" t="s">
        <v>249</v>
      </c>
      <c r="C433" s="429">
        <f t="shared" ref="C433:T433" si="732">C430*1000/C399</f>
        <v>443.98474368091019</v>
      </c>
      <c r="D433" s="429">
        <f t="shared" si="732"/>
        <v>437.5</v>
      </c>
      <c r="E433" s="429">
        <f t="shared" si="732"/>
        <v>169.86173633440515</v>
      </c>
      <c r="F433" s="429">
        <f t="shared" si="732"/>
        <v>120</v>
      </c>
      <c r="G433" s="429">
        <f t="shared" si="732"/>
        <v>140.56034482758622</v>
      </c>
      <c r="H433" s="429">
        <f t="shared" si="732"/>
        <v>222.18340611353713</v>
      </c>
      <c r="I433" s="429">
        <f t="shared" si="732"/>
        <v>122.21487603305785</v>
      </c>
      <c r="J433" s="429">
        <f t="shared" si="732"/>
        <v>119.04362416107382</v>
      </c>
      <c r="K433" s="429">
        <f t="shared" si="732"/>
        <v>98.714285714285708</v>
      </c>
      <c r="L433" s="429">
        <f t="shared" si="732"/>
        <v>120.08602150537635</v>
      </c>
      <c r="M433" s="429">
        <f t="shared" si="732"/>
        <v>125.17757009345794</v>
      </c>
      <c r="N433" s="429">
        <f t="shared" si="732"/>
        <v>114.27601092896175</v>
      </c>
      <c r="O433" s="429">
        <f t="shared" si="732"/>
        <v>160.42569664902999</v>
      </c>
      <c r="P433" s="429">
        <f t="shared" si="732"/>
        <v>106.32233546381067</v>
      </c>
      <c r="Q433" s="429">
        <f t="shared" si="732"/>
        <v>171.31756173372474</v>
      </c>
      <c r="R433" s="429">
        <f t="shared" si="732"/>
        <v>157.61739130434782</v>
      </c>
      <c r="S433" s="429">
        <f t="shared" si="732"/>
        <v>124.48695652173913</v>
      </c>
      <c r="T433" s="429">
        <f t="shared" si="732"/>
        <v>125.54421768707483</v>
      </c>
      <c r="U433" s="429"/>
      <c r="V433" s="429">
        <f t="shared" ref="V433:AA433" si="733">V430*1000/V399</f>
        <v>246.31216091799189</v>
      </c>
      <c r="W433" s="429">
        <f t="shared" si="733"/>
        <v>123.87790419873785</v>
      </c>
      <c r="X433" s="429">
        <f t="shared" si="733"/>
        <v>121.64398177827069</v>
      </c>
      <c r="Y433" s="429">
        <f t="shared" si="733"/>
        <v>125.13365850152336</v>
      </c>
      <c r="Z433" s="429">
        <f t="shared" si="733"/>
        <v>128.71879102001361</v>
      </c>
      <c r="AA433" s="429">
        <f t="shared" si="733"/>
        <v>135.5545611554225</v>
      </c>
      <c r="AB433" s="347"/>
      <c r="AC433" s="347"/>
      <c r="AD433" s="347"/>
      <c r="AE433" s="347"/>
      <c r="AF433" s="347"/>
      <c r="AG433" s="347"/>
      <c r="AH433" s="347"/>
    </row>
    <row r="434" spans="1:34" s="349" customFormat="1" ht="13">
      <c r="A434" s="870"/>
      <c r="B434" s="347"/>
      <c r="C434" s="347"/>
      <c r="D434" s="347"/>
      <c r="E434" s="347"/>
      <c r="F434" s="347"/>
      <c r="G434" s="347"/>
      <c r="H434" s="347"/>
      <c r="I434" s="347"/>
      <c r="J434" s="347"/>
      <c r="K434" s="347"/>
      <c r="L434" s="347"/>
      <c r="M434" s="347"/>
      <c r="N434" s="347"/>
      <c r="O434" s="347"/>
      <c r="P434" s="347"/>
      <c r="Q434" s="347"/>
      <c r="R434" s="347"/>
      <c r="S434" s="347"/>
      <c r="T434" s="347"/>
      <c r="U434" s="347"/>
      <c r="V434" s="347"/>
      <c r="W434" s="347"/>
      <c r="X434" s="347"/>
      <c r="Y434" s="347"/>
      <c r="Z434" s="347"/>
      <c r="AA434" s="347"/>
      <c r="AB434" s="347"/>
      <c r="AC434" s="347"/>
      <c r="AD434" s="347"/>
      <c r="AE434" s="347"/>
      <c r="AF434" s="347"/>
      <c r="AG434" s="347"/>
      <c r="AH434" s="347"/>
    </row>
    <row r="435" spans="1:34" s="349" customFormat="1" ht="13">
      <c r="A435" s="870"/>
      <c r="B435" s="347" t="s">
        <v>91</v>
      </c>
      <c r="C435" s="659">
        <f>'Income Statement'!C437</f>
        <v>1749</v>
      </c>
      <c r="D435" s="659">
        <f>'Income Statement'!H437</f>
        <v>3379</v>
      </c>
      <c r="E435" s="659">
        <f>'Income Statement'!M437</f>
        <v>3741</v>
      </c>
      <c r="F435" s="659">
        <f>'Income Statement'!R437</f>
        <v>4122</v>
      </c>
      <c r="G435" s="659">
        <f>'Income Statement'!W437</f>
        <v>4683</v>
      </c>
      <c r="H435" s="659">
        <f>'Income Statement'!AB437</f>
        <v>5066</v>
      </c>
      <c r="I435" s="659">
        <f>'Income Statement'!AG437</f>
        <v>5759</v>
      </c>
      <c r="J435" s="659">
        <f>'Income Statement'!AL437</f>
        <v>6958</v>
      </c>
      <c r="K435" s="1019">
        <f>Inputs!BF15</f>
        <v>7135</v>
      </c>
      <c r="L435" s="1019">
        <f>Inputs!BG15</f>
        <v>8046</v>
      </c>
      <c r="M435" s="1019">
        <f>Inputs!BH15</f>
        <v>6951</v>
      </c>
      <c r="N435" s="1019">
        <f>Inputs!BI15</f>
        <v>11621</v>
      </c>
      <c r="O435" s="1019">
        <f>Inputs!BJ15</f>
        <v>7363</v>
      </c>
      <c r="P435" s="1019">
        <f>Inputs!BK15</f>
        <v>12454.688</v>
      </c>
      <c r="Q435" s="1019">
        <f>Inputs!BL15</f>
        <v>9956.2270000000008</v>
      </c>
      <c r="R435" s="1019">
        <f>Inputs!BM15</f>
        <v>10564.296</v>
      </c>
      <c r="S435" s="1019">
        <f>Inputs!BN15</f>
        <v>11347.758</v>
      </c>
      <c r="T435" s="1019">
        <f>Inputs!BO15</f>
        <v>12074.334999999999</v>
      </c>
      <c r="U435" s="1019"/>
      <c r="V435" s="659">
        <f t="shared" ref="V435:AA435" si="734">-V102-V103</f>
        <v>16060.99585611411</v>
      </c>
      <c r="W435" s="659">
        <f t="shared" si="734"/>
        <v>16553.799226474192</v>
      </c>
      <c r="X435" s="659">
        <f t="shared" si="734"/>
        <v>16118.431741703713</v>
      </c>
      <c r="Y435" s="659">
        <f t="shared" si="734"/>
        <v>15783.229182500902</v>
      </c>
      <c r="Z435" s="659">
        <f t="shared" si="734"/>
        <v>15653.647222389198</v>
      </c>
      <c r="AA435" s="659">
        <f t="shared" si="734"/>
        <v>15689.825763565037</v>
      </c>
      <c r="AB435" s="347"/>
      <c r="AC435" s="347"/>
      <c r="AD435" s="347"/>
      <c r="AE435" s="347"/>
      <c r="AF435" s="347"/>
      <c r="AG435" s="347"/>
      <c r="AH435" s="347"/>
    </row>
  </sheetData>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20B1E-9822-404E-BB22-7787CE4FF218}">
  <sheetPr codeName="Sheet15">
    <tabColor rgb="FF0000FF"/>
  </sheetPr>
  <dimension ref="A2:BO164"/>
  <sheetViews>
    <sheetView zoomScale="70" zoomScaleNormal="70" workbookViewId="0">
      <pane xSplit="3" ySplit="4" topLeftCell="AN5" activePane="bottomRight" state="frozen"/>
      <selection pane="topRight" activeCell="D1" sqref="D1"/>
      <selection pane="bottomLeft" activeCell="A5" sqref="A5"/>
      <selection pane="bottomRight" activeCell="AZ21" sqref="AZ21"/>
    </sheetView>
  </sheetViews>
  <sheetFormatPr defaultColWidth="8.90625" defaultRowHeight="14.5"/>
  <cols>
    <col min="1" max="1" width="2.81640625" style="771" customWidth="1"/>
    <col min="2" max="2" width="20.453125" style="319" bestFit="1" customWidth="1"/>
    <col min="3" max="3" width="6.81640625" style="319" bestFit="1" customWidth="1"/>
    <col min="4" max="4" width="9.54296875" style="319" bestFit="1" customWidth="1"/>
    <col min="5" max="50" width="8.90625" style="319"/>
    <col min="51" max="51" width="9.6328125" style="319" bestFit="1" customWidth="1"/>
    <col min="52" max="54" width="9.6328125" style="319" customWidth="1"/>
    <col min="55" max="57" width="8.90625" style="319"/>
    <col min="58" max="58" width="10.36328125" style="319" bestFit="1" customWidth="1"/>
    <col min="59" max="66" width="8.90625" style="319"/>
    <col min="67" max="67" width="10.90625" style="319" bestFit="1" customWidth="1"/>
    <col min="68" max="16384" width="8.90625" style="319"/>
  </cols>
  <sheetData>
    <row r="2" spans="1:67">
      <c r="B2" s="683" t="s">
        <v>988</v>
      </c>
      <c r="C2" s="772">
        <v>45565</v>
      </c>
      <c r="BA2" s="1300" t="s">
        <v>1463</v>
      </c>
      <c r="BC2" s="319" t="s">
        <v>989</v>
      </c>
      <c r="BF2" s="683" t="s">
        <v>1004</v>
      </c>
    </row>
    <row r="3" spans="1:67">
      <c r="B3" s="781"/>
      <c r="C3" s="781"/>
      <c r="D3" s="782" t="str">
        <f>'[16]Reported Group Highlights'!D1</f>
        <v>1Q13</v>
      </c>
      <c r="E3" s="782" t="str">
        <f>'[16]Reported Group Highlights'!E1</f>
        <v>2Q13</v>
      </c>
      <c r="F3" s="782" t="str">
        <f>'[16]Reported Group Highlights'!F1</f>
        <v>3Q13</v>
      </c>
      <c r="G3" s="782" t="str">
        <f>'[16]Reported Group Highlights'!G1</f>
        <v>4Q13</v>
      </c>
      <c r="H3" s="782" t="str">
        <f>'[16]Reported Group Highlights'!H1</f>
        <v>1Q14</v>
      </c>
      <c r="I3" s="782" t="str">
        <f>'[16]Reported Group Highlights'!I1</f>
        <v>2Q14</v>
      </c>
      <c r="J3" s="782" t="str">
        <f>'[16]Reported Group Highlights'!J1</f>
        <v>3Q14</v>
      </c>
      <c r="K3" s="782" t="str">
        <f>'[16]Reported Group Highlights'!K1</f>
        <v>4Q14</v>
      </c>
      <c r="L3" s="782" t="str">
        <f>'[16]Reported Group Highlights'!L1</f>
        <v>1Q15</v>
      </c>
      <c r="M3" s="782" t="str">
        <f>'[16]Reported Group Highlights'!M1</f>
        <v>2Q15</v>
      </c>
      <c r="N3" s="782" t="str">
        <f>'[16]Reported Group Highlights'!N1</f>
        <v>3Q15</v>
      </c>
      <c r="O3" s="782" t="str">
        <f>'[16]Reported Group Highlights'!O1</f>
        <v>4Q15</v>
      </c>
      <c r="P3" s="782" t="str">
        <f>'[16]Reported Group Highlights'!P1</f>
        <v>1Q16</v>
      </c>
      <c r="Q3" s="782" t="str">
        <f>'[16]Reported Group Highlights'!Q1</f>
        <v>2Q16</v>
      </c>
      <c r="R3" s="782" t="str">
        <f>'[16]Reported Group Highlights'!R1</f>
        <v>3Q16</v>
      </c>
      <c r="S3" s="782" t="str">
        <f>'[16]Reported Group Highlights'!S1</f>
        <v>4Q16</v>
      </c>
      <c r="T3" s="782" t="str">
        <f>'[16]Reported Group Highlights'!T1</f>
        <v>1Q17</v>
      </c>
      <c r="U3" s="782" t="str">
        <f>'[16]Reported Group Highlights'!U1</f>
        <v>2Q17</v>
      </c>
      <c r="V3" s="782" t="str">
        <f>'[16]Reported Group Highlights'!V1</f>
        <v>3Q17</v>
      </c>
      <c r="W3" s="782" t="str">
        <f>'[16]Reported Group Highlights'!W1</f>
        <v>4Q17</v>
      </c>
      <c r="X3" s="782" t="str">
        <f>'[16]Reported Group Highlights'!X1</f>
        <v>1Q18</v>
      </c>
      <c r="Y3" s="782" t="str">
        <f>'[16]Reported Group Highlights'!Y1</f>
        <v>2Q18</v>
      </c>
      <c r="Z3" s="782" t="str">
        <f>'[16]Reported Group Highlights'!Z1</f>
        <v>3Q18</v>
      </c>
      <c r="AA3" s="782" t="str">
        <f>'[16]Reported Group Highlights'!AA1</f>
        <v>4Q18</v>
      </c>
      <c r="AB3" s="782" t="str">
        <f>'[16]Reported Group Highlights'!AB1</f>
        <v>1Q19</v>
      </c>
      <c r="AC3" s="782" t="str">
        <f>'[16]Reported Group Highlights'!AC1</f>
        <v>2Q19</v>
      </c>
      <c r="AD3" s="782" t="str">
        <f>'[16]Reported Group Highlights'!AD1</f>
        <v>3Q19</v>
      </c>
      <c r="AE3" s="782" t="str">
        <f>'[16]Reported Group Highlights'!AE1</f>
        <v>4Q19</v>
      </c>
      <c r="AF3" s="782" t="str">
        <f>'[16]Reported Group Highlights'!AF1</f>
        <v>1Q20</v>
      </c>
      <c r="AG3" s="782" t="str">
        <f>'[16]Reported Group Highlights'!AG1</f>
        <v>2Q20</v>
      </c>
      <c r="AH3" s="782" t="str">
        <f>'[16]Reported Group Highlights'!AH1</f>
        <v>3Q20</v>
      </c>
      <c r="AI3" s="782" t="str">
        <f>'[16]Reported Group Highlights'!AI1</f>
        <v>4Q20</v>
      </c>
      <c r="AJ3" s="782" t="str">
        <f>'[16]Reported Group Highlights'!AJ1</f>
        <v>1Q21</v>
      </c>
      <c r="AK3" s="782" t="str">
        <f>'[16]Reported Group Highlights'!AK1</f>
        <v>2Q21</v>
      </c>
      <c r="AL3" s="782" t="str">
        <f>'[16]Reported Group Highlights'!AL1</f>
        <v>3Q21</v>
      </c>
      <c r="AM3" s="782" t="str">
        <f>'[16]Reported Group Highlights'!AM1</f>
        <v>4Q21</v>
      </c>
      <c r="AN3" s="782" t="str">
        <f>'[16]Reported Group Highlights'!AN1</f>
        <v>1Q22</v>
      </c>
      <c r="AO3" s="782" t="str">
        <f>'[16]Reported Group Highlights'!AO1</f>
        <v>2Q22</v>
      </c>
      <c r="AP3" s="782" t="str">
        <f>'[16]Reported Group Highlights'!AP1</f>
        <v>3Q22</v>
      </c>
      <c r="AQ3" s="782" t="str">
        <f>'[16]Reported Group Highlights'!AQ1</f>
        <v>4Q22</v>
      </c>
      <c r="AR3" s="782" t="str">
        <f>'[16]Reported Group Highlights'!AR1</f>
        <v>1Q23</v>
      </c>
      <c r="AS3" s="782" t="str">
        <f>'[16]Reported Group Highlights'!AS1</f>
        <v>2Q23</v>
      </c>
      <c r="AT3" s="782" t="str">
        <f>'[16]Reported Group Highlights'!AT1</f>
        <v>3Q23</v>
      </c>
      <c r="AU3" s="782" t="str">
        <f>'[16]Reported Group Highlights'!AU1</f>
        <v>4Q23</v>
      </c>
      <c r="AV3" s="782" t="str">
        <f>'[16]Reported Group Highlights'!AV1</f>
        <v>1Q24</v>
      </c>
      <c r="AW3" s="782" t="str">
        <f>'[16]Reported Group Highlights'!AW1</f>
        <v>2Q24</v>
      </c>
      <c r="AX3" s="782" t="str">
        <f>'[16]Reported Group Highlights'!AX1</f>
        <v>3Q24</v>
      </c>
      <c r="AY3" s="782" t="str">
        <f>'[16]Reported Group Highlights'!AY1</f>
        <v>4Q24</v>
      </c>
      <c r="AZ3" s="782" t="str">
        <f>'[16]Reported Group Highlights'!AZ1</f>
        <v>1Q25</v>
      </c>
      <c r="BA3" s="782" t="str">
        <f>'[16]Reported Group Highlights'!BA1</f>
        <v>2Q25</v>
      </c>
      <c r="BB3" s="782"/>
      <c r="BC3" s="782"/>
      <c r="BF3" s="783">
        <v>2015</v>
      </c>
      <c r="BG3" s="783">
        <f>BF3+1</f>
        <v>2016</v>
      </c>
      <c r="BH3" s="783">
        <f t="shared" ref="BH3:BO3" si="0">BG3+1</f>
        <v>2017</v>
      </c>
      <c r="BI3" s="783">
        <f t="shared" si="0"/>
        <v>2018</v>
      </c>
      <c r="BJ3" s="783">
        <f t="shared" si="0"/>
        <v>2019</v>
      </c>
      <c r="BK3" s="783">
        <f t="shared" si="0"/>
        <v>2020</v>
      </c>
      <c r="BL3" s="783">
        <f t="shared" si="0"/>
        <v>2021</v>
      </c>
      <c r="BM3" s="783">
        <f t="shared" si="0"/>
        <v>2022</v>
      </c>
      <c r="BN3" s="783">
        <f t="shared" si="0"/>
        <v>2023</v>
      </c>
      <c r="BO3" s="783">
        <f t="shared" si="0"/>
        <v>2024</v>
      </c>
    </row>
    <row r="4" spans="1:67">
      <c r="B4" s="783" t="s">
        <v>591</v>
      </c>
      <c r="C4" s="783"/>
      <c r="D4" s="784">
        <f>'[16]Reported Group Highlights'!D2</f>
        <v>41364</v>
      </c>
      <c r="E4" s="784">
        <f>'[16]Reported Group Highlights'!E2</f>
        <v>41455</v>
      </c>
      <c r="F4" s="784">
        <f>'[16]Reported Group Highlights'!F2</f>
        <v>41547</v>
      </c>
      <c r="G4" s="784">
        <f>'[16]Reported Group Highlights'!G2</f>
        <v>41639</v>
      </c>
      <c r="H4" s="784">
        <f>'[16]Reported Group Highlights'!H2</f>
        <v>41729</v>
      </c>
      <c r="I4" s="784">
        <f>'[16]Reported Group Highlights'!I2</f>
        <v>41820</v>
      </c>
      <c r="J4" s="784">
        <f>'[16]Reported Group Highlights'!J2</f>
        <v>41912</v>
      </c>
      <c r="K4" s="784">
        <f>'[16]Reported Group Highlights'!K2</f>
        <v>42004</v>
      </c>
      <c r="L4" s="784">
        <f>'[16]Reported Group Highlights'!L2</f>
        <v>42094</v>
      </c>
      <c r="M4" s="784">
        <f>'[16]Reported Group Highlights'!M2</f>
        <v>42185</v>
      </c>
      <c r="N4" s="784">
        <f>'[16]Reported Group Highlights'!N2</f>
        <v>42277</v>
      </c>
      <c r="O4" s="784">
        <f>'[16]Reported Group Highlights'!O2</f>
        <v>42369</v>
      </c>
      <c r="P4" s="784">
        <f>'[16]Reported Group Highlights'!P2</f>
        <v>42460</v>
      </c>
      <c r="Q4" s="784">
        <f>'[16]Reported Group Highlights'!Q2</f>
        <v>42551</v>
      </c>
      <c r="R4" s="784">
        <f>'[16]Reported Group Highlights'!R2</f>
        <v>42643</v>
      </c>
      <c r="S4" s="784">
        <f>'[16]Reported Group Highlights'!S2</f>
        <v>42735</v>
      </c>
      <c r="T4" s="784">
        <f>'[16]Reported Group Highlights'!T2</f>
        <v>42825</v>
      </c>
      <c r="U4" s="784">
        <f>'[16]Reported Group Highlights'!U2</f>
        <v>42916</v>
      </c>
      <c r="V4" s="784">
        <f>'[16]Reported Group Highlights'!V2</f>
        <v>43008</v>
      </c>
      <c r="W4" s="784">
        <f>'[16]Reported Group Highlights'!W2</f>
        <v>43100</v>
      </c>
      <c r="X4" s="784">
        <f>'[16]Reported Group Highlights'!X2</f>
        <v>43190</v>
      </c>
      <c r="Y4" s="784">
        <f>'[16]Reported Group Highlights'!Y2</f>
        <v>43281</v>
      </c>
      <c r="Z4" s="784">
        <f>'[16]Reported Group Highlights'!Z2</f>
        <v>43373</v>
      </c>
      <c r="AA4" s="784">
        <f>'[16]Reported Group Highlights'!AA2</f>
        <v>43465</v>
      </c>
      <c r="AB4" s="784">
        <f>'[16]Reported Group Highlights'!AB2</f>
        <v>43555</v>
      </c>
      <c r="AC4" s="784">
        <f>'[16]Reported Group Highlights'!AC2</f>
        <v>43646</v>
      </c>
      <c r="AD4" s="784">
        <f>'[16]Reported Group Highlights'!AD2</f>
        <v>43738</v>
      </c>
      <c r="AE4" s="784">
        <f>'[16]Reported Group Highlights'!AE2</f>
        <v>43830</v>
      </c>
      <c r="AF4" s="784">
        <f>'[16]Reported Group Highlights'!AF2</f>
        <v>43921</v>
      </c>
      <c r="AG4" s="784">
        <f>'[16]Reported Group Highlights'!AG2</f>
        <v>44012</v>
      </c>
      <c r="AH4" s="784">
        <f>'[16]Reported Group Highlights'!AH2</f>
        <v>44104</v>
      </c>
      <c r="AI4" s="784">
        <f>'[16]Reported Group Highlights'!AI2</f>
        <v>44196</v>
      </c>
      <c r="AJ4" s="784">
        <f>'[16]Reported Group Highlights'!AJ2</f>
        <v>44286</v>
      </c>
      <c r="AK4" s="784">
        <f>'[16]Reported Group Highlights'!AK2</f>
        <v>44377</v>
      </c>
      <c r="AL4" s="784">
        <f>'[16]Reported Group Highlights'!AL2</f>
        <v>44469</v>
      </c>
      <c r="AM4" s="784">
        <f>'[16]Reported Group Highlights'!AM2</f>
        <v>44561</v>
      </c>
      <c r="AN4" s="784">
        <f>'[16]Reported Group Highlights'!AN2</f>
        <v>44651</v>
      </c>
      <c r="AO4" s="784">
        <f>'[16]Reported Group Highlights'!AO2</f>
        <v>44742</v>
      </c>
      <c r="AP4" s="784">
        <f>'[16]Reported Group Highlights'!AP2</f>
        <v>44834</v>
      </c>
      <c r="AQ4" s="784">
        <f>'[16]Reported Group Highlights'!AQ2</f>
        <v>44926</v>
      </c>
      <c r="AR4" s="784">
        <f>'[16]Reported Group Highlights'!AR2</f>
        <v>45016</v>
      </c>
      <c r="AS4" s="784">
        <f>'[16]Reported Group Highlights'!AS2</f>
        <v>45107</v>
      </c>
      <c r="AT4" s="784">
        <f>'[16]Reported Group Highlights'!AT2</f>
        <v>45199</v>
      </c>
      <c r="AU4" s="784">
        <f>'[16]Reported Group Highlights'!AU2</f>
        <v>45291</v>
      </c>
      <c r="AV4" s="784">
        <f>'[16]Reported Group Highlights'!AV2</f>
        <v>45382</v>
      </c>
      <c r="AW4" s="784">
        <f>'[16]Reported Group Highlights'!AW2</f>
        <v>45473</v>
      </c>
      <c r="AX4" s="784">
        <f>'[16]Reported Group Highlights'!AX2</f>
        <v>45565</v>
      </c>
      <c r="AY4" s="784">
        <f>'[16]Reported Group Highlights'!AY2</f>
        <v>45657</v>
      </c>
      <c r="AZ4" s="784">
        <f>'[16]Reported Group Highlights'!AZ2</f>
        <v>45747</v>
      </c>
      <c r="BA4" s="784">
        <f>'[16]Reported Group Highlights'!BA2</f>
        <v>45838</v>
      </c>
      <c r="BB4" s="784"/>
      <c r="BC4" s="784"/>
      <c r="BF4" s="784">
        <v>42369</v>
      </c>
      <c r="BG4" s="784">
        <f>EOMONTH(BF4,12)</f>
        <v>42735</v>
      </c>
      <c r="BH4" s="784">
        <f t="shared" ref="BH4:BO4" si="1">EOMONTH(BG4,12)</f>
        <v>43100</v>
      </c>
      <c r="BI4" s="784">
        <f t="shared" si="1"/>
        <v>43465</v>
      </c>
      <c r="BJ4" s="784">
        <f t="shared" si="1"/>
        <v>43830</v>
      </c>
      <c r="BK4" s="784">
        <f t="shared" si="1"/>
        <v>44196</v>
      </c>
      <c r="BL4" s="784">
        <f t="shared" si="1"/>
        <v>44561</v>
      </c>
      <c r="BM4" s="784">
        <f t="shared" si="1"/>
        <v>44926</v>
      </c>
      <c r="BN4" s="784">
        <f t="shared" si="1"/>
        <v>45291</v>
      </c>
      <c r="BO4" s="784">
        <f t="shared" si="1"/>
        <v>45657</v>
      </c>
    </row>
    <row r="5" spans="1:67">
      <c r="D5" s="773"/>
      <c r="E5" s="773"/>
      <c r="F5" s="773"/>
      <c r="G5" s="773"/>
      <c r="H5" s="773"/>
      <c r="I5" s="773"/>
      <c r="J5" s="773"/>
      <c r="K5" s="773"/>
      <c r="L5" s="773"/>
      <c r="M5" s="773"/>
      <c r="N5" s="773"/>
      <c r="O5" s="773"/>
      <c r="P5" s="773"/>
      <c r="Q5" s="773"/>
      <c r="R5" s="773"/>
      <c r="S5" s="773"/>
      <c r="T5" s="773"/>
      <c r="U5" s="773"/>
      <c r="V5" s="773"/>
      <c r="W5" s="773"/>
      <c r="X5" s="773"/>
      <c r="Y5" s="773"/>
      <c r="Z5" s="773"/>
      <c r="AA5" s="773"/>
      <c r="AB5" s="773"/>
      <c r="AC5" s="773"/>
      <c r="AD5" s="773"/>
      <c r="AE5" s="773"/>
      <c r="AF5" s="773"/>
      <c r="AG5" s="773"/>
      <c r="AH5" s="773"/>
      <c r="AI5" s="773"/>
      <c r="AJ5" s="773"/>
      <c r="AK5" s="773"/>
      <c r="AL5" s="773"/>
      <c r="AM5" s="773"/>
      <c r="AN5" s="773"/>
      <c r="AO5" s="773"/>
      <c r="AP5" s="773"/>
      <c r="AQ5" s="773"/>
      <c r="AR5" s="773"/>
      <c r="AS5" s="773"/>
      <c r="AT5" s="773"/>
      <c r="AU5" s="773"/>
      <c r="AV5" s="773"/>
      <c r="AW5" s="773"/>
      <c r="AX5" s="773"/>
      <c r="AY5" s="773"/>
      <c r="AZ5" s="773"/>
      <c r="BA5" s="773"/>
      <c r="BB5" s="773"/>
      <c r="BC5" s="773"/>
    </row>
    <row r="6" spans="1:67">
      <c r="B6" s="774" t="s">
        <v>579</v>
      </c>
      <c r="C6" s="774"/>
      <c r="D6" s="775"/>
      <c r="E6" s="775"/>
      <c r="F6" s="775"/>
      <c r="G6" s="775"/>
      <c r="H6" s="775"/>
      <c r="I6" s="775"/>
      <c r="J6" s="775"/>
      <c r="K6" s="775"/>
      <c r="L6" s="775"/>
      <c r="M6" s="775"/>
      <c r="N6" s="775"/>
      <c r="O6" s="775"/>
      <c r="P6" s="775"/>
      <c r="Q6" s="775"/>
      <c r="R6" s="775"/>
      <c r="S6" s="775"/>
      <c r="T6" s="775"/>
      <c r="U6" s="775"/>
      <c r="V6" s="775"/>
      <c r="W6" s="775"/>
      <c r="X6" s="775"/>
      <c r="Y6" s="775"/>
      <c r="Z6" s="775"/>
      <c r="AA6" s="775"/>
      <c r="AB6" s="775"/>
      <c r="AC6" s="775"/>
      <c r="AD6" s="775"/>
      <c r="AE6" s="775"/>
      <c r="AF6" s="775"/>
      <c r="AG6" s="775"/>
      <c r="AH6" s="775"/>
      <c r="AI6" s="775"/>
      <c r="AJ6" s="775"/>
      <c r="AK6" s="775"/>
      <c r="AL6" s="775"/>
      <c r="AM6" s="775"/>
      <c r="AN6" s="775"/>
      <c r="AO6" s="775"/>
      <c r="AP6" s="775"/>
      <c r="AQ6" s="775"/>
      <c r="AR6" s="775"/>
      <c r="AS6" s="775"/>
      <c r="AT6" s="775"/>
      <c r="AU6" s="775"/>
      <c r="AV6" s="775"/>
      <c r="AW6" s="775"/>
      <c r="AX6" s="775"/>
      <c r="AY6" s="775"/>
      <c r="AZ6" s="775"/>
      <c r="BA6" s="775"/>
      <c r="BB6" s="775"/>
      <c r="BC6" s="775"/>
    </row>
    <row r="7" spans="1:67" s="778" customFormat="1">
      <c r="A7" s="776"/>
      <c r="B7" s="683" t="s">
        <v>687</v>
      </c>
      <c r="C7" s="683"/>
      <c r="D7" s="777">
        <f>'[16]Reported Group Highlights'!D11</f>
        <v>5758</v>
      </c>
      <c r="E7" s="777">
        <f>'[16]Reported Group Highlights'!E11</f>
        <v>6055</v>
      </c>
      <c r="F7" s="777">
        <f>'[16]Reported Group Highlights'!F11</f>
        <v>6388</v>
      </c>
      <c r="G7" s="777">
        <f>'[16]Reported Group Highlights'!G11</f>
        <v>6383</v>
      </c>
      <c r="H7" s="777">
        <f>'[16]Reported Group Highlights'!H11</f>
        <v>5507</v>
      </c>
      <c r="I7" s="777">
        <f>'[16]Reported Group Highlights'!I11</f>
        <v>6041</v>
      </c>
      <c r="J7" s="777">
        <f>'[16]Reported Group Highlights'!J11</f>
        <v>6006</v>
      </c>
      <c r="K7" s="777">
        <f>'[16]Reported Group Highlights'!K11</f>
        <v>5906</v>
      </c>
      <c r="L7" s="777">
        <f>'[16]Reported Group Highlights'!L11</f>
        <v>5481</v>
      </c>
      <c r="M7" s="777">
        <f>'[16]Reported Group Highlights'!M11</f>
        <v>5611</v>
      </c>
      <c r="N7" s="777">
        <f>'[16]Reported Group Highlights'!N11</f>
        <v>5830</v>
      </c>
      <c r="O7" s="777">
        <f>'[16]Reported Group Highlights'!O11</f>
        <v>5973</v>
      </c>
      <c r="P7" s="777">
        <f>'[16]Reported Group Highlights'!P11</f>
        <v>5616</v>
      </c>
      <c r="Q7" s="777">
        <f>'[16]Reported Group Highlights'!Q11</f>
        <v>5238</v>
      </c>
      <c r="R7" s="777">
        <f>'[16]Reported Group Highlights'!R11</f>
        <v>5230</v>
      </c>
      <c r="S7" s="777">
        <f>'[16]Reported Group Highlights'!S11</f>
        <v>5257</v>
      </c>
      <c r="T7" s="777">
        <f>'[16]Reported Group Highlights'!T11</f>
        <v>5266</v>
      </c>
      <c r="U7" s="777">
        <f>'[16]Reported Group Highlights'!U11</f>
        <v>5667</v>
      </c>
      <c r="V7" s="777">
        <f>'[16]Reported Group Highlights'!V11</f>
        <v>5970</v>
      </c>
      <c r="W7" s="777">
        <f>'[16]Reported Group Highlights'!W11</f>
        <v>5998</v>
      </c>
      <c r="X7" s="777">
        <f>'[16]Reported Group Highlights'!X11</f>
        <v>5501.3649999999998</v>
      </c>
      <c r="Y7" s="777">
        <f>'[16]Reported Group Highlights'!Y11</f>
        <v>5544.6769999999997</v>
      </c>
      <c r="Z7" s="777">
        <f>'[16]Reported Group Highlights'!Z11</f>
        <v>5846.17</v>
      </c>
      <c r="AA7" s="777">
        <f>'[16]Reported Group Highlights'!AA11</f>
        <v>6046.6</v>
      </c>
      <c r="AB7" s="777">
        <f>'[16]Reported Group Highlights'!AB11</f>
        <v>5967.2240000000002</v>
      </c>
      <c r="AC7" s="777">
        <f>'[16]Reported Group Highlights'!AC11</f>
        <v>6289.6049999999996</v>
      </c>
      <c r="AD7" s="777">
        <f>'[16]Reported Group Highlights'!AD11</f>
        <v>6463.6930000000002</v>
      </c>
      <c r="AE7" s="777">
        <f>'[16]Reported Group Highlights'!AE11</f>
        <v>6412.33</v>
      </c>
      <c r="AF7" s="777">
        <f>'[16]Reported Group Highlights'!AF11</f>
        <v>6497.1509999999998</v>
      </c>
      <c r="AG7" s="777">
        <f>'[16]Reported Group Highlights'!AG11</f>
        <v>6585.009</v>
      </c>
      <c r="AH7" s="777">
        <f>'[16]Reported Group Highlights'!AH11</f>
        <v>6573.991</v>
      </c>
      <c r="AI7" s="777">
        <f>'[16]Reported Group Highlights'!AI11</f>
        <v>6352.9440000000004</v>
      </c>
      <c r="AJ7" s="777">
        <f>'[16]Reported Group Highlights'!AJ11</f>
        <v>6247.3630000000003</v>
      </c>
      <c r="AK7" s="777">
        <f>'[16]Reported Group Highlights'!AK11</f>
        <v>6726.8360000000002</v>
      </c>
      <c r="AL7" s="777">
        <f>'[16]Reported Group Highlights'!AL11</f>
        <v>6825.9939999999997</v>
      </c>
      <c r="AM7" s="777">
        <f>'[16]Reported Group Highlights'!AM11</f>
        <v>6953.857</v>
      </c>
      <c r="AN7" s="777">
        <f>'[16]Reported Group Highlights'!AN11</f>
        <v>6742.0590000000002</v>
      </c>
      <c r="AO7" s="777">
        <f>'[16]Reported Group Highlights'!AO11</f>
        <v>7332.7409999999991</v>
      </c>
      <c r="AP7" s="777">
        <f>'[16]Reported Group Highlights'!AP11</f>
        <v>7520.6000000000031</v>
      </c>
      <c r="AQ7" s="777">
        <f>'[16]Reported Group Highlights'!AQ11</f>
        <v>7546.5939999999982</v>
      </c>
      <c r="AR7" s="777">
        <f>'[16]Reported Group Highlights'!AR11</f>
        <v>7547.3239999999996</v>
      </c>
      <c r="AS7" s="777">
        <f>'[16]Reported Group Highlights'!AS11</f>
        <v>8217.2030000000013</v>
      </c>
      <c r="AT7" s="777">
        <f>'[16]Reported Group Highlights'!AT11</f>
        <v>8103.2769999999991</v>
      </c>
      <c r="AU7" s="777">
        <f>'[16]Reported Group Highlights'!AU11</f>
        <v>8454.8470000000016</v>
      </c>
      <c r="AV7" s="777">
        <v>8438.2849999999999</v>
      </c>
      <c r="AW7" s="777">
        <v>8613.3120000000017</v>
      </c>
      <c r="AX7" s="777">
        <v>8309.8139999999985</v>
      </c>
      <c r="AY7" s="777">
        <v>9030.1860000000015</v>
      </c>
      <c r="AZ7" s="777">
        <v>8601.1769999999997</v>
      </c>
      <c r="BA7" s="777">
        <v>10493.717000000001</v>
      </c>
      <c r="BB7" s="777">
        <v>11452.569</v>
      </c>
      <c r="BC7" s="777"/>
      <c r="BF7" s="778">
        <f>SUMIFS($D7:$BC7,$D$4:$BC$4,"&gt;"&amp;DATE(YEAR(BF$4)-1,12,31),$D$4:$BC$4,"&lt;="&amp;BF$4)</f>
        <v>22895</v>
      </c>
      <c r="BG7" s="778">
        <f>SUMIFS($D7:$BC7,$D$4:$BC$4,"&gt;"&amp;DATE(YEAR(BG$4)-1,12,31),$D$4:$BC$4,"&lt;="&amp;BG$4)</f>
        <v>21341</v>
      </c>
      <c r="BH7" s="778">
        <f t="shared" ref="BH7:BO22" si="2">SUMIFS($D7:$BC7,$D$4:$BC$4,"&gt;"&amp;DATE(YEAR(BH$4)-1,12,31),$D$4:$BC$4,"&lt;="&amp;BH$4)</f>
        <v>22901</v>
      </c>
      <c r="BI7" s="778">
        <f t="shared" si="2"/>
        <v>22938.811999999998</v>
      </c>
      <c r="BJ7" s="778">
        <f t="shared" si="2"/>
        <v>25132.851999999999</v>
      </c>
      <c r="BK7" s="778">
        <f t="shared" si="2"/>
        <v>26009.094999999998</v>
      </c>
      <c r="BL7" s="778">
        <f t="shared" si="2"/>
        <v>26754.05</v>
      </c>
      <c r="BM7" s="778">
        <f t="shared" si="2"/>
        <v>29141.993999999999</v>
      </c>
      <c r="BN7" s="778">
        <f t="shared" si="2"/>
        <v>32322.651000000002</v>
      </c>
      <c r="BO7" s="778">
        <f t="shared" si="2"/>
        <v>34391.597000000002</v>
      </c>
    </row>
    <row r="8" spans="1:67" s="780" customFormat="1">
      <c r="A8" s="771"/>
      <c r="B8" s="683" t="s">
        <v>796</v>
      </c>
      <c r="C8" s="319"/>
      <c r="D8" s="779"/>
      <c r="E8" s="779"/>
      <c r="F8" s="779"/>
      <c r="G8" s="779"/>
      <c r="H8" s="779"/>
      <c r="I8" s="779"/>
      <c r="J8" s="779"/>
      <c r="K8" s="779"/>
      <c r="L8" s="779"/>
      <c r="M8" s="779"/>
      <c r="N8" s="779"/>
      <c r="O8" s="779"/>
      <c r="P8" s="779"/>
      <c r="Q8" s="779"/>
      <c r="R8" s="779"/>
      <c r="S8" s="779"/>
      <c r="T8" s="779"/>
      <c r="U8" s="779"/>
      <c r="V8" s="779"/>
      <c r="W8" s="779"/>
      <c r="X8" s="779"/>
      <c r="Y8" s="779"/>
      <c r="Z8" s="779"/>
      <c r="AA8" s="779"/>
      <c r="AB8" s="779"/>
      <c r="AC8" s="779"/>
      <c r="AD8" s="779"/>
      <c r="AE8" s="779"/>
      <c r="AF8" s="779"/>
      <c r="AG8" s="779"/>
      <c r="AH8" s="779"/>
      <c r="AI8" s="779"/>
      <c r="AJ8" s="779"/>
      <c r="AK8" s="779"/>
      <c r="AL8" s="779"/>
      <c r="AM8" s="779"/>
      <c r="AN8" s="779"/>
      <c r="AO8" s="779"/>
      <c r="AP8" s="779"/>
      <c r="AQ8" s="779"/>
      <c r="AR8" s="779"/>
      <c r="AS8" s="779"/>
      <c r="AT8" s="779"/>
      <c r="AU8" s="779"/>
      <c r="AV8" s="779"/>
      <c r="AW8" s="779"/>
      <c r="AX8" s="779"/>
      <c r="AY8" s="779"/>
      <c r="AZ8" s="779"/>
      <c r="BA8" s="779"/>
      <c r="BB8" s="779"/>
      <c r="BC8" s="779"/>
    </row>
    <row r="9" spans="1:67" s="780" customFormat="1">
      <c r="A9" s="771"/>
      <c r="B9" s="319" t="s">
        <v>990</v>
      </c>
      <c r="C9" s="319"/>
      <c r="D9" s="785">
        <v>942</v>
      </c>
      <c r="E9" s="785">
        <v>973</v>
      </c>
      <c r="F9" s="785">
        <v>948</v>
      </c>
      <c r="G9" s="785">
        <v>863</v>
      </c>
      <c r="H9" s="785">
        <v>840</v>
      </c>
      <c r="I9" s="785">
        <v>881</v>
      </c>
      <c r="J9" s="785">
        <v>848</v>
      </c>
      <c r="K9" s="785">
        <v>787</v>
      </c>
      <c r="L9" s="785">
        <v>716</v>
      </c>
      <c r="M9" s="785">
        <v>514</v>
      </c>
      <c r="N9" s="785">
        <v>534</v>
      </c>
      <c r="O9" s="785">
        <v>557</v>
      </c>
      <c r="P9" s="785">
        <v>404</v>
      </c>
      <c r="Q9" s="785">
        <v>418</v>
      </c>
      <c r="R9" s="785">
        <v>526</v>
      </c>
      <c r="S9" s="785">
        <v>579</v>
      </c>
      <c r="T9" s="785">
        <v>659</v>
      </c>
      <c r="U9" s="785">
        <v>630</v>
      </c>
      <c r="V9" s="785">
        <v>624</v>
      </c>
      <c r="W9" s="785">
        <v>546</v>
      </c>
      <c r="X9" s="785">
        <v>486</v>
      </c>
      <c r="Y9" s="785">
        <v>612</v>
      </c>
      <c r="Z9" s="785">
        <v>694</v>
      </c>
      <c r="AA9" s="785">
        <v>629</v>
      </c>
      <c r="AB9" s="785">
        <v>446</v>
      </c>
      <c r="AC9" s="785">
        <v>516</v>
      </c>
      <c r="AD9" s="785">
        <v>495</v>
      </c>
      <c r="AE9" s="785">
        <v>458</v>
      </c>
      <c r="AF9" s="785">
        <v>430.14100000000002</v>
      </c>
      <c r="AG9" s="785">
        <v>386.49799999999999</v>
      </c>
      <c r="AH9" s="785">
        <v>383.20199999999983</v>
      </c>
      <c r="AI9" s="785">
        <v>360.90299999999996</v>
      </c>
      <c r="AJ9" s="785">
        <v>341.21100000000001</v>
      </c>
      <c r="AK9" s="785">
        <v>349.17200000000003</v>
      </c>
      <c r="AL9" s="785">
        <v>341.20900000000006</v>
      </c>
      <c r="AM9" s="785">
        <v>504.56700000000001</v>
      </c>
      <c r="AN9" s="785">
        <v>466.17</v>
      </c>
      <c r="AO9" s="785">
        <v>681.32799999999997</v>
      </c>
      <c r="AP9" s="785">
        <v>870.15999999999985</v>
      </c>
      <c r="AQ9" s="785">
        <v>858.81899999999996</v>
      </c>
      <c r="AR9" s="785">
        <v>648.85599999999999</v>
      </c>
      <c r="AS9" s="785">
        <v>887.68000000000006</v>
      </c>
      <c r="AT9" s="785">
        <v>783.63599999999997</v>
      </c>
      <c r="AU9" s="785">
        <v>852.04799999999977</v>
      </c>
      <c r="AV9" s="785">
        <v>764.08399999999995</v>
      </c>
      <c r="AW9" s="785">
        <v>822.63</v>
      </c>
      <c r="AX9" s="785">
        <v>692.7600000000001</v>
      </c>
      <c r="AY9" s="785">
        <v>1004.7059999999996</v>
      </c>
      <c r="AZ9" s="785">
        <v>949.96400000000006</v>
      </c>
      <c r="BA9" s="785">
        <v>1172.81</v>
      </c>
      <c r="BB9" s="785">
        <v>1386.4540000000002</v>
      </c>
      <c r="BC9" s="779"/>
      <c r="BF9" s="780">
        <f>SUMIFS($D9:$BC9,$D$4:$BC$4,"&gt;"&amp;DATE(YEAR(BF$4)-1,12,31),$D$4:$BC$4,"&lt;="&amp;BF$4)</f>
        <v>2321</v>
      </c>
      <c r="BG9" s="780">
        <f>SUMIFS($D9:$BC9,$D$4:$BC$4,"&gt;"&amp;DATE(YEAR(BG$4)-1,12,31),$D$4:$BC$4,"&lt;="&amp;BG$4)</f>
        <v>1927</v>
      </c>
      <c r="BH9" s="780">
        <f t="shared" si="2"/>
        <v>2459</v>
      </c>
      <c r="BI9" s="780">
        <f t="shared" si="2"/>
        <v>2421</v>
      </c>
      <c r="BJ9" s="780">
        <f t="shared" si="2"/>
        <v>1915</v>
      </c>
      <c r="BK9" s="780">
        <f t="shared" si="2"/>
        <v>1560.7439999999999</v>
      </c>
      <c r="BL9" s="780">
        <f t="shared" si="2"/>
        <v>1536.1590000000001</v>
      </c>
      <c r="BM9" s="780">
        <f t="shared" si="2"/>
        <v>2876.4769999999999</v>
      </c>
      <c r="BN9" s="780">
        <f t="shared" si="2"/>
        <v>3172.22</v>
      </c>
      <c r="BO9" s="780">
        <f t="shared" si="2"/>
        <v>3284.18</v>
      </c>
    </row>
    <row r="10" spans="1:67" s="780" customFormat="1">
      <c r="A10" s="771"/>
      <c r="B10" s="319" t="s">
        <v>991</v>
      </c>
      <c r="C10" s="319"/>
      <c r="D10" s="785">
        <v>235</v>
      </c>
      <c r="E10" s="785">
        <v>238</v>
      </c>
      <c r="F10" s="785">
        <v>234</v>
      </c>
      <c r="G10" s="785">
        <v>230</v>
      </c>
      <c r="H10" s="785">
        <v>270</v>
      </c>
      <c r="I10" s="785">
        <v>308</v>
      </c>
      <c r="J10" s="785">
        <v>305</v>
      </c>
      <c r="K10" s="785">
        <v>277</v>
      </c>
      <c r="L10" s="785">
        <v>255</v>
      </c>
      <c r="M10" s="785">
        <v>273</v>
      </c>
      <c r="N10" s="785">
        <v>278</v>
      </c>
      <c r="O10" s="785">
        <v>283</v>
      </c>
      <c r="P10" s="785">
        <v>327</v>
      </c>
      <c r="Q10" s="785">
        <v>280</v>
      </c>
      <c r="R10" s="785">
        <v>260</v>
      </c>
      <c r="S10" s="785">
        <v>290</v>
      </c>
      <c r="T10" s="785">
        <v>257</v>
      </c>
      <c r="U10" s="785">
        <v>261</v>
      </c>
      <c r="V10" s="785">
        <v>281</v>
      </c>
      <c r="W10" s="785">
        <v>552</v>
      </c>
      <c r="X10" s="785">
        <v>263</v>
      </c>
      <c r="Y10" s="785">
        <v>264</v>
      </c>
      <c r="Z10" s="785">
        <v>234</v>
      </c>
      <c r="AA10" s="785">
        <v>276</v>
      </c>
      <c r="AB10" s="785">
        <v>301</v>
      </c>
      <c r="AC10" s="785">
        <v>323</v>
      </c>
      <c r="AD10" s="785">
        <v>330</v>
      </c>
      <c r="AE10" s="785">
        <v>325</v>
      </c>
      <c r="AF10" s="785">
        <v>307</v>
      </c>
      <c r="AG10" s="785">
        <v>304</v>
      </c>
      <c r="AH10" s="785">
        <v>341.23199999999997</v>
      </c>
      <c r="AI10" s="785">
        <v>322.03199999999993</v>
      </c>
      <c r="AJ10" s="785">
        <v>235.27799999999999</v>
      </c>
      <c r="AK10" s="785">
        <v>338.61099999999999</v>
      </c>
      <c r="AL10" s="785">
        <v>230.05399999999997</v>
      </c>
      <c r="AM10" s="785">
        <v>271.85799999999995</v>
      </c>
      <c r="AN10" s="785">
        <v>295.625</v>
      </c>
      <c r="AO10" s="785">
        <v>272.14499999999998</v>
      </c>
      <c r="AP10" s="785">
        <v>325.11199999999997</v>
      </c>
      <c r="AQ10" s="785">
        <v>432.64700000000005</v>
      </c>
      <c r="AR10" s="785">
        <v>331.03899999999999</v>
      </c>
      <c r="AS10" s="785">
        <v>368.38</v>
      </c>
      <c r="AT10" s="785">
        <v>359.85900000000004</v>
      </c>
      <c r="AU10" s="785">
        <v>342.96399999999983</v>
      </c>
      <c r="AV10" s="785">
        <v>357.553</v>
      </c>
      <c r="AW10" s="785">
        <v>460.96600000000001</v>
      </c>
      <c r="AX10" s="785">
        <v>438.51600000000008</v>
      </c>
      <c r="AY10" s="785">
        <v>479.03899999999999</v>
      </c>
      <c r="AZ10" s="785">
        <v>514.94799999999998</v>
      </c>
      <c r="BA10" s="785">
        <v>1102.598</v>
      </c>
      <c r="BB10" s="785">
        <v>1049.5520000000001</v>
      </c>
      <c r="BC10" s="779"/>
      <c r="BF10" s="780">
        <f t="shared" ref="BF10:BO24" si="3">SUMIFS($D10:$BC10,$D$4:$BC$4,"&gt;"&amp;DATE(YEAR(BF$4)-1,12,31),$D$4:$BC$4,"&lt;="&amp;BF$4)</f>
        <v>1089</v>
      </c>
      <c r="BG10" s="780">
        <f t="shared" si="3"/>
        <v>1157</v>
      </c>
      <c r="BH10" s="780">
        <f t="shared" si="2"/>
        <v>1351</v>
      </c>
      <c r="BI10" s="780">
        <f t="shared" si="2"/>
        <v>1037</v>
      </c>
      <c r="BJ10" s="780">
        <f t="shared" si="2"/>
        <v>1279</v>
      </c>
      <c r="BK10" s="780">
        <f t="shared" si="2"/>
        <v>1274.2639999999999</v>
      </c>
      <c r="BL10" s="780">
        <f t="shared" si="2"/>
        <v>1075.8009999999999</v>
      </c>
      <c r="BM10" s="780">
        <f t="shared" si="2"/>
        <v>1325.529</v>
      </c>
      <c r="BN10" s="780">
        <f t="shared" si="2"/>
        <v>1402.2419999999997</v>
      </c>
      <c r="BO10" s="780">
        <f t="shared" si="2"/>
        <v>1736.0740000000001</v>
      </c>
    </row>
    <row r="11" spans="1:67" s="780" customFormat="1">
      <c r="A11" s="771"/>
      <c r="B11" s="319" t="s">
        <v>992</v>
      </c>
      <c r="C11" s="319"/>
      <c r="D11" s="785">
        <v>326</v>
      </c>
      <c r="E11" s="785">
        <v>341</v>
      </c>
      <c r="F11" s="785">
        <v>374</v>
      </c>
      <c r="G11" s="785">
        <v>314</v>
      </c>
      <c r="H11" s="785">
        <v>295</v>
      </c>
      <c r="I11" s="785">
        <v>340</v>
      </c>
      <c r="J11" s="785">
        <v>378</v>
      </c>
      <c r="K11" s="785">
        <v>411</v>
      </c>
      <c r="L11" s="785">
        <v>230</v>
      </c>
      <c r="M11" s="785">
        <v>255</v>
      </c>
      <c r="N11" s="785">
        <v>303</v>
      </c>
      <c r="O11" s="785">
        <v>339</v>
      </c>
      <c r="P11" s="785">
        <v>329</v>
      </c>
      <c r="Q11" s="785">
        <v>272</v>
      </c>
      <c r="R11" s="785">
        <v>385</v>
      </c>
      <c r="S11" s="785">
        <v>447</v>
      </c>
      <c r="T11" s="785">
        <v>274</v>
      </c>
      <c r="U11" s="785">
        <v>419</v>
      </c>
      <c r="V11" s="785">
        <v>413</v>
      </c>
      <c r="W11" s="785">
        <v>510</v>
      </c>
      <c r="X11" s="785">
        <v>573</v>
      </c>
      <c r="Y11" s="785">
        <v>574</v>
      </c>
      <c r="Z11" s="785">
        <v>438</v>
      </c>
      <c r="AA11" s="785">
        <v>454</v>
      </c>
      <c r="AB11" s="785">
        <v>457</v>
      </c>
      <c r="AC11" s="785">
        <v>490</v>
      </c>
      <c r="AD11" s="785">
        <v>492</v>
      </c>
      <c r="AE11" s="785">
        <v>531</v>
      </c>
      <c r="AF11" s="785">
        <v>453</v>
      </c>
      <c r="AG11" s="785">
        <v>435</v>
      </c>
      <c r="AH11" s="785">
        <v>469.74</v>
      </c>
      <c r="AI11" s="785">
        <v>447.4670000000001</v>
      </c>
      <c r="AJ11" s="785">
        <v>525.13900000000001</v>
      </c>
      <c r="AK11" s="785">
        <v>640.02799999999991</v>
      </c>
      <c r="AL11" s="785">
        <v>722.25400000000025</v>
      </c>
      <c r="AM11" s="785">
        <v>679.54200000000003</v>
      </c>
      <c r="AN11" s="785">
        <v>728.63900000000001</v>
      </c>
      <c r="AO11" s="785">
        <v>654.81499999999994</v>
      </c>
      <c r="AP11" s="785">
        <v>592.03600000000017</v>
      </c>
      <c r="AQ11" s="785">
        <v>642.50799999999992</v>
      </c>
      <c r="AR11" s="785">
        <v>565.40700000000004</v>
      </c>
      <c r="AS11" s="785">
        <v>613.25400000000002</v>
      </c>
      <c r="AT11" s="785">
        <v>625.90499999999986</v>
      </c>
      <c r="AU11" s="785">
        <v>650.2090000000004</v>
      </c>
      <c r="AV11" s="785">
        <v>533.16099999999994</v>
      </c>
      <c r="AW11" s="785">
        <v>545.98100000000011</v>
      </c>
      <c r="AX11" s="785">
        <v>510.14</v>
      </c>
      <c r="AY11" s="785">
        <v>504.90999999999997</v>
      </c>
      <c r="AZ11" s="785">
        <v>389.44299999999998</v>
      </c>
      <c r="BA11" s="785">
        <v>526.67600000000004</v>
      </c>
      <c r="BB11" s="785">
        <v>591.18600000000004</v>
      </c>
      <c r="BC11" s="779"/>
      <c r="BF11" s="780">
        <f t="shared" si="3"/>
        <v>1127</v>
      </c>
      <c r="BG11" s="780">
        <f t="shared" si="3"/>
        <v>1433</v>
      </c>
      <c r="BH11" s="780">
        <f t="shared" si="2"/>
        <v>1616</v>
      </c>
      <c r="BI11" s="780">
        <f t="shared" si="2"/>
        <v>2039</v>
      </c>
      <c r="BJ11" s="780">
        <f t="shared" si="2"/>
        <v>1970</v>
      </c>
      <c r="BK11" s="780">
        <f t="shared" si="2"/>
        <v>1805.2070000000001</v>
      </c>
      <c r="BL11" s="780">
        <f t="shared" si="2"/>
        <v>2566.9630000000002</v>
      </c>
      <c r="BM11" s="780">
        <f t="shared" si="2"/>
        <v>2617.998</v>
      </c>
      <c r="BN11" s="780">
        <f t="shared" si="2"/>
        <v>2454.7750000000001</v>
      </c>
      <c r="BO11" s="780">
        <f t="shared" si="2"/>
        <v>2094.192</v>
      </c>
    </row>
    <row r="12" spans="1:67" s="780" customFormat="1">
      <c r="A12" s="771"/>
      <c r="B12" s="319" t="s">
        <v>993</v>
      </c>
      <c r="C12" s="319"/>
      <c r="D12" s="785">
        <v>1366</v>
      </c>
      <c r="E12" s="785">
        <v>1441</v>
      </c>
      <c r="F12" s="785">
        <v>1571</v>
      </c>
      <c r="G12" s="785">
        <v>1649</v>
      </c>
      <c r="H12" s="785">
        <v>1796</v>
      </c>
      <c r="I12" s="785">
        <v>2219</v>
      </c>
      <c r="J12" s="785">
        <v>2265</v>
      </c>
      <c r="K12" s="785">
        <v>1949</v>
      </c>
      <c r="L12" s="785">
        <v>2246</v>
      </c>
      <c r="M12" s="785">
        <v>2367</v>
      </c>
      <c r="N12" s="785">
        <v>2362</v>
      </c>
      <c r="O12" s="785">
        <v>2311</v>
      </c>
      <c r="P12" s="785">
        <v>2217</v>
      </c>
      <c r="Q12" s="785">
        <v>2098</v>
      </c>
      <c r="R12" s="785">
        <v>1965</v>
      </c>
      <c r="S12" s="785">
        <v>1989</v>
      </c>
      <c r="T12" s="785">
        <v>2107</v>
      </c>
      <c r="U12" s="785">
        <v>2121</v>
      </c>
      <c r="V12" s="785">
        <v>2221</v>
      </c>
      <c r="W12" s="785">
        <v>2127</v>
      </c>
      <c r="X12" s="785">
        <v>2084</v>
      </c>
      <c r="Y12" s="785">
        <v>1984</v>
      </c>
      <c r="Z12" s="785">
        <v>2194</v>
      </c>
      <c r="AA12" s="785">
        <v>2190</v>
      </c>
      <c r="AB12" s="785">
        <v>2316</v>
      </c>
      <c r="AC12" s="785">
        <v>2353</v>
      </c>
      <c r="AD12" s="785">
        <v>2426</v>
      </c>
      <c r="AE12" s="785">
        <v>2376</v>
      </c>
      <c r="AF12" s="785">
        <v>2031.807</v>
      </c>
      <c r="AG12" s="785">
        <v>2073.114</v>
      </c>
      <c r="AH12" s="785">
        <v>1903.2230000000004</v>
      </c>
      <c r="AI12" s="785">
        <v>1965.4920000000002</v>
      </c>
      <c r="AJ12" s="785">
        <v>1974.0309999999999</v>
      </c>
      <c r="AK12" s="785">
        <v>1952.8670000000002</v>
      </c>
      <c r="AL12" s="785">
        <v>2023.4769999999999</v>
      </c>
      <c r="AM12" s="785">
        <v>2039.165</v>
      </c>
      <c r="AN12" s="785">
        <v>1991.962</v>
      </c>
      <c r="AO12" s="785">
        <v>2071.2170000000001</v>
      </c>
      <c r="AP12" s="785">
        <v>2011.1539999999995</v>
      </c>
      <c r="AQ12" s="785">
        <v>1659.6140000000005</v>
      </c>
      <c r="AR12" s="785">
        <v>2335.9679999999998</v>
      </c>
      <c r="AS12" s="785">
        <v>2140.7280000000001</v>
      </c>
      <c r="AT12" s="785">
        <v>2181.0619999999999</v>
      </c>
      <c r="AU12" s="785">
        <v>2337.8880000000008</v>
      </c>
      <c r="AV12" s="785">
        <v>2227.2489999999998</v>
      </c>
      <c r="AW12" s="785">
        <v>2173.79</v>
      </c>
      <c r="AX12" s="785">
        <v>2224.5370000000003</v>
      </c>
      <c r="AY12" s="785">
        <v>2316.7470000000003</v>
      </c>
      <c r="AZ12" s="785">
        <v>2341.8539999999998</v>
      </c>
      <c r="BA12" s="785">
        <v>3023.7159999999999</v>
      </c>
      <c r="BB12" s="785">
        <v>3309.6040000000007</v>
      </c>
      <c r="BC12" s="779"/>
      <c r="BF12" s="780">
        <f t="shared" si="3"/>
        <v>9286</v>
      </c>
      <c r="BG12" s="780">
        <f t="shared" si="3"/>
        <v>8269</v>
      </c>
      <c r="BH12" s="780">
        <f t="shared" si="2"/>
        <v>8576</v>
      </c>
      <c r="BI12" s="780">
        <f t="shared" si="2"/>
        <v>8452</v>
      </c>
      <c r="BJ12" s="780">
        <f t="shared" si="2"/>
        <v>9471</v>
      </c>
      <c r="BK12" s="780">
        <f t="shared" si="2"/>
        <v>7973.6360000000004</v>
      </c>
      <c r="BL12" s="780">
        <f t="shared" si="2"/>
        <v>7989.54</v>
      </c>
      <c r="BM12" s="780">
        <f t="shared" si="2"/>
        <v>7733.9470000000001</v>
      </c>
      <c r="BN12" s="780">
        <f t="shared" si="2"/>
        <v>8995.6460000000006</v>
      </c>
      <c r="BO12" s="780">
        <f t="shared" si="2"/>
        <v>8942.3230000000003</v>
      </c>
    </row>
    <row r="13" spans="1:67" s="780" customFormat="1">
      <c r="A13" s="771"/>
      <c r="B13" s="319" t="s">
        <v>994</v>
      </c>
      <c r="C13" s="319"/>
      <c r="D13" s="785">
        <v>127</v>
      </c>
      <c r="E13" s="785">
        <v>137</v>
      </c>
      <c r="F13" s="785">
        <v>137</v>
      </c>
      <c r="G13" s="785">
        <v>160</v>
      </c>
      <c r="H13" s="785">
        <v>112</v>
      </c>
      <c r="I13" s="785">
        <v>223</v>
      </c>
      <c r="J13" s="785">
        <v>138</v>
      </c>
      <c r="K13" s="785">
        <v>194</v>
      </c>
      <c r="L13" s="785">
        <v>156</v>
      </c>
      <c r="M13" s="785">
        <v>203</v>
      </c>
      <c r="N13" s="785">
        <v>158</v>
      </c>
      <c r="O13" s="785">
        <v>143</v>
      </c>
      <c r="P13" s="785">
        <v>147</v>
      </c>
      <c r="Q13" s="785">
        <v>105</v>
      </c>
      <c r="R13" s="785">
        <v>114</v>
      </c>
      <c r="S13" s="785">
        <v>132</v>
      </c>
      <c r="T13" s="785">
        <v>121</v>
      </c>
      <c r="U13" s="785">
        <v>163</v>
      </c>
      <c r="V13" s="785">
        <v>151</v>
      </c>
      <c r="W13" s="785">
        <v>117</v>
      </c>
      <c r="X13" s="785">
        <v>110</v>
      </c>
      <c r="Y13" s="785">
        <v>110</v>
      </c>
      <c r="Z13" s="785">
        <v>110</v>
      </c>
      <c r="AA13" s="785">
        <v>146</v>
      </c>
      <c r="AB13" s="785">
        <v>169</v>
      </c>
      <c r="AC13" s="785">
        <v>136</v>
      </c>
      <c r="AD13" s="785">
        <v>112</v>
      </c>
      <c r="AE13" s="785">
        <v>114</v>
      </c>
      <c r="AF13" s="785">
        <v>91.225999999999999</v>
      </c>
      <c r="AG13" s="785">
        <v>80.394999999999996</v>
      </c>
      <c r="AH13" s="785">
        <v>71.702000000000012</v>
      </c>
      <c r="AI13" s="785">
        <v>91.895000000000024</v>
      </c>
      <c r="AJ13" s="785">
        <v>52.914999999999999</v>
      </c>
      <c r="AK13" s="785">
        <v>77.344999999999999</v>
      </c>
      <c r="AL13" s="785">
        <v>91.066000000000003</v>
      </c>
      <c r="AM13" s="785">
        <v>77.476000000000028</v>
      </c>
      <c r="AN13" s="785">
        <v>85.759</v>
      </c>
      <c r="AO13" s="785">
        <v>92.792999999999992</v>
      </c>
      <c r="AP13" s="785">
        <v>79.390999999999977</v>
      </c>
      <c r="AQ13" s="785">
        <v>94.75500000000001</v>
      </c>
      <c r="AR13" s="785">
        <v>82.908000000000001</v>
      </c>
      <c r="AS13" s="785">
        <v>138.358</v>
      </c>
      <c r="AT13" s="785">
        <v>50.065999999999988</v>
      </c>
      <c r="AU13" s="785">
        <v>141.70800000000003</v>
      </c>
      <c r="AV13" s="785">
        <v>101.884</v>
      </c>
      <c r="AW13" s="785">
        <v>106.508</v>
      </c>
      <c r="AX13" s="785">
        <v>105.07299999999999</v>
      </c>
      <c r="AY13" s="785">
        <v>141.52500000000003</v>
      </c>
      <c r="AZ13" s="785">
        <v>83.888999999999996</v>
      </c>
      <c r="BA13" s="785">
        <v>181.24299999999999</v>
      </c>
      <c r="BB13" s="785">
        <v>258.36899999999997</v>
      </c>
      <c r="BC13" s="779"/>
      <c r="BF13" s="780">
        <f t="shared" si="3"/>
        <v>660</v>
      </c>
      <c r="BG13" s="780">
        <f t="shared" si="3"/>
        <v>498</v>
      </c>
      <c r="BH13" s="780">
        <f t="shared" si="2"/>
        <v>552</v>
      </c>
      <c r="BI13" s="780">
        <f t="shared" si="2"/>
        <v>476</v>
      </c>
      <c r="BJ13" s="780">
        <f t="shared" si="2"/>
        <v>531</v>
      </c>
      <c r="BK13" s="780">
        <f t="shared" si="2"/>
        <v>335.21800000000002</v>
      </c>
      <c r="BL13" s="780">
        <f t="shared" si="2"/>
        <v>298.80200000000002</v>
      </c>
      <c r="BM13" s="780">
        <f t="shared" si="2"/>
        <v>352.69799999999998</v>
      </c>
      <c r="BN13" s="780">
        <f t="shared" si="2"/>
        <v>413.04</v>
      </c>
      <c r="BO13" s="780">
        <f t="shared" si="2"/>
        <v>454.99</v>
      </c>
    </row>
    <row r="14" spans="1:67" s="778" customFormat="1">
      <c r="A14" s="776"/>
      <c r="B14" s="683" t="s">
        <v>995</v>
      </c>
      <c r="C14" s="683"/>
      <c r="D14" s="786">
        <v>2025</v>
      </c>
      <c r="E14" s="786">
        <v>2139</v>
      </c>
      <c r="F14" s="786">
        <v>2255</v>
      </c>
      <c r="G14" s="786">
        <v>2240</v>
      </c>
      <c r="H14" s="786">
        <v>2201</v>
      </c>
      <c r="I14" s="786">
        <v>2061</v>
      </c>
      <c r="J14" s="786">
        <v>2061</v>
      </c>
      <c r="K14" s="786">
        <v>2300</v>
      </c>
      <c r="L14" s="786">
        <v>1877</v>
      </c>
      <c r="M14" s="786">
        <v>2000</v>
      </c>
      <c r="N14" s="786">
        <v>2196</v>
      </c>
      <c r="O14" s="786">
        <v>2320</v>
      </c>
      <c r="P14" s="786">
        <v>2192</v>
      </c>
      <c r="Q14" s="786">
        <v>2065</v>
      </c>
      <c r="R14" s="786">
        <v>1980</v>
      </c>
      <c r="S14" s="786">
        <v>1820</v>
      </c>
      <c r="T14" s="786">
        <v>1848</v>
      </c>
      <c r="U14" s="786">
        <v>2073</v>
      </c>
      <c r="V14" s="786">
        <v>2281</v>
      </c>
      <c r="W14" s="786">
        <v>2119</v>
      </c>
      <c r="X14" s="786">
        <v>1986</v>
      </c>
      <c r="Y14" s="786">
        <v>2000</v>
      </c>
      <c r="Z14" s="786">
        <v>2176</v>
      </c>
      <c r="AA14" s="786">
        <v>2351</v>
      </c>
      <c r="AB14" s="786">
        <v>2279</v>
      </c>
      <c r="AC14" s="786">
        <v>2471</v>
      </c>
      <c r="AD14" s="786">
        <v>2608</v>
      </c>
      <c r="AE14" s="786">
        <v>2608</v>
      </c>
      <c r="AF14" s="786">
        <v>3184</v>
      </c>
      <c r="AG14" s="786">
        <v>3306</v>
      </c>
      <c r="AH14" s="786">
        <v>3405</v>
      </c>
      <c r="AI14" s="786">
        <v>3165</v>
      </c>
      <c r="AJ14" s="786">
        <v>3119</v>
      </c>
      <c r="AK14" s="786">
        <v>3369</v>
      </c>
      <c r="AL14" s="786">
        <v>3418</v>
      </c>
      <c r="AM14" s="786">
        <v>3381</v>
      </c>
      <c r="AN14" s="786">
        <v>3174</v>
      </c>
      <c r="AO14" s="786">
        <v>3560</v>
      </c>
      <c r="AP14" s="786">
        <v>3643</v>
      </c>
      <c r="AQ14" s="786">
        <v>3858</v>
      </c>
      <c r="AR14" s="786">
        <v>3583</v>
      </c>
      <c r="AS14" s="786">
        <v>4069</v>
      </c>
      <c r="AT14" s="786">
        <v>4103</v>
      </c>
      <c r="AU14" s="786">
        <v>4130</v>
      </c>
      <c r="AV14" s="786">
        <v>4454</v>
      </c>
      <c r="AW14" s="786">
        <v>4503</v>
      </c>
      <c r="AX14" s="786">
        <v>4339</v>
      </c>
      <c r="AY14" s="786">
        <v>4583</v>
      </c>
      <c r="AZ14" s="786">
        <v>4321</v>
      </c>
      <c r="BA14" s="786">
        <v>4487</v>
      </c>
      <c r="BB14" s="786">
        <v>4858</v>
      </c>
      <c r="BC14" s="777"/>
      <c r="BF14" s="778">
        <f t="shared" si="3"/>
        <v>8393</v>
      </c>
      <c r="BG14" s="778">
        <f t="shared" si="3"/>
        <v>8057</v>
      </c>
      <c r="BH14" s="778">
        <f t="shared" si="2"/>
        <v>8321</v>
      </c>
      <c r="BI14" s="778">
        <f t="shared" si="2"/>
        <v>8513</v>
      </c>
      <c r="BJ14" s="778">
        <f t="shared" si="2"/>
        <v>9966</v>
      </c>
      <c r="BK14" s="778">
        <f t="shared" si="2"/>
        <v>13060</v>
      </c>
      <c r="BL14" s="778">
        <f t="shared" si="2"/>
        <v>13287</v>
      </c>
      <c r="BM14" s="778">
        <f t="shared" si="2"/>
        <v>14235</v>
      </c>
      <c r="BN14" s="778">
        <f t="shared" si="2"/>
        <v>15885</v>
      </c>
      <c r="BO14" s="778">
        <f t="shared" si="2"/>
        <v>17879</v>
      </c>
    </row>
    <row r="15" spans="1:67" s="780" customFormat="1">
      <c r="A15" s="771"/>
      <c r="B15" s="319" t="s">
        <v>996</v>
      </c>
      <c r="C15" s="319"/>
      <c r="D15" s="785">
        <v>1326</v>
      </c>
      <c r="E15" s="785">
        <v>1386</v>
      </c>
      <c r="F15" s="785">
        <v>1573</v>
      </c>
      <c r="G15" s="785">
        <v>1474</v>
      </c>
      <c r="H15" s="785">
        <v>1557</v>
      </c>
      <c r="I15" s="785">
        <v>1710</v>
      </c>
      <c r="J15" s="785">
        <v>1907</v>
      </c>
      <c r="K15" s="785">
        <v>1784</v>
      </c>
      <c r="L15" s="785">
        <v>1791</v>
      </c>
      <c r="M15" s="785">
        <v>1782</v>
      </c>
      <c r="N15" s="785">
        <v>1681</v>
      </c>
      <c r="O15" s="785">
        <v>1881</v>
      </c>
      <c r="P15" s="785">
        <v>1871</v>
      </c>
      <c r="Q15" s="785">
        <v>2090</v>
      </c>
      <c r="R15" s="785">
        <v>1800</v>
      </c>
      <c r="S15" s="785">
        <v>2285</v>
      </c>
      <c r="T15" s="785">
        <v>1679</v>
      </c>
      <c r="U15" s="785">
        <v>1702</v>
      </c>
      <c r="V15" s="785">
        <v>1705</v>
      </c>
      <c r="W15" s="785">
        <v>1865</v>
      </c>
      <c r="X15" s="785">
        <v>1848</v>
      </c>
      <c r="Y15" s="785">
        <v>1854</v>
      </c>
      <c r="Z15" s="785">
        <v>1924</v>
      </c>
      <c r="AA15" s="785">
        <v>5995</v>
      </c>
      <c r="AB15" s="785">
        <v>1771</v>
      </c>
      <c r="AC15" s="785">
        <v>1761</v>
      </c>
      <c r="AD15" s="785">
        <v>1877</v>
      </c>
      <c r="AE15" s="785">
        <v>1954</v>
      </c>
      <c r="AF15" s="785">
        <v>2603.0409999999997</v>
      </c>
      <c r="AG15" s="785">
        <v>2496.6529999999998</v>
      </c>
      <c r="AH15" s="785">
        <v>2341.605</v>
      </c>
      <c r="AI15" s="785">
        <v>5013.389000000001</v>
      </c>
      <c r="AJ15" s="785">
        <v>2419.9369999999999</v>
      </c>
      <c r="AK15" s="785">
        <v>2499.5870000000004</v>
      </c>
      <c r="AL15" s="785">
        <v>2500.0769999999993</v>
      </c>
      <c r="AM15" s="785">
        <v>2536.6260000000011</v>
      </c>
      <c r="AN15" s="785">
        <v>2560.8670000000002</v>
      </c>
      <c r="AO15" s="785">
        <v>2535.7119999999995</v>
      </c>
      <c r="AP15" s="785">
        <v>2580.4620000000004</v>
      </c>
      <c r="AQ15" s="785">
        <v>2887.2550000000001</v>
      </c>
      <c r="AR15" s="785">
        <v>2737.9949999999999</v>
      </c>
      <c r="AS15" s="785">
        <v>2830.1390000000001</v>
      </c>
      <c r="AT15" s="785">
        <v>2956.7470000000012</v>
      </c>
      <c r="AU15" s="785">
        <v>2822.8769999999986</v>
      </c>
      <c r="AV15" s="785">
        <v>3007.2190000000001</v>
      </c>
      <c r="AW15" s="785">
        <v>3166.6189999999997</v>
      </c>
      <c r="AX15" s="785">
        <v>2900.0280000000002</v>
      </c>
      <c r="AY15" s="785">
        <v>3000.4689999999991</v>
      </c>
      <c r="AZ15" s="785">
        <v>2871.3240000000001</v>
      </c>
      <c r="BA15" s="785">
        <v>4641.3360000000011</v>
      </c>
      <c r="BB15" s="785">
        <v>5171.6169999999984</v>
      </c>
      <c r="BC15" s="779"/>
      <c r="BF15" s="780">
        <f t="shared" si="3"/>
        <v>7135</v>
      </c>
      <c r="BG15" s="780">
        <f t="shared" si="3"/>
        <v>8046</v>
      </c>
      <c r="BH15" s="780">
        <f t="shared" si="2"/>
        <v>6951</v>
      </c>
      <c r="BI15" s="780">
        <f t="shared" si="2"/>
        <v>11621</v>
      </c>
      <c r="BJ15" s="780">
        <f t="shared" si="2"/>
        <v>7363</v>
      </c>
      <c r="BK15" s="780">
        <f t="shared" si="2"/>
        <v>12454.688</v>
      </c>
      <c r="BL15" s="780">
        <f t="shared" si="2"/>
        <v>9956.2270000000008</v>
      </c>
      <c r="BM15" s="780">
        <f t="shared" si="2"/>
        <v>10564.296</v>
      </c>
      <c r="BN15" s="780">
        <f t="shared" si="2"/>
        <v>11347.758</v>
      </c>
      <c r="BO15" s="780">
        <f>SUMIFS($D15:$BC15,$D$4:$BC$4,"&gt;"&amp;DATE(YEAR(BO$4)-1,12,31),$D$4:$BC$4,"&lt;="&amp;BO$4)</f>
        <v>12074.334999999999</v>
      </c>
    </row>
    <row r="16" spans="1:67" s="778" customFormat="1">
      <c r="A16" s="776"/>
      <c r="B16" s="683" t="s">
        <v>77</v>
      </c>
      <c r="C16" s="683"/>
      <c r="D16" s="786">
        <v>699</v>
      </c>
      <c r="E16" s="786">
        <v>753</v>
      </c>
      <c r="F16" s="786">
        <v>682</v>
      </c>
      <c r="G16" s="786">
        <v>766</v>
      </c>
      <c r="H16" s="786">
        <v>644</v>
      </c>
      <c r="I16" s="786">
        <v>351</v>
      </c>
      <c r="J16" s="786">
        <v>154</v>
      </c>
      <c r="K16" s="786">
        <v>516</v>
      </c>
      <c r="L16" s="786">
        <v>86</v>
      </c>
      <c r="M16" s="786">
        <v>218</v>
      </c>
      <c r="N16" s="786">
        <v>515</v>
      </c>
      <c r="O16" s="786">
        <v>439</v>
      </c>
      <c r="P16" s="786">
        <v>321</v>
      </c>
      <c r="Q16" s="786">
        <v>-25</v>
      </c>
      <c r="R16" s="786">
        <v>180</v>
      </c>
      <c r="S16" s="786">
        <v>-465</v>
      </c>
      <c r="T16" s="786">
        <v>169</v>
      </c>
      <c r="U16" s="786">
        <v>371</v>
      </c>
      <c r="V16" s="786">
        <v>576</v>
      </c>
      <c r="W16" s="786">
        <v>254</v>
      </c>
      <c r="X16" s="786">
        <v>138</v>
      </c>
      <c r="Y16" s="786">
        <v>146</v>
      </c>
      <c r="Z16" s="786">
        <v>251</v>
      </c>
      <c r="AA16" s="786">
        <v>-3644</v>
      </c>
      <c r="AB16" s="786">
        <v>669.4</v>
      </c>
      <c r="AC16" s="786">
        <v>548.6</v>
      </c>
      <c r="AD16" s="786">
        <v>730.99999999999989</v>
      </c>
      <c r="AE16" s="786">
        <v>654.00000000000011</v>
      </c>
      <c r="AF16" s="786">
        <v>2172.7710000000002</v>
      </c>
      <c r="AG16" s="786">
        <v>982.85</v>
      </c>
      <c r="AH16" s="786">
        <v>1135.4669999999996</v>
      </c>
      <c r="AI16" s="786">
        <v>-1659.0029999999997</v>
      </c>
      <c r="AJ16" s="786">
        <v>699.0630000000001</v>
      </c>
      <c r="AK16" s="786">
        <v>869.41299999999956</v>
      </c>
      <c r="AL16" s="786">
        <v>917.92300000000068</v>
      </c>
      <c r="AM16" s="786">
        <v>844.37399999999889</v>
      </c>
      <c r="AN16" s="786">
        <v>613.13299999999981</v>
      </c>
      <c r="AO16" s="786">
        <v>1024.2880000000005</v>
      </c>
      <c r="AP16" s="786">
        <v>1062.5379999999996</v>
      </c>
      <c r="AQ16" s="786">
        <v>970.74499999999989</v>
      </c>
      <c r="AR16" s="786">
        <v>845.00500000000011</v>
      </c>
      <c r="AS16" s="786">
        <v>1238.8609999999999</v>
      </c>
      <c r="AT16" s="786">
        <v>1146.2529999999988</v>
      </c>
      <c r="AU16" s="786">
        <v>1307.1230000000014</v>
      </c>
      <c r="AV16" s="786">
        <v>1446.7809999999999</v>
      </c>
      <c r="AW16" s="786">
        <v>1336.3810000000003</v>
      </c>
      <c r="AX16" s="786">
        <v>1438.9719999999998</v>
      </c>
      <c r="AY16" s="786">
        <v>1582.5310000000009</v>
      </c>
      <c r="AZ16" s="786">
        <v>1449.6759999999999</v>
      </c>
      <c r="BA16" s="786">
        <v>-154.33600000000115</v>
      </c>
      <c r="BB16" s="786">
        <v>-313.61699999999837</v>
      </c>
      <c r="BC16" s="777"/>
      <c r="BF16" s="778">
        <f t="shared" si="3"/>
        <v>1258</v>
      </c>
      <c r="BG16" s="778">
        <f t="shared" si="3"/>
        <v>11</v>
      </c>
      <c r="BH16" s="778">
        <f t="shared" si="2"/>
        <v>1370</v>
      </c>
      <c r="BI16" s="778">
        <f t="shared" si="2"/>
        <v>-3109</v>
      </c>
      <c r="BJ16" s="778">
        <f t="shared" si="2"/>
        <v>2603</v>
      </c>
      <c r="BK16" s="778">
        <f t="shared" si="2"/>
        <v>2632.085</v>
      </c>
      <c r="BL16" s="778">
        <f t="shared" si="2"/>
        <v>3330.7729999999992</v>
      </c>
      <c r="BM16" s="778">
        <f t="shared" si="2"/>
        <v>3670.7039999999997</v>
      </c>
      <c r="BN16" s="778">
        <f t="shared" si="2"/>
        <v>4537.2420000000002</v>
      </c>
      <c r="BO16" s="778">
        <f t="shared" si="2"/>
        <v>5804.6650000000009</v>
      </c>
    </row>
    <row r="17" spans="1:67" s="780" customFormat="1">
      <c r="A17" s="771"/>
      <c r="B17" s="319" t="s">
        <v>997</v>
      </c>
      <c r="C17" s="319"/>
      <c r="D17" s="785">
        <v>-205</v>
      </c>
      <c r="E17" s="785">
        <v>-118</v>
      </c>
      <c r="F17" s="785">
        <v>182</v>
      </c>
      <c r="G17" s="785">
        <v>-152</v>
      </c>
      <c r="H17" s="785">
        <v>-508</v>
      </c>
      <c r="I17" s="785">
        <v>-219</v>
      </c>
      <c r="J17" s="785">
        <v>-299</v>
      </c>
      <c r="K17" s="785">
        <v>-320</v>
      </c>
      <c r="L17" s="785">
        <v>-271</v>
      </c>
      <c r="M17" s="785">
        <v>-354</v>
      </c>
      <c r="N17" s="785">
        <v>-338</v>
      </c>
      <c r="O17" s="785">
        <v>-503</v>
      </c>
      <c r="P17" s="785">
        <v>-496</v>
      </c>
      <c r="Q17" s="785">
        <v>-438</v>
      </c>
      <c r="R17" s="785">
        <v>-355</v>
      </c>
      <c r="S17" s="785">
        <v>-301</v>
      </c>
      <c r="T17" s="785">
        <v>-348</v>
      </c>
      <c r="U17" s="785">
        <v>-366</v>
      </c>
      <c r="V17" s="785">
        <v>-343</v>
      </c>
      <c r="W17" s="785">
        <v>-338</v>
      </c>
      <c r="X17" s="785">
        <v>-345</v>
      </c>
      <c r="Y17" s="785">
        <v>-382</v>
      </c>
      <c r="Z17" s="785">
        <v>-418</v>
      </c>
      <c r="AA17" s="785">
        <v>-481</v>
      </c>
      <c r="AB17" s="785">
        <v>-585.52499999999998</v>
      </c>
      <c r="AC17" s="785">
        <v>-445.47500000000002</v>
      </c>
      <c r="AD17" s="785">
        <v>-503</v>
      </c>
      <c r="AE17" s="785">
        <v>-535.00000000000011</v>
      </c>
      <c r="AF17" s="785">
        <v>-630.81500000000005</v>
      </c>
      <c r="AG17" s="785">
        <v>-581.98</v>
      </c>
      <c r="AH17" s="785">
        <v>-617.38599999999997</v>
      </c>
      <c r="AI17" s="785">
        <v>-655.08600000000024</v>
      </c>
      <c r="AJ17" s="785">
        <v>-552</v>
      </c>
      <c r="AK17" s="785">
        <v>-583.71600000000012</v>
      </c>
      <c r="AL17" s="785">
        <v>-574.07600000000002</v>
      </c>
      <c r="AM17" s="785">
        <v>-580.67899999999986</v>
      </c>
      <c r="AN17" s="785">
        <v>-572.69500000000005</v>
      </c>
      <c r="AO17" s="785">
        <v>-590.26300000000003</v>
      </c>
      <c r="AP17" s="785">
        <v>-670.8549999999999</v>
      </c>
      <c r="AQ17" s="785">
        <v>-831.85400000000038</v>
      </c>
      <c r="AR17" s="785">
        <v>-655.048</v>
      </c>
      <c r="AS17" s="785">
        <v>-709.16499999999996</v>
      </c>
      <c r="AT17" s="785">
        <v>-739.47500000000014</v>
      </c>
      <c r="AU17" s="785">
        <v>-736.19499999999971</v>
      </c>
      <c r="AV17" s="785">
        <v>-742.48500000000001</v>
      </c>
      <c r="AW17" s="785">
        <v>-765.21300000000008</v>
      </c>
      <c r="AX17" s="785">
        <v>-741.04999999999984</v>
      </c>
      <c r="AY17" s="785">
        <v>-783.79800000000034</v>
      </c>
      <c r="AZ17" s="785">
        <v>-744.01499999999999</v>
      </c>
      <c r="BA17" s="785">
        <v>-1066.453</v>
      </c>
      <c r="BB17" s="785">
        <v>-438.28000000000009</v>
      </c>
      <c r="BC17" s="779"/>
      <c r="BF17" s="780">
        <f t="shared" si="3"/>
        <v>-1466</v>
      </c>
      <c r="BG17" s="780">
        <f t="shared" si="3"/>
        <v>-1590</v>
      </c>
      <c r="BH17" s="780">
        <f t="shared" si="2"/>
        <v>-1395</v>
      </c>
      <c r="BI17" s="780">
        <f t="shared" si="2"/>
        <v>-1626</v>
      </c>
      <c r="BJ17" s="780">
        <f t="shared" si="2"/>
        <v>-2069</v>
      </c>
      <c r="BK17" s="780">
        <f t="shared" si="2"/>
        <v>-2485.2670000000003</v>
      </c>
      <c r="BL17" s="780">
        <f t="shared" si="2"/>
        <v>-2290.471</v>
      </c>
      <c r="BM17" s="780">
        <f t="shared" si="2"/>
        <v>-2665.6670000000004</v>
      </c>
      <c r="BN17" s="780">
        <f t="shared" si="2"/>
        <v>-2839.8829999999998</v>
      </c>
      <c r="BO17" s="780">
        <f t="shared" si="2"/>
        <v>-3032.5460000000003</v>
      </c>
    </row>
    <row r="18" spans="1:67" s="780" customFormat="1">
      <c r="A18" s="771"/>
      <c r="B18" s="319" t="s">
        <v>998</v>
      </c>
      <c r="C18" s="319"/>
      <c r="D18" s="785">
        <v>-26</v>
      </c>
      <c r="E18" s="785">
        <v>-87</v>
      </c>
      <c r="F18" s="785">
        <v>-602</v>
      </c>
      <c r="G18" s="785">
        <v>-322</v>
      </c>
      <c r="H18" s="785">
        <v>478</v>
      </c>
      <c r="I18" s="785">
        <v>-1135</v>
      </c>
      <c r="J18" s="785">
        <v>-401</v>
      </c>
      <c r="K18" s="785">
        <v>-287</v>
      </c>
      <c r="L18" s="785">
        <v>-908</v>
      </c>
      <c r="M18" s="785">
        <v>-319</v>
      </c>
      <c r="N18" s="785">
        <v>-1799</v>
      </c>
      <c r="O18" s="785">
        <v>891</v>
      </c>
      <c r="P18" s="785">
        <v>405</v>
      </c>
      <c r="Q18" s="785">
        <v>6</v>
      </c>
      <c r="R18" s="785">
        <v>20</v>
      </c>
      <c r="S18" s="785">
        <v>-23</v>
      </c>
      <c r="T18" s="785">
        <v>43</v>
      </c>
      <c r="U18" s="785">
        <v>20</v>
      </c>
      <c r="V18" s="785">
        <v>-29</v>
      </c>
      <c r="W18" s="785">
        <v>36</v>
      </c>
      <c r="X18" s="785">
        <v>-1</v>
      </c>
      <c r="Y18" s="785">
        <v>-43</v>
      </c>
      <c r="Z18" s="785">
        <v>-60</v>
      </c>
      <c r="AA18" s="785">
        <v>4</v>
      </c>
      <c r="AB18" s="785">
        <v>0</v>
      </c>
      <c r="AC18" s="785">
        <v>-12</v>
      </c>
      <c r="AD18" s="785">
        <v>3</v>
      </c>
      <c r="AE18" s="785">
        <v>-8</v>
      </c>
      <c r="AF18" s="785">
        <v>43.351999999999997</v>
      </c>
      <c r="AG18" s="785">
        <v>-20.298999999999999</v>
      </c>
      <c r="AH18" s="785">
        <v>-12.452999999999996</v>
      </c>
      <c r="AI18" s="785">
        <v>-2.7169999999999987</v>
      </c>
      <c r="AJ18" s="785">
        <v>2.234</v>
      </c>
      <c r="AK18" s="785">
        <v>-0.20199999999999996</v>
      </c>
      <c r="AL18" s="785">
        <v>4.3490000000000002</v>
      </c>
      <c r="AM18" s="785">
        <v>3.125</v>
      </c>
      <c r="AN18" s="785">
        <v>-2.032</v>
      </c>
      <c r="AO18" s="785">
        <v>-3.7770000000000001</v>
      </c>
      <c r="AP18" s="785">
        <v>5.359</v>
      </c>
      <c r="AQ18" s="785">
        <v>-60.844999999999999</v>
      </c>
      <c r="AR18" s="785">
        <v>0</v>
      </c>
      <c r="AS18" s="785">
        <v>0</v>
      </c>
      <c r="AT18" s="785">
        <v>0</v>
      </c>
      <c r="AU18" s="785">
        <v>0</v>
      </c>
      <c r="AV18" s="785">
        <v>0</v>
      </c>
      <c r="AW18" s="785">
        <v>0</v>
      </c>
      <c r="AX18" s="785">
        <v>0</v>
      </c>
      <c r="AY18" s="785">
        <v>0</v>
      </c>
      <c r="AZ18" s="785">
        <v>0</v>
      </c>
      <c r="BA18" s="785">
        <v>0</v>
      </c>
      <c r="BB18" s="785">
        <v>0</v>
      </c>
      <c r="BC18" s="779"/>
      <c r="BF18" s="780">
        <f t="shared" si="3"/>
        <v>-2135</v>
      </c>
      <c r="BG18" s="780">
        <f t="shared" si="3"/>
        <v>408</v>
      </c>
      <c r="BH18" s="780">
        <f t="shared" si="2"/>
        <v>70</v>
      </c>
      <c r="BI18" s="780">
        <f t="shared" si="2"/>
        <v>-100</v>
      </c>
      <c r="BJ18" s="780">
        <f t="shared" si="2"/>
        <v>-17</v>
      </c>
      <c r="BK18" s="780">
        <f t="shared" si="2"/>
        <v>7.8830000000000027</v>
      </c>
      <c r="BL18" s="780">
        <f t="shared" si="2"/>
        <v>9.5060000000000002</v>
      </c>
      <c r="BM18" s="780">
        <f t="shared" si="2"/>
        <v>-61.295000000000002</v>
      </c>
      <c r="BN18" s="780">
        <f t="shared" si="2"/>
        <v>0</v>
      </c>
      <c r="BO18" s="780">
        <f t="shared" si="2"/>
        <v>0</v>
      </c>
    </row>
    <row r="19" spans="1:67" s="780" customFormat="1">
      <c r="A19" s="771"/>
      <c r="B19" s="319" t="s">
        <v>501</v>
      </c>
      <c r="C19" s="319"/>
      <c r="D19" s="785">
        <v>-24</v>
      </c>
      <c r="E19" s="785">
        <v>-59</v>
      </c>
      <c r="F19" s="785">
        <v>-2</v>
      </c>
      <c r="G19" s="785">
        <v>-96</v>
      </c>
      <c r="H19" s="785">
        <v>-21</v>
      </c>
      <c r="I19" s="785">
        <v>-85</v>
      </c>
      <c r="J19" s="785">
        <v>-34</v>
      </c>
      <c r="K19" s="785">
        <v>96</v>
      </c>
      <c r="L19" s="785">
        <v>82</v>
      </c>
      <c r="M19" s="785">
        <v>217</v>
      </c>
      <c r="N19" s="785">
        <v>1562</v>
      </c>
      <c r="O19" s="785">
        <v>-148</v>
      </c>
      <c r="P19" s="785">
        <v>13</v>
      </c>
      <c r="Q19" s="785">
        <v>430</v>
      </c>
      <c r="R19" s="785">
        <v>64</v>
      </c>
      <c r="S19" s="785">
        <v>848</v>
      </c>
      <c r="T19" s="785">
        <v>63</v>
      </c>
      <c r="U19" s="785">
        <v>74</v>
      </c>
      <c r="V19" s="785">
        <v>-38</v>
      </c>
      <c r="W19" s="785">
        <v>77</v>
      </c>
      <c r="X19" s="785">
        <v>137</v>
      </c>
      <c r="Y19" s="785">
        <v>196</v>
      </c>
      <c r="Z19" s="785">
        <v>107</v>
      </c>
      <c r="AA19" s="785">
        <v>-1</v>
      </c>
      <c r="AB19" s="785">
        <v>21.4</v>
      </c>
      <c r="AC19" s="785">
        <v>218.6</v>
      </c>
      <c r="AD19" s="785">
        <v>109.00000000000003</v>
      </c>
      <c r="AE19" s="785">
        <v>277</v>
      </c>
      <c r="AF19" s="785">
        <v>-39.614000000000033</v>
      </c>
      <c r="AG19" s="785">
        <v>0.97400000000004638</v>
      </c>
      <c r="AH19" s="785">
        <v>30.17200000000048</v>
      </c>
      <c r="AI19" s="785">
        <v>-2.2000000000389264E-2</v>
      </c>
      <c r="AJ19" s="785">
        <v>240.14099999999985</v>
      </c>
      <c r="AK19" s="785">
        <v>167.34600000000069</v>
      </c>
      <c r="AL19" s="785">
        <v>65.61799999999937</v>
      </c>
      <c r="AM19" s="785">
        <v>184.62700000000086</v>
      </c>
      <c r="AN19" s="785">
        <v>133.81000000000029</v>
      </c>
      <c r="AO19" s="785">
        <v>125.61799999999948</v>
      </c>
      <c r="AP19" s="785">
        <v>68.3100000000004</v>
      </c>
      <c r="AQ19" s="785">
        <v>81.550000000000409</v>
      </c>
      <c r="AR19" s="785">
        <v>47.819999999999936</v>
      </c>
      <c r="AS19" s="785">
        <v>35.860000000000127</v>
      </c>
      <c r="AT19" s="785">
        <v>40.446000000001277</v>
      </c>
      <c r="AU19" s="785">
        <v>-116.96800000000167</v>
      </c>
      <c r="AV19" s="785">
        <v>-27.099999999999909</v>
      </c>
      <c r="AW19" s="785">
        <v>89.967999999999847</v>
      </c>
      <c r="AX19" s="785">
        <v>-282.32000000000016</v>
      </c>
      <c r="AY19" s="785">
        <v>-125.44200000000046</v>
      </c>
      <c r="AZ19" s="785">
        <v>-182.51</v>
      </c>
      <c r="BA19" s="785">
        <v>-644.10599999999886</v>
      </c>
      <c r="BB19" s="785">
        <v>3847.5749999999985</v>
      </c>
      <c r="BC19" s="779"/>
      <c r="BF19" s="780">
        <f t="shared" si="3"/>
        <v>1713</v>
      </c>
      <c r="BG19" s="780">
        <f t="shared" si="3"/>
        <v>1355</v>
      </c>
      <c r="BH19" s="780">
        <f t="shared" si="2"/>
        <v>176</v>
      </c>
      <c r="BI19" s="780">
        <f t="shared" si="2"/>
        <v>439</v>
      </c>
      <c r="BJ19" s="780">
        <f t="shared" si="2"/>
        <v>626</v>
      </c>
      <c r="BK19" s="780">
        <f t="shared" si="2"/>
        <v>-8.4899999999998954</v>
      </c>
      <c r="BL19" s="780">
        <f t="shared" si="2"/>
        <v>657.73200000000077</v>
      </c>
      <c r="BM19" s="780">
        <f t="shared" si="2"/>
        <v>409.28800000000058</v>
      </c>
      <c r="BN19" s="780">
        <f t="shared" si="2"/>
        <v>7.1579999999996744</v>
      </c>
      <c r="BO19" s="780">
        <f t="shared" si="2"/>
        <v>-344.89400000000069</v>
      </c>
    </row>
    <row r="20" spans="1:67" s="780" customFormat="1">
      <c r="A20" s="771"/>
      <c r="B20" s="319" t="s">
        <v>999</v>
      </c>
      <c r="C20" s="319"/>
      <c r="D20" s="785">
        <v>444</v>
      </c>
      <c r="E20" s="785">
        <v>489</v>
      </c>
      <c r="F20" s="785">
        <v>260</v>
      </c>
      <c r="G20" s="785">
        <v>196</v>
      </c>
      <c r="H20" s="785">
        <v>593</v>
      </c>
      <c r="I20" s="785">
        <v>-1088</v>
      </c>
      <c r="J20" s="785">
        <v>-580</v>
      </c>
      <c r="K20" s="785">
        <v>5</v>
      </c>
      <c r="L20" s="785">
        <v>-1011</v>
      </c>
      <c r="M20" s="785">
        <v>-238</v>
      </c>
      <c r="N20" s="785">
        <v>-60</v>
      </c>
      <c r="O20" s="785">
        <v>679</v>
      </c>
      <c r="P20" s="785">
        <v>243</v>
      </c>
      <c r="Q20" s="785">
        <v>-27</v>
      </c>
      <c r="R20" s="785">
        <v>-91</v>
      </c>
      <c r="S20" s="785">
        <v>59</v>
      </c>
      <c r="T20" s="785">
        <v>-73</v>
      </c>
      <c r="U20" s="785">
        <v>99</v>
      </c>
      <c r="V20" s="785">
        <v>166</v>
      </c>
      <c r="W20" s="785">
        <v>29</v>
      </c>
      <c r="X20" s="785">
        <v>-71</v>
      </c>
      <c r="Y20" s="785">
        <v>-83</v>
      </c>
      <c r="Z20" s="785">
        <v>-120</v>
      </c>
      <c r="AA20" s="785">
        <v>-4122</v>
      </c>
      <c r="AB20" s="785">
        <v>83.9</v>
      </c>
      <c r="AC20" s="785">
        <v>331.1</v>
      </c>
      <c r="AD20" s="785">
        <v>340</v>
      </c>
      <c r="AE20" s="785">
        <v>389</v>
      </c>
      <c r="AF20" s="785">
        <v>1545.694</v>
      </c>
      <c r="AG20" s="785">
        <v>381.54500000000002</v>
      </c>
      <c r="AH20" s="785">
        <v>535.80000000000018</v>
      </c>
      <c r="AI20" s="785">
        <v>-2316.8280000000004</v>
      </c>
      <c r="AJ20" s="785">
        <v>389.43799999999999</v>
      </c>
      <c r="AK20" s="785">
        <v>452.84100000000001</v>
      </c>
      <c r="AL20" s="785">
        <v>413.81400000000008</v>
      </c>
      <c r="AM20" s="785">
        <v>451.44699999999978</v>
      </c>
      <c r="AN20" s="785">
        <v>172.21600000000001</v>
      </c>
      <c r="AO20" s="785">
        <v>555.86599999999999</v>
      </c>
      <c r="AP20" s="785">
        <v>465.35199999999998</v>
      </c>
      <c r="AQ20" s="785">
        <v>159.596</v>
      </c>
      <c r="AR20" s="785">
        <v>237.77699999999999</v>
      </c>
      <c r="AS20" s="785">
        <v>565.55600000000004</v>
      </c>
      <c r="AT20" s="785">
        <v>447.22399999999999</v>
      </c>
      <c r="AU20" s="785">
        <v>453.96000000000009</v>
      </c>
      <c r="AV20" s="785">
        <v>677.19600000000003</v>
      </c>
      <c r="AW20" s="785">
        <v>661.13600000000008</v>
      </c>
      <c r="AX20" s="785">
        <v>415.60199999999975</v>
      </c>
      <c r="AY20" s="785">
        <v>673.29100000000005</v>
      </c>
      <c r="AZ20" s="785">
        <v>523.15099999999995</v>
      </c>
      <c r="BA20" s="785">
        <v>-1864.895</v>
      </c>
      <c r="BB20" s="785">
        <v>3095.6779999999999</v>
      </c>
      <c r="BC20" s="779"/>
      <c r="BF20" s="780">
        <f t="shared" si="3"/>
        <v>-630</v>
      </c>
      <c r="BG20" s="780">
        <f t="shared" si="3"/>
        <v>184</v>
      </c>
      <c r="BH20" s="780">
        <f t="shared" si="2"/>
        <v>221</v>
      </c>
      <c r="BI20" s="780">
        <f t="shared" si="2"/>
        <v>-4396</v>
      </c>
      <c r="BJ20" s="780">
        <f t="shared" si="2"/>
        <v>1144</v>
      </c>
      <c r="BK20" s="780">
        <f t="shared" si="2"/>
        <v>146.21099999999979</v>
      </c>
      <c r="BL20" s="780">
        <f t="shared" si="2"/>
        <v>1707.54</v>
      </c>
      <c r="BM20" s="780">
        <f t="shared" si="2"/>
        <v>1353.03</v>
      </c>
      <c r="BN20" s="780">
        <f t="shared" si="2"/>
        <v>1704.5170000000001</v>
      </c>
      <c r="BO20" s="780">
        <f t="shared" si="2"/>
        <v>2427.2249999999999</v>
      </c>
    </row>
    <row r="21" spans="1:67" s="780" customFormat="1">
      <c r="A21" s="771"/>
      <c r="B21" s="319" t="s">
        <v>97</v>
      </c>
      <c r="C21" s="319"/>
      <c r="D21" s="785">
        <v>-128</v>
      </c>
      <c r="E21" s="785">
        <v>-135</v>
      </c>
      <c r="F21" s="785">
        <v>-14</v>
      </c>
      <c r="G21" s="785">
        <v>-80</v>
      </c>
      <c r="H21" s="785">
        <v>-213</v>
      </c>
      <c r="I21" s="785">
        <v>225</v>
      </c>
      <c r="J21" s="785">
        <v>161</v>
      </c>
      <c r="K21" s="785">
        <v>6</v>
      </c>
      <c r="L21" s="785">
        <v>253</v>
      </c>
      <c r="M21" s="785">
        <v>145</v>
      </c>
      <c r="N21" s="785">
        <v>404</v>
      </c>
      <c r="O21" s="785">
        <v>-197</v>
      </c>
      <c r="P21" s="785">
        <v>-72</v>
      </c>
      <c r="Q21" s="785">
        <v>81</v>
      </c>
      <c r="R21" s="785">
        <v>26</v>
      </c>
      <c r="S21" s="785">
        <v>155</v>
      </c>
      <c r="T21" s="785">
        <v>119</v>
      </c>
      <c r="U21" s="785">
        <v>-2</v>
      </c>
      <c r="V21" s="785">
        <v>-71</v>
      </c>
      <c r="W21" s="785">
        <v>108</v>
      </c>
      <c r="X21" s="785">
        <v>87</v>
      </c>
      <c r="Y21" s="785">
        <v>-14</v>
      </c>
      <c r="Z21" s="785">
        <v>56</v>
      </c>
      <c r="AA21" s="785">
        <v>970</v>
      </c>
      <c r="AB21" s="785">
        <v>-26.7</v>
      </c>
      <c r="AC21" s="785">
        <v>-106.3</v>
      </c>
      <c r="AD21" s="785">
        <v>-124.00000000000001</v>
      </c>
      <c r="AE21" s="785">
        <v>-175</v>
      </c>
      <c r="AF21" s="785">
        <v>-25.69399999999996</v>
      </c>
      <c r="AG21" s="785">
        <v>-157.54500000000002</v>
      </c>
      <c r="AH21" s="785">
        <v>-204.80000000000018</v>
      </c>
      <c r="AI21" s="785">
        <v>613.82800000000043</v>
      </c>
      <c r="AJ21" s="785">
        <v>-68.437999999999988</v>
      </c>
      <c r="AK21" s="785">
        <v>-57.841000000000008</v>
      </c>
      <c r="AL21" s="785">
        <v>-113.81400000000008</v>
      </c>
      <c r="AM21" s="785">
        <v>-179.63999999999976</v>
      </c>
      <c r="AN21" s="785">
        <v>-33.123999999999995</v>
      </c>
      <c r="AO21" s="785">
        <v>-77.946000000000026</v>
      </c>
      <c r="AP21" s="785">
        <v>-93.591999999999871</v>
      </c>
      <c r="AQ21" s="785">
        <v>-27.179999999999978</v>
      </c>
      <c r="AR21" s="785">
        <v>-33.601999999999975</v>
      </c>
      <c r="AS21" s="785">
        <v>-112.20700000000005</v>
      </c>
      <c r="AT21" s="785">
        <v>-86.165000000000077</v>
      </c>
      <c r="AU21" s="785">
        <v>-188.09499999999997</v>
      </c>
      <c r="AV21" s="785">
        <v>-129.76600000000008</v>
      </c>
      <c r="AW21" s="785">
        <v>-171.40100000000007</v>
      </c>
      <c r="AX21" s="785">
        <v>-117.8349999999997</v>
      </c>
      <c r="AY21" s="785">
        <v>-160.5920000000001</v>
      </c>
      <c r="AZ21" s="785">
        <v>-134.91899999999993</v>
      </c>
      <c r="BA21" s="785">
        <v>257.89499999999998</v>
      </c>
      <c r="BB21" s="785">
        <v>-4472.5149999999994</v>
      </c>
      <c r="BC21" s="779"/>
      <c r="BF21" s="780">
        <f t="shared" si="3"/>
        <v>605</v>
      </c>
      <c r="BG21" s="780">
        <f t="shared" si="3"/>
        <v>190</v>
      </c>
      <c r="BH21" s="780">
        <f t="shared" si="2"/>
        <v>154</v>
      </c>
      <c r="BI21" s="780">
        <f t="shared" si="2"/>
        <v>1099</v>
      </c>
      <c r="BJ21" s="780">
        <f t="shared" si="2"/>
        <v>-432</v>
      </c>
      <c r="BK21" s="780">
        <f t="shared" si="2"/>
        <v>225.78900000000027</v>
      </c>
      <c r="BL21" s="780">
        <f t="shared" si="2"/>
        <v>-419.73299999999983</v>
      </c>
      <c r="BM21" s="780">
        <f t="shared" si="2"/>
        <v>-231.84199999999987</v>
      </c>
      <c r="BN21" s="780">
        <f t="shared" si="2"/>
        <v>-420.06900000000007</v>
      </c>
      <c r="BO21" s="780">
        <f t="shared" si="2"/>
        <v>-579.59399999999994</v>
      </c>
    </row>
    <row r="22" spans="1:67" s="778" customFormat="1">
      <c r="A22" s="776"/>
      <c r="B22" s="683" t="s">
        <v>1000</v>
      </c>
      <c r="C22" s="683"/>
      <c r="D22" s="786">
        <v>316</v>
      </c>
      <c r="E22" s="786">
        <v>354</v>
      </c>
      <c r="F22" s="786">
        <v>246</v>
      </c>
      <c r="G22" s="786">
        <v>116</v>
      </c>
      <c r="H22" s="786">
        <v>380</v>
      </c>
      <c r="I22" s="786">
        <v>-863</v>
      </c>
      <c r="J22" s="786">
        <v>-419</v>
      </c>
      <c r="K22" s="786">
        <v>11</v>
      </c>
      <c r="L22" s="786">
        <v>-758</v>
      </c>
      <c r="M22" s="786">
        <v>-93</v>
      </c>
      <c r="N22" s="786">
        <v>344</v>
      </c>
      <c r="O22" s="786">
        <v>482</v>
      </c>
      <c r="P22" s="786">
        <v>171</v>
      </c>
      <c r="Q22" s="786">
        <v>54</v>
      </c>
      <c r="R22" s="786">
        <v>-65</v>
      </c>
      <c r="S22" s="786">
        <v>214</v>
      </c>
      <c r="T22" s="786">
        <v>46</v>
      </c>
      <c r="U22" s="786">
        <v>97</v>
      </c>
      <c r="V22" s="786">
        <v>95</v>
      </c>
      <c r="W22" s="786">
        <v>137</v>
      </c>
      <c r="X22" s="786">
        <v>15</v>
      </c>
      <c r="Y22" s="786">
        <v>-97</v>
      </c>
      <c r="Z22" s="786">
        <v>-64</v>
      </c>
      <c r="AA22" s="786">
        <v>-3152</v>
      </c>
      <c r="AB22" s="786">
        <v>57</v>
      </c>
      <c r="AC22" s="786">
        <v>225</v>
      </c>
      <c r="AD22" s="786">
        <v>216</v>
      </c>
      <c r="AE22" s="786">
        <v>214</v>
      </c>
      <c r="AF22" s="786">
        <v>1520</v>
      </c>
      <c r="AG22" s="786">
        <v>224</v>
      </c>
      <c r="AH22" s="786">
        <v>331</v>
      </c>
      <c r="AI22" s="786">
        <v>-1703</v>
      </c>
      <c r="AJ22" s="786">
        <v>321</v>
      </c>
      <c r="AK22" s="786">
        <v>395</v>
      </c>
      <c r="AL22" s="786">
        <v>300</v>
      </c>
      <c r="AM22" s="786">
        <v>271.80700000000002</v>
      </c>
      <c r="AN22" s="786">
        <v>139.09200000000001</v>
      </c>
      <c r="AO22" s="786">
        <v>477.91999999999996</v>
      </c>
      <c r="AP22" s="786">
        <v>371.7600000000001</v>
      </c>
      <c r="AQ22" s="786">
        <v>132.41600000000003</v>
      </c>
      <c r="AR22" s="786">
        <v>204.17500000000001</v>
      </c>
      <c r="AS22" s="786">
        <v>453.34899999999999</v>
      </c>
      <c r="AT22" s="786">
        <v>361.05899999999991</v>
      </c>
      <c r="AU22" s="786">
        <v>265.86500000000012</v>
      </c>
      <c r="AV22" s="786">
        <v>547.42999999999995</v>
      </c>
      <c r="AW22" s="786">
        <v>489.73500000000001</v>
      </c>
      <c r="AX22" s="786">
        <v>297.76700000000005</v>
      </c>
      <c r="AY22" s="786">
        <v>512.69899999999996</v>
      </c>
      <c r="AZ22" s="786">
        <v>388.23200000000003</v>
      </c>
      <c r="BA22" s="786">
        <v>-1607</v>
      </c>
      <c r="BB22" s="786">
        <v>-1376.837</v>
      </c>
      <c r="BC22" s="777"/>
      <c r="BF22" s="778">
        <f t="shared" si="3"/>
        <v>-25</v>
      </c>
      <c r="BG22" s="778">
        <f t="shared" si="3"/>
        <v>374</v>
      </c>
      <c r="BH22" s="778">
        <f t="shared" si="2"/>
        <v>375</v>
      </c>
      <c r="BI22" s="778">
        <f t="shared" si="2"/>
        <v>-3298</v>
      </c>
      <c r="BJ22" s="778">
        <f t="shared" si="2"/>
        <v>712</v>
      </c>
      <c r="BK22" s="778">
        <f t="shared" si="2"/>
        <v>372</v>
      </c>
      <c r="BL22" s="778">
        <f t="shared" si="2"/>
        <v>1287.807</v>
      </c>
      <c r="BM22" s="778">
        <f t="shared" si="2"/>
        <v>1121.1880000000001</v>
      </c>
      <c r="BN22" s="778">
        <f t="shared" si="2"/>
        <v>1284.4479999999999</v>
      </c>
      <c r="BO22" s="778">
        <f t="shared" si="2"/>
        <v>1847.6309999999999</v>
      </c>
    </row>
    <row r="23" spans="1:67" s="778" customFormat="1">
      <c r="A23" s="776"/>
      <c r="B23" s="683" t="s">
        <v>1001</v>
      </c>
      <c r="C23" s="683"/>
      <c r="D23" s="786">
        <v>316</v>
      </c>
      <c r="E23" s="786">
        <v>354</v>
      </c>
      <c r="F23" s="786">
        <v>246</v>
      </c>
      <c r="G23" s="786">
        <v>116</v>
      </c>
      <c r="H23" s="786">
        <v>380</v>
      </c>
      <c r="I23" s="786">
        <v>-863</v>
      </c>
      <c r="J23" s="786">
        <v>-419</v>
      </c>
      <c r="K23" s="786">
        <v>11</v>
      </c>
      <c r="L23" s="786">
        <v>-34</v>
      </c>
      <c r="M23" s="786">
        <v>118</v>
      </c>
      <c r="N23" s="786">
        <v>-10</v>
      </c>
      <c r="O23" s="786">
        <v>-23</v>
      </c>
      <c r="P23" s="786">
        <v>-159</v>
      </c>
      <c r="Q23" s="786">
        <v>18</v>
      </c>
      <c r="R23" s="786">
        <v>56</v>
      </c>
      <c r="S23" s="786">
        <v>-124</v>
      </c>
      <c r="T23" s="786">
        <v>20</v>
      </c>
      <c r="U23" s="786">
        <v>94</v>
      </c>
      <c r="V23" s="786">
        <v>224</v>
      </c>
      <c r="W23" s="786">
        <v>402</v>
      </c>
      <c r="X23" s="786">
        <v>21</v>
      </c>
      <c r="Y23" s="786">
        <v>-85</v>
      </c>
      <c r="Z23" s="786">
        <v>-27</v>
      </c>
      <c r="AA23" s="786">
        <v>58</v>
      </c>
      <c r="AB23" s="786">
        <v>69</v>
      </c>
      <c r="AC23" s="786">
        <v>223</v>
      </c>
      <c r="AD23" s="786">
        <v>214</v>
      </c>
      <c r="AE23" s="786">
        <v>214</v>
      </c>
      <c r="AF23" s="786">
        <v>113</v>
      </c>
      <c r="AG23" s="786">
        <v>144</v>
      </c>
      <c r="AH23" s="786">
        <v>331</v>
      </c>
      <c r="AI23" s="786">
        <v>166</v>
      </c>
      <c r="AJ23" s="786">
        <v>230</v>
      </c>
      <c r="AK23" s="786">
        <v>333</v>
      </c>
      <c r="AL23" s="786">
        <v>272</v>
      </c>
      <c r="AM23" s="786">
        <v>269</v>
      </c>
      <c r="AN23" s="786">
        <v>171</v>
      </c>
      <c r="AO23" s="786">
        <v>446</v>
      </c>
      <c r="AP23" s="786">
        <v>371.7600000000001</v>
      </c>
      <c r="AQ23" s="786">
        <v>132.41600000000003</v>
      </c>
      <c r="AR23" s="786">
        <v>204.17500000000001</v>
      </c>
      <c r="AS23" s="786">
        <v>453.34899999999999</v>
      </c>
      <c r="AT23" s="786">
        <v>361.05899999999991</v>
      </c>
      <c r="AU23" s="786">
        <v>265.86500000000012</v>
      </c>
      <c r="AV23" s="786">
        <v>547.42999999999995</v>
      </c>
      <c r="AW23" s="786">
        <v>489.73500000000001</v>
      </c>
      <c r="AX23" s="786">
        <v>302</v>
      </c>
      <c r="AY23" s="786">
        <v>513</v>
      </c>
      <c r="AZ23" s="786">
        <v>388.23200000000003</v>
      </c>
      <c r="BA23" s="786">
        <v>313</v>
      </c>
      <c r="BB23" s="786">
        <v>1154</v>
      </c>
      <c r="BC23" s="777"/>
      <c r="BF23" s="778">
        <f t="shared" si="3"/>
        <v>51</v>
      </c>
      <c r="BG23" s="778">
        <f t="shared" si="3"/>
        <v>-209</v>
      </c>
      <c r="BH23" s="778">
        <f t="shared" si="3"/>
        <v>740</v>
      </c>
      <c r="BI23" s="778">
        <f t="shared" si="3"/>
        <v>-33</v>
      </c>
      <c r="BJ23" s="778">
        <f t="shared" si="3"/>
        <v>720</v>
      </c>
      <c r="BK23" s="778">
        <f t="shared" si="3"/>
        <v>754</v>
      </c>
      <c r="BL23" s="778">
        <f t="shared" si="3"/>
        <v>1104</v>
      </c>
      <c r="BM23" s="778">
        <f t="shared" si="3"/>
        <v>1121.1760000000002</v>
      </c>
      <c r="BN23" s="778">
        <f t="shared" si="3"/>
        <v>1284.4479999999999</v>
      </c>
      <c r="BO23" s="778">
        <f t="shared" si="3"/>
        <v>1852.165</v>
      </c>
    </row>
    <row r="24" spans="1:67" s="780" customFormat="1">
      <c r="A24" s="771"/>
      <c r="B24" s="319" t="s">
        <v>248</v>
      </c>
      <c r="C24" s="319"/>
      <c r="D24" s="785">
        <v>1791</v>
      </c>
      <c r="E24" s="785">
        <v>1562</v>
      </c>
      <c r="F24" s="785">
        <v>1546</v>
      </c>
      <c r="G24" s="785">
        <v>2033</v>
      </c>
      <c r="H24" s="785">
        <v>1747</v>
      </c>
      <c r="I24" s="785">
        <v>1318</v>
      </c>
      <c r="J24" s="785">
        <v>1294</v>
      </c>
      <c r="K24" s="785">
        <v>1390</v>
      </c>
      <c r="L24" s="785">
        <v>1211</v>
      </c>
      <c r="M24" s="785">
        <v>1679</v>
      </c>
      <c r="N24" s="785">
        <v>1440</v>
      </c>
      <c r="O24" s="785">
        <v>518</v>
      </c>
      <c r="P24" s="785">
        <v>1048</v>
      </c>
      <c r="Q24" s="785">
        <v>1215</v>
      </c>
      <c r="R24" s="785">
        <v>1187</v>
      </c>
      <c r="S24" s="785">
        <v>3024</v>
      </c>
      <c r="T24" s="785">
        <v>971</v>
      </c>
      <c r="U24" s="785">
        <v>2569</v>
      </c>
      <c r="V24" s="785">
        <v>1405</v>
      </c>
      <c r="W24" s="785">
        <v>2245</v>
      </c>
      <c r="X24" s="785">
        <v>1559</v>
      </c>
      <c r="Y24" s="785">
        <v>1712</v>
      </c>
      <c r="Z24" s="785">
        <v>1669</v>
      </c>
      <c r="AA24" s="785">
        <v>1852</v>
      </c>
      <c r="AB24" s="785">
        <v>1511</v>
      </c>
      <c r="AC24" s="785">
        <v>2095</v>
      </c>
      <c r="AD24" s="785">
        <v>1909</v>
      </c>
      <c r="AE24" s="785">
        <v>2481</v>
      </c>
      <c r="AF24" s="785">
        <v>1784</v>
      </c>
      <c r="AG24" s="785">
        <v>1951</v>
      </c>
      <c r="AH24" s="785">
        <v>1334</v>
      </c>
      <c r="AI24" s="785">
        <v>1086</v>
      </c>
      <c r="AJ24" s="785">
        <v>1716</v>
      </c>
      <c r="AK24" s="785">
        <v>2857</v>
      </c>
      <c r="AL24" s="785">
        <v>1783</v>
      </c>
      <c r="AM24" s="785">
        <v>3565</v>
      </c>
      <c r="AN24" s="785">
        <v>1234</v>
      </c>
      <c r="AO24" s="785">
        <v>1983.5380000000005</v>
      </c>
      <c r="AP24" s="785">
        <v>3102.4619999999995</v>
      </c>
      <c r="AQ24" s="785">
        <v>2743</v>
      </c>
      <c r="AR24" s="785">
        <v>1413</v>
      </c>
      <c r="AS24" s="785">
        <v>1743</v>
      </c>
      <c r="AT24" s="785">
        <v>2389</v>
      </c>
      <c r="AU24" s="785">
        <v>1613</v>
      </c>
      <c r="AV24" s="785">
        <v>2057</v>
      </c>
      <c r="AW24" s="785">
        <v>2088</v>
      </c>
      <c r="AX24" s="785">
        <v>1504</v>
      </c>
      <c r="AY24" s="785">
        <v>1733</v>
      </c>
      <c r="AZ24" s="785">
        <v>1241</v>
      </c>
      <c r="BA24" s="785">
        <v>1090</v>
      </c>
      <c r="BB24" s="785">
        <v>1929</v>
      </c>
      <c r="BC24" s="779"/>
      <c r="BF24" s="780">
        <f t="shared" si="3"/>
        <v>4848</v>
      </c>
      <c r="BG24" s="780">
        <f t="shared" si="3"/>
        <v>6474</v>
      </c>
      <c r="BH24" s="780">
        <f t="shared" si="3"/>
        <v>7190</v>
      </c>
      <c r="BI24" s="780">
        <f t="shared" si="3"/>
        <v>6792</v>
      </c>
      <c r="BJ24" s="780">
        <f t="shared" si="3"/>
        <v>7996</v>
      </c>
      <c r="BK24" s="780">
        <f t="shared" si="3"/>
        <v>6155</v>
      </c>
      <c r="BL24" s="780">
        <f t="shared" si="3"/>
        <v>9921</v>
      </c>
      <c r="BM24" s="780">
        <f t="shared" si="3"/>
        <v>9063</v>
      </c>
      <c r="BN24" s="780">
        <f t="shared" si="3"/>
        <v>7158</v>
      </c>
      <c r="BO24" s="780">
        <f t="shared" si="3"/>
        <v>7382</v>
      </c>
    </row>
    <row r="25" spans="1:67" s="780" customFormat="1">
      <c r="A25" s="771"/>
      <c r="B25" s="319"/>
      <c r="C25" s="319"/>
      <c r="D25" s="779"/>
      <c r="E25" s="779"/>
      <c r="F25" s="779"/>
      <c r="G25" s="779"/>
      <c r="H25" s="779"/>
      <c r="I25" s="779"/>
      <c r="J25" s="779"/>
      <c r="K25" s="779"/>
      <c r="L25" s="779"/>
      <c r="M25" s="779"/>
      <c r="N25" s="779"/>
      <c r="O25" s="779"/>
      <c r="P25" s="779"/>
      <c r="Q25" s="779"/>
      <c r="R25" s="779"/>
      <c r="S25" s="779"/>
      <c r="T25" s="779"/>
      <c r="U25" s="779"/>
      <c r="V25" s="779"/>
      <c r="W25" s="779"/>
      <c r="X25" s="779"/>
      <c r="Y25" s="779"/>
      <c r="Z25" s="779"/>
      <c r="AA25" s="779"/>
      <c r="AB25" s="779"/>
      <c r="AC25" s="779"/>
      <c r="AD25" s="779"/>
      <c r="AE25" s="779"/>
      <c r="AF25" s="779"/>
      <c r="AG25" s="779"/>
      <c r="AH25" s="779"/>
      <c r="AI25" s="779"/>
      <c r="AJ25" s="779"/>
      <c r="AK25" s="779"/>
      <c r="AL25" s="779"/>
      <c r="AM25" s="779"/>
      <c r="AN25" s="779"/>
      <c r="AO25" s="779"/>
      <c r="AP25" s="779"/>
      <c r="AQ25" s="779"/>
      <c r="AR25" s="779"/>
      <c r="AS25" s="779"/>
      <c r="AT25" s="779"/>
      <c r="AU25" s="779"/>
      <c r="AV25" s="779"/>
      <c r="AW25" s="779"/>
      <c r="AX25" s="779"/>
      <c r="AY25" s="779"/>
      <c r="AZ25" s="779"/>
      <c r="BA25" s="779"/>
      <c r="BB25" s="779"/>
      <c r="BC25" s="779"/>
    </row>
    <row r="26" spans="1:67" s="780" customFormat="1">
      <c r="A26" s="771"/>
      <c r="B26" s="774" t="s">
        <v>577</v>
      </c>
      <c r="C26" s="774"/>
      <c r="D26" s="774"/>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774"/>
      <c r="AV26" s="774"/>
      <c r="AW26" s="774"/>
      <c r="AX26" s="774"/>
      <c r="AY26" s="774"/>
      <c r="AZ26" s="774"/>
      <c r="BA26" s="774"/>
      <c r="BB26" s="774"/>
      <c r="BC26" s="774"/>
    </row>
    <row r="27" spans="1:67" s="780" customFormat="1">
      <c r="A27" s="771"/>
      <c r="B27" s="683"/>
      <c r="C27" s="683"/>
      <c r="D27" s="777"/>
      <c r="E27" s="777"/>
      <c r="F27" s="777"/>
      <c r="G27" s="777"/>
      <c r="H27" s="777"/>
      <c r="I27" s="777"/>
      <c r="J27" s="777"/>
      <c r="K27" s="777"/>
      <c r="L27" s="777"/>
      <c r="M27" s="777"/>
      <c r="N27" s="777"/>
      <c r="O27" s="777"/>
      <c r="P27" s="777"/>
      <c r="Q27" s="777"/>
      <c r="R27" s="777"/>
      <c r="S27" s="777"/>
      <c r="T27" s="777"/>
      <c r="U27" s="777"/>
      <c r="V27" s="777"/>
      <c r="W27" s="777"/>
      <c r="X27" s="777"/>
      <c r="Y27" s="777"/>
      <c r="Z27" s="777"/>
      <c r="AA27" s="777"/>
      <c r="AB27" s="777"/>
      <c r="AC27" s="777"/>
      <c r="AD27" s="777"/>
      <c r="AE27" s="777"/>
      <c r="AF27" s="777"/>
      <c r="AG27" s="777"/>
      <c r="AH27" s="777"/>
      <c r="AI27" s="777"/>
      <c r="AJ27" s="777"/>
      <c r="AK27" s="777"/>
      <c r="AL27" s="777"/>
      <c r="AM27" s="777"/>
      <c r="AN27" s="777"/>
      <c r="AO27" s="777"/>
      <c r="AP27" s="777"/>
      <c r="AQ27" s="777"/>
      <c r="AR27" s="777"/>
      <c r="AS27" s="777"/>
      <c r="AT27" s="777"/>
      <c r="AU27" s="777"/>
      <c r="AV27" s="777"/>
      <c r="AW27" s="777"/>
      <c r="AX27" s="777"/>
      <c r="AY27" s="777"/>
      <c r="AZ27" s="777"/>
      <c r="BA27" s="777"/>
      <c r="BB27" s="777"/>
      <c r="BC27" s="777"/>
    </row>
    <row r="28" spans="1:67" s="780" customFormat="1">
      <c r="A28" s="771"/>
      <c r="B28" s="683" t="s">
        <v>766</v>
      </c>
      <c r="C28" s="683"/>
      <c r="D28" s="777"/>
      <c r="E28" s="777"/>
      <c r="F28" s="777"/>
      <c r="G28" s="777"/>
      <c r="H28" s="777"/>
      <c r="I28" s="777"/>
      <c r="J28" s="777"/>
      <c r="K28" s="777"/>
      <c r="L28" s="777"/>
      <c r="M28" s="777"/>
      <c r="N28" s="777"/>
      <c r="O28" s="777"/>
      <c r="P28" s="777"/>
      <c r="Q28" s="777"/>
      <c r="R28" s="777"/>
      <c r="S28" s="777"/>
      <c r="T28" s="777"/>
      <c r="U28" s="777"/>
      <c r="V28" s="777"/>
      <c r="W28" s="777"/>
      <c r="X28" s="777"/>
      <c r="Y28" s="777"/>
      <c r="Z28" s="777"/>
      <c r="AA28" s="777"/>
      <c r="AB28" s="777"/>
      <c r="AC28" s="777"/>
      <c r="AD28" s="777"/>
      <c r="AE28" s="777"/>
      <c r="AF28" s="777"/>
      <c r="AG28" s="777"/>
      <c r="AH28" s="777"/>
      <c r="AI28" s="777"/>
      <c r="AJ28" s="777"/>
      <c r="AK28" s="777"/>
      <c r="AL28" s="777"/>
      <c r="AM28" s="777"/>
      <c r="AN28" s="777"/>
      <c r="AO28" s="777"/>
      <c r="AP28" s="777"/>
      <c r="AQ28" s="777"/>
      <c r="AR28" s="777"/>
      <c r="AS28" s="777"/>
      <c r="AT28" s="777"/>
      <c r="AU28" s="777"/>
      <c r="AV28" s="777"/>
      <c r="AW28" s="777"/>
      <c r="AX28" s="777"/>
      <c r="AY28" s="777"/>
      <c r="AZ28" s="777"/>
      <c r="BA28" s="777"/>
      <c r="BB28" s="777"/>
      <c r="BC28" s="777"/>
    </row>
    <row r="29" spans="1:67" s="780" customFormat="1">
      <c r="A29" s="771"/>
      <c r="B29" s="319" t="s">
        <v>653</v>
      </c>
      <c r="C29" s="319"/>
      <c r="D29" s="785">
        <v>49100</v>
      </c>
      <c r="E29" s="785">
        <v>54200</v>
      </c>
      <c r="F29" s="785">
        <v>58100</v>
      </c>
      <c r="G29" s="785">
        <v>60500</v>
      </c>
      <c r="H29" s="785">
        <v>68500</v>
      </c>
      <c r="I29" s="785">
        <v>62868</v>
      </c>
      <c r="J29" s="785">
        <v>58256</v>
      </c>
      <c r="K29" s="785">
        <v>59600</v>
      </c>
      <c r="L29" s="785">
        <v>52100</v>
      </c>
      <c r="M29" s="785">
        <v>46000</v>
      </c>
      <c r="N29" s="785">
        <v>41500</v>
      </c>
      <c r="O29" s="785">
        <v>42000</v>
      </c>
      <c r="P29" s="785">
        <v>42500</v>
      </c>
      <c r="Q29" s="785">
        <v>44000</v>
      </c>
      <c r="R29" s="785">
        <v>45000</v>
      </c>
      <c r="S29" s="785">
        <v>46500</v>
      </c>
      <c r="T29" s="785">
        <v>48000</v>
      </c>
      <c r="U29" s="785">
        <v>50500</v>
      </c>
      <c r="V29" s="785">
        <v>52500</v>
      </c>
      <c r="W29" s="785">
        <v>53500</v>
      </c>
      <c r="X29" s="785">
        <v>54500</v>
      </c>
      <c r="Y29" s="785">
        <v>52900</v>
      </c>
      <c r="Z29" s="785">
        <v>53900</v>
      </c>
      <c r="AA29" s="785">
        <v>54900</v>
      </c>
      <c r="AB29" s="785">
        <v>55100</v>
      </c>
      <c r="AC29" s="785">
        <v>56600</v>
      </c>
      <c r="AD29" s="785">
        <v>55500</v>
      </c>
      <c r="AE29" s="785">
        <v>56700</v>
      </c>
      <c r="AF29" s="785">
        <v>55490</v>
      </c>
      <c r="AG29" s="785">
        <v>55670</v>
      </c>
      <c r="AH29" s="785">
        <v>56880</v>
      </c>
      <c r="AI29" s="785">
        <v>57890</v>
      </c>
      <c r="AJ29" s="785">
        <v>56010</v>
      </c>
      <c r="AK29" s="785">
        <v>56770</v>
      </c>
      <c r="AL29" s="785">
        <v>57980</v>
      </c>
      <c r="AM29" s="785">
        <v>57910</v>
      </c>
      <c r="AN29" s="785">
        <v>57000</v>
      </c>
      <c r="AO29" s="785">
        <v>57230</v>
      </c>
      <c r="AP29" s="785">
        <v>57400</v>
      </c>
      <c r="AQ29" s="785">
        <v>57500</v>
      </c>
      <c r="AR29" s="785">
        <v>57900</v>
      </c>
      <c r="AS29" s="785">
        <v>58000</v>
      </c>
      <c r="AT29" s="785">
        <v>57500</v>
      </c>
      <c r="AU29" s="785">
        <v>57500</v>
      </c>
      <c r="AV29" s="785">
        <v>57600</v>
      </c>
      <c r="AW29" s="785">
        <v>58500</v>
      </c>
      <c r="AX29" s="785">
        <v>58600</v>
      </c>
      <c r="AY29" s="785">
        <v>58800</v>
      </c>
      <c r="AZ29" s="785">
        <v>58900</v>
      </c>
      <c r="BA29" s="785">
        <v>82600</v>
      </c>
      <c r="BB29" s="785">
        <v>79600</v>
      </c>
      <c r="BC29" s="779"/>
      <c r="BF29" s="780">
        <f>SUMIFS($D29:$BC29,$D$4:$BC$4,BF$4)</f>
        <v>42000</v>
      </c>
      <c r="BG29" s="780">
        <f t="shared" ref="BG29:BO29" si="4">SUMIFS($D29:$BC29,$D$4:$BC$4,BG$4)</f>
        <v>46500</v>
      </c>
      <c r="BH29" s="780">
        <f t="shared" si="4"/>
        <v>53500</v>
      </c>
      <c r="BI29" s="780">
        <f t="shared" si="4"/>
        <v>54900</v>
      </c>
      <c r="BJ29" s="780">
        <f t="shared" si="4"/>
        <v>56700</v>
      </c>
      <c r="BK29" s="780">
        <f t="shared" si="4"/>
        <v>57890</v>
      </c>
      <c r="BL29" s="780">
        <f t="shared" si="4"/>
        <v>57910</v>
      </c>
      <c r="BM29" s="780">
        <f t="shared" si="4"/>
        <v>57500</v>
      </c>
      <c r="BN29" s="780">
        <f t="shared" si="4"/>
        <v>57500</v>
      </c>
      <c r="BO29" s="780">
        <f t="shared" si="4"/>
        <v>58800</v>
      </c>
    </row>
    <row r="30" spans="1:67" s="780" customFormat="1">
      <c r="A30" s="771"/>
      <c r="B30" s="319" t="s">
        <v>1002</v>
      </c>
      <c r="C30" s="319"/>
      <c r="D30" s="785"/>
      <c r="E30" s="785">
        <v>5100</v>
      </c>
      <c r="F30" s="785">
        <v>3900</v>
      </c>
      <c r="G30" s="785">
        <v>2400</v>
      </c>
      <c r="H30" s="785">
        <v>8000</v>
      </c>
      <c r="I30" s="785">
        <v>-5632</v>
      </c>
      <c r="J30" s="785">
        <v>-4612</v>
      </c>
      <c r="K30" s="785">
        <v>1344</v>
      </c>
      <c r="L30" s="785">
        <v>-7500</v>
      </c>
      <c r="M30" s="785">
        <v>-6100</v>
      </c>
      <c r="N30" s="785">
        <v>-4500</v>
      </c>
      <c r="O30" s="785">
        <v>500</v>
      </c>
      <c r="P30" s="785">
        <v>500</v>
      </c>
      <c r="Q30" s="785">
        <v>1500</v>
      </c>
      <c r="R30" s="785">
        <v>1000</v>
      </c>
      <c r="S30" s="785">
        <v>1500</v>
      </c>
      <c r="T30" s="785">
        <v>1500</v>
      </c>
      <c r="U30" s="785">
        <v>2500</v>
      </c>
      <c r="V30" s="785">
        <v>2000</v>
      </c>
      <c r="W30" s="785">
        <v>1000</v>
      </c>
      <c r="X30" s="785">
        <v>1000</v>
      </c>
      <c r="Y30" s="785">
        <v>-1600</v>
      </c>
      <c r="Z30" s="785">
        <v>1000</v>
      </c>
      <c r="AA30" s="785">
        <v>1000</v>
      </c>
      <c r="AB30" s="785">
        <v>200</v>
      </c>
      <c r="AC30" s="785">
        <v>1500</v>
      </c>
      <c r="AD30" s="785">
        <v>-1100</v>
      </c>
      <c r="AE30" s="785">
        <v>1200</v>
      </c>
      <c r="AF30" s="785">
        <v>-1210</v>
      </c>
      <c r="AG30" s="785">
        <v>180</v>
      </c>
      <c r="AH30" s="785">
        <v>1210</v>
      </c>
      <c r="AI30" s="785">
        <v>1010</v>
      </c>
      <c r="AJ30" s="785">
        <v>-1880</v>
      </c>
      <c r="AK30" s="785">
        <v>760</v>
      </c>
      <c r="AL30" s="785">
        <v>1210</v>
      </c>
      <c r="AM30" s="785">
        <v>-70</v>
      </c>
      <c r="AN30" s="785">
        <v>-910</v>
      </c>
      <c r="AO30" s="785">
        <v>230</v>
      </c>
      <c r="AP30" s="785">
        <v>170</v>
      </c>
      <c r="AQ30" s="785">
        <v>100</v>
      </c>
      <c r="AR30" s="785">
        <v>400</v>
      </c>
      <c r="AS30" s="785">
        <v>100</v>
      </c>
      <c r="AT30" s="785">
        <v>-500</v>
      </c>
      <c r="AU30" s="785">
        <v>0</v>
      </c>
      <c r="AV30" s="785">
        <v>100</v>
      </c>
      <c r="AW30" s="785">
        <v>900</v>
      </c>
      <c r="AX30" s="785">
        <v>100</v>
      </c>
      <c r="AY30" s="785">
        <v>200</v>
      </c>
      <c r="AZ30" s="785">
        <v>100</v>
      </c>
      <c r="BA30" s="785">
        <v>23700</v>
      </c>
      <c r="BB30" s="785">
        <v>-3000</v>
      </c>
      <c r="BC30" s="779"/>
    </row>
    <row r="31" spans="1:67" s="780" customFormat="1">
      <c r="A31" s="771"/>
      <c r="B31" s="319"/>
      <c r="C31" s="319"/>
      <c r="D31" s="786"/>
      <c r="E31" s="786"/>
      <c r="F31" s="786"/>
      <c r="G31" s="786"/>
      <c r="H31" s="786"/>
      <c r="I31" s="786"/>
      <c r="J31" s="786"/>
      <c r="K31" s="786"/>
      <c r="L31" s="786"/>
      <c r="M31" s="786"/>
      <c r="N31" s="786"/>
      <c r="O31" s="786"/>
      <c r="P31" s="786"/>
      <c r="Q31" s="786"/>
      <c r="R31" s="786"/>
      <c r="S31" s="786"/>
      <c r="T31" s="786"/>
      <c r="U31" s="786"/>
      <c r="V31" s="786"/>
      <c r="W31" s="786"/>
      <c r="X31" s="786"/>
      <c r="Y31" s="786"/>
      <c r="Z31" s="786"/>
      <c r="AA31" s="786"/>
      <c r="AB31" s="786"/>
      <c r="AC31" s="786"/>
      <c r="AD31" s="786"/>
      <c r="AE31" s="786"/>
      <c r="AF31" s="786"/>
      <c r="AG31" s="786"/>
      <c r="AH31" s="786"/>
      <c r="AI31" s="786"/>
      <c r="AJ31" s="786"/>
      <c r="AK31" s="786"/>
      <c r="AL31" s="786"/>
      <c r="AM31" s="786"/>
      <c r="AN31" s="786"/>
      <c r="AO31" s="786"/>
      <c r="AP31" s="786"/>
      <c r="AQ31" s="786"/>
      <c r="AR31" s="786"/>
      <c r="AS31" s="786"/>
      <c r="AT31" s="786"/>
      <c r="AU31" s="786"/>
      <c r="AV31" s="786"/>
      <c r="AW31" s="786"/>
      <c r="AX31" s="786"/>
      <c r="AY31" s="786"/>
      <c r="AZ31" s="786"/>
      <c r="BA31" s="786"/>
      <c r="BB31" s="786"/>
      <c r="BC31" s="777"/>
    </row>
    <row r="32" spans="1:67" s="780" customFormat="1">
      <c r="A32" s="771"/>
      <c r="B32" s="319" t="s">
        <v>804</v>
      </c>
      <c r="C32" s="319"/>
      <c r="D32" s="785">
        <v>27000</v>
      </c>
      <c r="E32" s="785">
        <v>27000</v>
      </c>
      <c r="F32" s="785">
        <v>24000</v>
      </c>
      <c r="G32" s="785">
        <v>26000</v>
      </c>
      <c r="H32" s="785">
        <v>22000</v>
      </c>
      <c r="I32" s="785">
        <v>26000</v>
      </c>
      <c r="J32" s="785">
        <v>27000</v>
      </c>
      <c r="K32" s="785">
        <v>25000</v>
      </c>
      <c r="L32" s="785">
        <v>27000</v>
      </c>
      <c r="M32" s="785">
        <v>31000</v>
      </c>
      <c r="N32" s="785">
        <v>38000</v>
      </c>
      <c r="O32" s="785">
        <v>40000</v>
      </c>
      <c r="P32" s="785">
        <v>38000</v>
      </c>
      <c r="Q32" s="785">
        <v>34000</v>
      </c>
      <c r="R32" s="785">
        <v>33000</v>
      </c>
      <c r="S32" s="785">
        <v>31000</v>
      </c>
      <c r="T32" s="785">
        <v>32000</v>
      </c>
      <c r="U32" s="785">
        <v>34000</v>
      </c>
      <c r="V32" s="785">
        <v>33000</v>
      </c>
      <c r="W32" s="785">
        <v>33000</v>
      </c>
      <c r="X32" s="785">
        <v>29000</v>
      </c>
      <c r="Y32" s="785">
        <v>30000</v>
      </c>
      <c r="Z32" s="785">
        <v>30000</v>
      </c>
      <c r="AA32" s="785">
        <v>31000</v>
      </c>
      <c r="AB32" s="785">
        <v>31000</v>
      </c>
      <c r="AC32" s="785">
        <v>33000</v>
      </c>
      <c r="AD32" s="785">
        <v>34000</v>
      </c>
      <c r="AE32" s="785">
        <v>34000</v>
      </c>
      <c r="AF32" s="785">
        <v>34000</v>
      </c>
      <c r="AG32" s="785">
        <v>36000</v>
      </c>
      <c r="AH32" s="785">
        <v>35000</v>
      </c>
      <c r="AI32" s="785">
        <v>33000</v>
      </c>
      <c r="AJ32" s="785">
        <v>33000</v>
      </c>
      <c r="AK32" s="785">
        <v>36000</v>
      </c>
      <c r="AL32" s="785">
        <v>36000</v>
      </c>
      <c r="AM32" s="785">
        <v>36000</v>
      </c>
      <c r="AN32" s="785">
        <v>36000</v>
      </c>
      <c r="AO32" s="785">
        <v>38000</v>
      </c>
      <c r="AP32" s="785">
        <v>38000</v>
      </c>
      <c r="AQ32" s="785">
        <v>38000</v>
      </c>
      <c r="AR32" s="785">
        <v>38000</v>
      </c>
      <c r="AS32" s="785">
        <v>40000</v>
      </c>
      <c r="AT32" s="785">
        <v>40000</v>
      </c>
      <c r="AU32" s="785">
        <v>41000</v>
      </c>
      <c r="AV32" s="785">
        <v>42000</v>
      </c>
      <c r="AW32" s="785">
        <v>43000</v>
      </c>
      <c r="AX32" s="785">
        <v>40000</v>
      </c>
      <c r="AY32" s="785">
        <v>40000</v>
      </c>
      <c r="AZ32" s="785">
        <v>38000</v>
      </c>
      <c r="BA32" s="785">
        <v>36000</v>
      </c>
      <c r="BB32" s="785">
        <v>37900</v>
      </c>
      <c r="BC32" s="777"/>
      <c r="BF32" s="780">
        <f>AVERAGEIFS($D32:$BC32,$D$4:$BC$4,"&gt;"&amp;DATE(YEAR(BF$4)-1,12,31),$D$4:$BC$4,"&lt;="&amp;BF$4)</f>
        <v>34000</v>
      </c>
      <c r="BG32" s="780">
        <f t="shared" ref="BG32:BO34" si="5">AVERAGEIFS($D32:$BC32,$D$4:$BC$4,"&gt;"&amp;DATE(YEAR(BG$4)-1,12,31),$D$4:$BC$4,"&lt;="&amp;BG$4)</f>
        <v>34000</v>
      </c>
      <c r="BH32" s="780">
        <f t="shared" si="5"/>
        <v>33000</v>
      </c>
      <c r="BI32" s="780">
        <f t="shared" si="5"/>
        <v>30000</v>
      </c>
      <c r="BJ32" s="780">
        <f t="shared" si="5"/>
        <v>33000</v>
      </c>
      <c r="BK32" s="780">
        <f t="shared" si="5"/>
        <v>34500</v>
      </c>
      <c r="BL32" s="780">
        <f t="shared" si="5"/>
        <v>35250</v>
      </c>
      <c r="BM32" s="780">
        <f t="shared" si="5"/>
        <v>37500</v>
      </c>
      <c r="BN32" s="780">
        <f t="shared" si="5"/>
        <v>39750</v>
      </c>
      <c r="BO32" s="780">
        <f t="shared" si="5"/>
        <v>41250</v>
      </c>
    </row>
    <row r="33" spans="1:67" s="780" customFormat="1">
      <c r="A33" s="771"/>
      <c r="B33" s="319" t="s">
        <v>800</v>
      </c>
      <c r="C33" s="319"/>
      <c r="D33" s="785">
        <v>127000</v>
      </c>
      <c r="E33" s="785">
        <v>139000</v>
      </c>
      <c r="F33" s="785">
        <v>142000</v>
      </c>
      <c r="G33" s="785">
        <v>120000</v>
      </c>
      <c r="H33" s="785">
        <v>113000</v>
      </c>
      <c r="I33" s="785">
        <v>139000</v>
      </c>
      <c r="J33" s="785">
        <v>102000</v>
      </c>
      <c r="K33" s="785">
        <v>118000</v>
      </c>
      <c r="L33" s="785">
        <v>104000</v>
      </c>
      <c r="M33" s="785">
        <v>104000</v>
      </c>
      <c r="N33" s="785">
        <v>107000</v>
      </c>
      <c r="O33" s="785">
        <v>113000</v>
      </c>
      <c r="P33" s="785">
        <v>116000</v>
      </c>
      <c r="Q33" s="785">
        <v>100000</v>
      </c>
      <c r="R33" s="785">
        <v>132000</v>
      </c>
      <c r="S33" s="785">
        <v>116000</v>
      </c>
      <c r="T33" s="785">
        <v>124000</v>
      </c>
      <c r="U33" s="785">
        <v>108000</v>
      </c>
      <c r="V33" s="785">
        <v>113000</v>
      </c>
      <c r="W33" s="785">
        <v>111000</v>
      </c>
      <c r="X33" s="785">
        <v>106000</v>
      </c>
      <c r="Y33" s="785">
        <v>103000</v>
      </c>
      <c r="Z33" s="785">
        <v>103000</v>
      </c>
      <c r="AA33" s="785">
        <v>103000</v>
      </c>
      <c r="AB33" s="785">
        <v>114000</v>
      </c>
      <c r="AC33" s="785">
        <v>109000</v>
      </c>
      <c r="AD33" s="785">
        <v>111000</v>
      </c>
      <c r="AE33" s="785">
        <v>109000</v>
      </c>
      <c r="AF33" s="785">
        <v>114000</v>
      </c>
      <c r="AG33" s="785">
        <v>111000</v>
      </c>
      <c r="AH33" s="785">
        <v>110000</v>
      </c>
      <c r="AI33" s="785">
        <v>110000</v>
      </c>
      <c r="AJ33" s="785">
        <v>108000</v>
      </c>
      <c r="AK33" s="785">
        <v>108000</v>
      </c>
      <c r="AL33" s="785">
        <v>105000</v>
      </c>
      <c r="AM33" s="785">
        <v>106000</v>
      </c>
      <c r="AN33" s="785">
        <v>98000</v>
      </c>
      <c r="AO33" s="785">
        <v>97000</v>
      </c>
      <c r="AP33" s="785">
        <v>96000</v>
      </c>
      <c r="AQ33" s="785">
        <v>92000</v>
      </c>
      <c r="AR33" s="785">
        <v>91000</v>
      </c>
      <c r="AS33" s="785">
        <v>90000</v>
      </c>
      <c r="AT33" s="785">
        <v>90000</v>
      </c>
      <c r="AU33" s="785">
        <v>87000</v>
      </c>
      <c r="AV33" s="785">
        <v>87000</v>
      </c>
      <c r="AW33" s="785">
        <v>91000</v>
      </c>
      <c r="AX33" s="785">
        <v>86000</v>
      </c>
      <c r="AY33" s="785">
        <v>90000</v>
      </c>
      <c r="AZ33" s="785">
        <v>85000</v>
      </c>
      <c r="BA33" s="785">
        <v>84000</v>
      </c>
      <c r="BB33" s="785">
        <v>81100</v>
      </c>
      <c r="BC33" s="777"/>
      <c r="BF33" s="780">
        <f t="shared" ref="BF33:BF34" si="6">AVERAGEIFS($D33:$BC33,$D$4:$BC$4,"&gt;"&amp;DATE(YEAR(BF$4)-1,12,31),$D$4:$BC$4,"&lt;="&amp;BF$4)</f>
        <v>107000</v>
      </c>
      <c r="BG33" s="780">
        <f t="shared" si="5"/>
        <v>116000</v>
      </c>
      <c r="BH33" s="780">
        <f t="shared" si="5"/>
        <v>114000</v>
      </c>
      <c r="BI33" s="780">
        <f t="shared" si="5"/>
        <v>103750</v>
      </c>
      <c r="BJ33" s="780">
        <f t="shared" si="5"/>
        <v>110750</v>
      </c>
      <c r="BK33" s="780">
        <f t="shared" si="5"/>
        <v>111250</v>
      </c>
      <c r="BL33" s="780">
        <f t="shared" si="5"/>
        <v>106750</v>
      </c>
      <c r="BM33" s="780">
        <f t="shared" si="5"/>
        <v>95750</v>
      </c>
      <c r="BN33" s="780">
        <f t="shared" si="5"/>
        <v>89500</v>
      </c>
      <c r="BO33" s="780">
        <f t="shared" si="5"/>
        <v>88500</v>
      </c>
    </row>
    <row r="34" spans="1:67" s="780" customFormat="1">
      <c r="A34" s="771"/>
      <c r="B34" s="319" t="s">
        <v>775</v>
      </c>
      <c r="C34" s="319"/>
      <c r="D34" s="785">
        <v>27000</v>
      </c>
      <c r="E34" s="785">
        <v>27000</v>
      </c>
      <c r="F34" s="785">
        <v>27000</v>
      </c>
      <c r="G34" s="785">
        <v>27000</v>
      </c>
      <c r="H34" s="785">
        <v>23000</v>
      </c>
      <c r="I34" s="785">
        <v>25000</v>
      </c>
      <c r="J34" s="785">
        <v>27000</v>
      </c>
      <c r="K34" s="785">
        <v>21000</v>
      </c>
      <c r="L34" s="785">
        <v>28000</v>
      </c>
      <c r="M34" s="785">
        <v>32000</v>
      </c>
      <c r="N34" s="785">
        <v>36000</v>
      </c>
      <c r="O34" s="785">
        <v>40000</v>
      </c>
      <c r="P34" s="785">
        <v>39000</v>
      </c>
      <c r="Q34" s="785">
        <v>35000</v>
      </c>
      <c r="R34" s="785">
        <v>34000</v>
      </c>
      <c r="S34" s="785">
        <v>32000</v>
      </c>
      <c r="T34" s="785">
        <v>33000</v>
      </c>
      <c r="U34" s="785">
        <v>35000</v>
      </c>
      <c r="V34" s="785">
        <v>34000</v>
      </c>
      <c r="W34" s="785">
        <v>34000</v>
      </c>
      <c r="X34" s="785">
        <v>30000</v>
      </c>
      <c r="Y34" s="785">
        <v>31000</v>
      </c>
      <c r="Z34" s="785">
        <v>32000</v>
      </c>
      <c r="AA34" s="785">
        <v>33000</v>
      </c>
      <c r="AB34" s="785">
        <v>33000</v>
      </c>
      <c r="AC34" s="785">
        <v>34000</v>
      </c>
      <c r="AD34" s="785">
        <v>35000</v>
      </c>
      <c r="AE34" s="785">
        <v>36000</v>
      </c>
      <c r="AF34" s="785">
        <v>36000</v>
      </c>
      <c r="AG34" s="785">
        <v>37000</v>
      </c>
      <c r="AH34" s="785">
        <v>36000</v>
      </c>
      <c r="AI34" s="785">
        <v>34000</v>
      </c>
      <c r="AJ34" s="785">
        <v>35000</v>
      </c>
      <c r="AK34" s="785">
        <v>37000</v>
      </c>
      <c r="AL34" s="785">
        <v>37000</v>
      </c>
      <c r="AM34" s="785">
        <v>37000</v>
      </c>
      <c r="AN34" s="785">
        <v>36000</v>
      </c>
      <c r="AO34" s="785">
        <v>39000</v>
      </c>
      <c r="AP34" s="785">
        <v>40000</v>
      </c>
      <c r="AQ34" s="785">
        <v>40000</v>
      </c>
      <c r="AR34" s="785">
        <v>40000</v>
      </c>
      <c r="AS34" s="785">
        <v>42000</v>
      </c>
      <c r="AT34" s="785">
        <v>42000</v>
      </c>
      <c r="AU34" s="785">
        <v>43000</v>
      </c>
      <c r="AV34" s="785">
        <v>44000</v>
      </c>
      <c r="AW34" s="785">
        <v>44000</v>
      </c>
      <c r="AX34" s="785">
        <v>41000</v>
      </c>
      <c r="AY34" s="785">
        <v>41000</v>
      </c>
      <c r="AZ34" s="785">
        <v>40000</v>
      </c>
      <c r="BA34" s="785">
        <v>36000</v>
      </c>
      <c r="BB34" s="785">
        <v>38900</v>
      </c>
      <c r="BC34" s="779"/>
      <c r="BF34" s="780">
        <f t="shared" si="6"/>
        <v>34000</v>
      </c>
      <c r="BG34" s="780">
        <f t="shared" si="5"/>
        <v>35000</v>
      </c>
      <c r="BH34" s="780">
        <f t="shared" si="5"/>
        <v>34000</v>
      </c>
      <c r="BI34" s="780">
        <f t="shared" si="5"/>
        <v>31500</v>
      </c>
      <c r="BJ34" s="780">
        <f t="shared" si="5"/>
        <v>34500</v>
      </c>
      <c r="BK34" s="780">
        <f t="shared" si="5"/>
        <v>35750</v>
      </c>
      <c r="BL34" s="780">
        <f t="shared" si="5"/>
        <v>36500</v>
      </c>
      <c r="BM34" s="780">
        <f t="shared" si="5"/>
        <v>38750</v>
      </c>
      <c r="BN34" s="780">
        <f t="shared" si="5"/>
        <v>41750</v>
      </c>
      <c r="BO34" s="780">
        <f t="shared" si="5"/>
        <v>42500</v>
      </c>
    </row>
    <row r="35" spans="1:67" s="780" customFormat="1">
      <c r="A35" s="771"/>
      <c r="B35" s="319"/>
      <c r="C35" s="319"/>
      <c r="D35" s="786"/>
      <c r="E35" s="786"/>
      <c r="F35" s="786"/>
      <c r="G35" s="786"/>
      <c r="H35" s="786"/>
      <c r="I35" s="786"/>
      <c r="J35" s="786"/>
      <c r="K35" s="786"/>
      <c r="L35" s="786"/>
      <c r="M35" s="786"/>
      <c r="N35" s="786"/>
      <c r="O35" s="786"/>
      <c r="P35" s="786"/>
      <c r="Q35" s="786"/>
      <c r="R35" s="786"/>
      <c r="S35" s="786"/>
      <c r="T35" s="786"/>
      <c r="U35" s="786"/>
      <c r="V35" s="786"/>
      <c r="W35" s="786"/>
      <c r="X35" s="786"/>
      <c r="Y35" s="786"/>
      <c r="Z35" s="786"/>
      <c r="AA35" s="786"/>
      <c r="AB35" s="786"/>
      <c r="AC35" s="786"/>
      <c r="AD35" s="786"/>
      <c r="AE35" s="786"/>
      <c r="AF35" s="786"/>
      <c r="AG35" s="786"/>
      <c r="AH35" s="786"/>
      <c r="AI35" s="786"/>
      <c r="AJ35" s="786"/>
      <c r="AK35" s="786"/>
      <c r="AL35" s="786"/>
      <c r="AM35" s="786"/>
      <c r="AN35" s="786"/>
      <c r="AO35" s="786"/>
      <c r="AP35" s="786"/>
      <c r="AQ35" s="786"/>
      <c r="AR35" s="786"/>
      <c r="AS35" s="786"/>
      <c r="AT35" s="786"/>
      <c r="AU35" s="786"/>
      <c r="AV35" s="786"/>
      <c r="AW35" s="786"/>
      <c r="AX35" s="786"/>
      <c r="AY35" s="786"/>
      <c r="AZ35" s="786"/>
      <c r="BA35" s="786"/>
      <c r="BB35" s="786"/>
      <c r="BC35" s="777"/>
    </row>
    <row r="36" spans="1:67">
      <c r="B36" s="683" t="s">
        <v>776</v>
      </c>
      <c r="D36" s="716"/>
      <c r="E36" s="716"/>
      <c r="F36" s="716"/>
      <c r="G36" s="716"/>
      <c r="H36" s="695"/>
      <c r="I36" s="695"/>
      <c r="J36" s="695"/>
      <c r="K36" s="695"/>
      <c r="L36" s="695"/>
      <c r="M36" s="695"/>
      <c r="N36" s="695"/>
      <c r="O36" s="695"/>
      <c r="P36" s="695"/>
      <c r="Q36" s="695"/>
      <c r="R36" s="695"/>
      <c r="S36" s="695"/>
      <c r="T36" s="695"/>
      <c r="U36" s="695"/>
      <c r="V36" s="695"/>
      <c r="W36" s="695"/>
      <c r="X36" s="695"/>
      <c r="Y36" s="695"/>
      <c r="Z36" s="695"/>
      <c r="AA36" s="695"/>
      <c r="AB36" s="695"/>
      <c r="AC36" s="695"/>
      <c r="AD36" s="695"/>
      <c r="AE36" s="695"/>
      <c r="AF36" s="695"/>
      <c r="AG36" s="695"/>
      <c r="AH36" s="695"/>
      <c r="AI36" s="695"/>
      <c r="AJ36" s="695"/>
      <c r="AK36" s="695"/>
      <c r="AL36" s="695"/>
      <c r="AM36" s="695"/>
      <c r="AN36" s="695"/>
      <c r="AO36" s="695"/>
      <c r="AP36" s="695"/>
      <c r="AQ36" s="695"/>
      <c r="AR36" s="695"/>
      <c r="AS36" s="695"/>
      <c r="AT36" s="695"/>
      <c r="AU36" s="695"/>
      <c r="AV36" s="695"/>
      <c r="AW36" s="695"/>
      <c r="AX36" s="695"/>
      <c r="AY36" s="695"/>
      <c r="AZ36" s="695"/>
      <c r="BA36" s="695"/>
      <c r="BB36" s="695"/>
      <c r="BC36" s="689"/>
    </row>
    <row r="37" spans="1:67">
      <c r="B37" s="319" t="s">
        <v>955</v>
      </c>
      <c r="D37" s="716"/>
      <c r="E37" s="716"/>
      <c r="F37" s="716"/>
      <c r="G37" s="716"/>
      <c r="H37" s="716"/>
      <c r="I37" s="716"/>
      <c r="J37" s="716"/>
      <c r="K37" s="716"/>
      <c r="L37" s="716"/>
      <c r="M37" s="716"/>
      <c r="N37" s="716"/>
      <c r="O37" s="716"/>
      <c r="P37" s="716"/>
      <c r="Q37" s="716"/>
      <c r="R37" s="716"/>
      <c r="S37" s="716"/>
      <c r="T37" s="716"/>
      <c r="U37" s="716"/>
      <c r="V37" s="716"/>
      <c r="W37" s="716"/>
      <c r="X37" s="716"/>
      <c r="Y37" s="716"/>
      <c r="Z37" s="716"/>
      <c r="AA37" s="716"/>
      <c r="AB37" s="716"/>
      <c r="AC37" s="716"/>
      <c r="AD37" s="716"/>
      <c r="AE37" s="716"/>
      <c r="AF37" s="716"/>
      <c r="AG37" s="716"/>
      <c r="AH37" s="716"/>
      <c r="AI37" s="716"/>
      <c r="AJ37" s="716"/>
      <c r="AK37" s="716"/>
      <c r="AL37" s="716"/>
      <c r="AM37" s="716"/>
      <c r="AN37" s="785">
        <v>99</v>
      </c>
      <c r="AO37" s="785">
        <v>102</v>
      </c>
      <c r="AP37" s="785">
        <v>112</v>
      </c>
      <c r="AQ37" s="785">
        <v>123</v>
      </c>
      <c r="AR37" s="785">
        <v>132</v>
      </c>
      <c r="AS37" s="785">
        <v>154</v>
      </c>
      <c r="AT37" s="785">
        <v>206</v>
      </c>
      <c r="AU37" s="785">
        <v>235</v>
      </c>
      <c r="AV37" s="785">
        <v>252</v>
      </c>
      <c r="AW37" s="785">
        <v>267</v>
      </c>
      <c r="AX37" s="785">
        <v>1000</v>
      </c>
      <c r="AY37" s="785">
        <v>1020</v>
      </c>
      <c r="AZ37" s="785">
        <v>1020</v>
      </c>
      <c r="BA37" s="785">
        <v>980</v>
      </c>
      <c r="BB37" s="785">
        <v>950</v>
      </c>
      <c r="BF37" s="780">
        <f>SUMIFS($D37:$BC37,$D$4:$BC$4,BF$4)</f>
        <v>0</v>
      </c>
      <c r="BG37" s="780">
        <f t="shared" ref="BG37:BO37" si="7">SUMIFS($D37:$BC37,$D$4:$BC$4,BG$4)</f>
        <v>0</v>
      </c>
      <c r="BH37" s="780">
        <f t="shared" si="7"/>
        <v>0</v>
      </c>
      <c r="BI37" s="780">
        <f t="shared" si="7"/>
        <v>0</v>
      </c>
      <c r="BJ37" s="780">
        <f t="shared" si="7"/>
        <v>0</v>
      </c>
      <c r="BK37" s="780">
        <f t="shared" si="7"/>
        <v>0</v>
      </c>
      <c r="BL37" s="780">
        <f t="shared" si="7"/>
        <v>0</v>
      </c>
      <c r="BM37" s="780">
        <f t="shared" si="7"/>
        <v>123</v>
      </c>
      <c r="BN37" s="780">
        <f t="shared" si="7"/>
        <v>235</v>
      </c>
      <c r="BO37" s="780">
        <f t="shared" si="7"/>
        <v>1020</v>
      </c>
    </row>
    <row r="38" spans="1:67">
      <c r="B38" s="319" t="s">
        <v>1002</v>
      </c>
      <c r="D38" s="716"/>
      <c r="E38" s="716"/>
      <c r="F38" s="716"/>
      <c r="G38" s="716"/>
      <c r="H38" s="716"/>
      <c r="I38" s="716"/>
      <c r="J38" s="716"/>
      <c r="K38" s="716"/>
      <c r="L38" s="716"/>
      <c r="M38" s="716"/>
      <c r="N38" s="695"/>
      <c r="O38" s="695"/>
      <c r="P38" s="695"/>
      <c r="Q38" s="695"/>
      <c r="R38" s="695"/>
      <c r="S38" s="695"/>
      <c r="T38" s="695"/>
      <c r="U38" s="695"/>
      <c r="V38" s="695"/>
      <c r="W38" s="695"/>
      <c r="X38" s="695"/>
      <c r="Y38" s="695"/>
      <c r="Z38" s="695"/>
      <c r="AA38" s="695"/>
      <c r="AB38" s="695"/>
      <c r="AC38" s="695"/>
      <c r="AD38" s="695"/>
      <c r="AE38" s="695"/>
      <c r="AF38" s="695"/>
      <c r="AG38" s="695"/>
      <c r="AH38" s="695"/>
      <c r="AI38" s="695"/>
      <c r="AJ38" s="695"/>
      <c r="AK38" s="695"/>
      <c r="AL38" s="695"/>
      <c r="AM38" s="695"/>
      <c r="AN38" s="695"/>
      <c r="AO38" s="785">
        <v>3</v>
      </c>
      <c r="AP38" s="785">
        <v>10</v>
      </c>
      <c r="AQ38" s="785">
        <v>11</v>
      </c>
      <c r="AR38" s="785">
        <v>9</v>
      </c>
      <c r="AS38" s="785">
        <v>22</v>
      </c>
      <c r="AT38" s="785">
        <v>52</v>
      </c>
      <c r="AU38" s="785">
        <v>29</v>
      </c>
      <c r="AV38" s="785">
        <v>17</v>
      </c>
      <c r="AW38" s="785">
        <v>15</v>
      </c>
      <c r="AX38" s="785">
        <v>733</v>
      </c>
      <c r="AY38" s="785">
        <v>20</v>
      </c>
      <c r="AZ38" s="785">
        <v>0</v>
      </c>
      <c r="BA38" s="785">
        <v>-40</v>
      </c>
      <c r="BB38" s="785">
        <v>-30</v>
      </c>
      <c r="BC38" s="689"/>
    </row>
    <row r="39" spans="1:67">
      <c r="D39" s="716"/>
      <c r="E39" s="716"/>
      <c r="F39" s="716"/>
      <c r="G39" s="716"/>
      <c r="H39" s="716"/>
      <c r="I39" s="716"/>
      <c r="J39" s="716"/>
      <c r="K39" s="716"/>
      <c r="L39" s="716"/>
      <c r="M39" s="716"/>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695"/>
      <c r="AM39" s="695"/>
      <c r="AN39" s="695"/>
      <c r="AO39" s="695"/>
      <c r="AP39" s="695"/>
      <c r="AQ39" s="695"/>
      <c r="AR39" s="695"/>
      <c r="AS39" s="695"/>
      <c r="AT39" s="695"/>
      <c r="AU39" s="695"/>
      <c r="AV39" s="695"/>
      <c r="AW39" s="695"/>
      <c r="AX39" s="695"/>
      <c r="AY39" s="695"/>
      <c r="AZ39" s="695"/>
      <c r="BA39" s="695"/>
      <c r="BB39" s="695"/>
      <c r="BC39" s="689"/>
    </row>
    <row r="40" spans="1:67">
      <c r="B40" s="319" t="s">
        <v>1003</v>
      </c>
      <c r="D40" s="716"/>
      <c r="E40" s="716"/>
      <c r="F40" s="716"/>
      <c r="G40" s="716"/>
      <c r="H40" s="716"/>
      <c r="I40" s="716"/>
      <c r="J40" s="716"/>
      <c r="K40" s="716"/>
      <c r="L40" s="716"/>
      <c r="M40" s="716"/>
      <c r="N40" s="716"/>
      <c r="O40" s="716"/>
      <c r="P40" s="716"/>
      <c r="Q40" s="716"/>
      <c r="R40" s="716"/>
      <c r="S40" s="716"/>
      <c r="T40" s="716"/>
      <c r="U40" s="716"/>
      <c r="V40" s="716"/>
      <c r="W40" s="716"/>
      <c r="X40" s="716"/>
      <c r="Y40" s="716"/>
      <c r="Z40" s="716"/>
      <c r="AA40" s="716"/>
      <c r="AB40" s="716"/>
      <c r="AC40" s="716"/>
      <c r="AD40" s="716"/>
      <c r="AE40" s="716"/>
      <c r="AF40" s="716"/>
      <c r="AG40" s="716"/>
      <c r="AH40" s="716"/>
      <c r="AI40" s="716"/>
      <c r="AJ40" s="716"/>
      <c r="AK40" s="716"/>
      <c r="AL40" s="716"/>
      <c r="AM40" s="716"/>
      <c r="AN40" s="787">
        <v>0.19</v>
      </c>
      <c r="AO40" s="787">
        <v>0.28000000000000003</v>
      </c>
      <c r="AP40" s="787">
        <v>0.32</v>
      </c>
      <c r="AQ40" s="787">
        <v>0.37</v>
      </c>
      <c r="AR40" s="787">
        <v>0.44</v>
      </c>
      <c r="AS40" s="787">
        <v>0.56000000000000005</v>
      </c>
      <c r="AT40" s="787">
        <v>0.69</v>
      </c>
      <c r="AU40" s="787">
        <v>0.75</v>
      </c>
      <c r="AV40" s="787">
        <v>0.79</v>
      </c>
      <c r="AW40" s="787">
        <v>0.81</v>
      </c>
      <c r="AX40" s="787">
        <v>0.83</v>
      </c>
      <c r="AY40" s="787">
        <v>0</v>
      </c>
      <c r="AZ40" s="787">
        <v>0</v>
      </c>
      <c r="BA40" s="787">
        <v>0</v>
      </c>
      <c r="BB40" s="787">
        <v>0</v>
      </c>
    </row>
    <row r="42" spans="1:67">
      <c r="B42" s="774" t="s">
        <v>1045</v>
      </c>
      <c r="C42" s="774"/>
      <c r="D42" s="774"/>
      <c r="E42" s="774"/>
      <c r="F42" s="774"/>
      <c r="G42" s="774"/>
      <c r="H42" s="774"/>
      <c r="I42" s="774"/>
      <c r="J42" s="774"/>
      <c r="K42" s="774"/>
      <c r="L42" s="774"/>
      <c r="M42" s="774"/>
      <c r="N42" s="774"/>
      <c r="O42" s="774"/>
      <c r="P42" s="774"/>
      <c r="Q42" s="774"/>
      <c r="R42" s="774"/>
      <c r="S42" s="774"/>
      <c r="T42" s="774"/>
      <c r="U42" s="774"/>
      <c r="V42" s="774"/>
      <c r="W42" s="774"/>
      <c r="X42" s="774"/>
      <c r="Y42" s="774"/>
      <c r="Z42" s="774"/>
      <c r="AA42" s="774"/>
      <c r="AB42" s="774"/>
      <c r="AC42" s="774"/>
      <c r="AD42" s="774"/>
      <c r="AE42" s="774"/>
      <c r="AF42" s="774"/>
      <c r="AG42" s="774"/>
      <c r="AH42" s="774"/>
      <c r="AI42" s="774"/>
      <c r="AJ42" s="774"/>
      <c r="AK42" s="774"/>
      <c r="AL42" s="774"/>
      <c r="AM42" s="774"/>
      <c r="AN42" s="774"/>
      <c r="AO42" s="774"/>
      <c r="AP42" s="774"/>
      <c r="AQ42" s="774"/>
      <c r="AR42" s="774"/>
      <c r="AS42" s="774"/>
      <c r="AT42" s="774"/>
      <c r="AU42" s="774"/>
      <c r="AV42" s="774"/>
      <c r="AW42" s="774"/>
      <c r="AX42" s="774"/>
      <c r="AY42" s="774"/>
      <c r="AZ42" s="774"/>
      <c r="BA42" s="774"/>
      <c r="BB42" s="774"/>
    </row>
    <row r="43" spans="1:67">
      <c r="P43" s="689"/>
      <c r="Q43" s="689"/>
      <c r="R43" s="689"/>
      <c r="S43" s="689"/>
      <c r="T43" s="689"/>
      <c r="U43" s="689"/>
      <c r="V43" s="689"/>
      <c r="W43" s="689"/>
      <c r="X43" s="689"/>
      <c r="Y43" s="689"/>
      <c r="Z43" s="689"/>
      <c r="AA43" s="689"/>
      <c r="AB43" s="689"/>
      <c r="AC43" s="689"/>
      <c r="AD43" s="689"/>
      <c r="AE43" s="689"/>
      <c r="AF43" s="689"/>
      <c r="AG43" s="689"/>
      <c r="AH43" s="689"/>
      <c r="AI43" s="689"/>
      <c r="AJ43" s="689"/>
      <c r="AK43" s="689"/>
      <c r="AL43" s="689"/>
      <c r="AM43" s="689"/>
      <c r="AN43" s="689"/>
      <c r="AO43" s="689"/>
      <c r="AP43" s="689"/>
      <c r="AQ43" s="689"/>
      <c r="AR43" s="689"/>
      <c r="AS43" s="689"/>
      <c r="AT43" s="689"/>
      <c r="AU43" s="689"/>
      <c r="AV43" s="689"/>
      <c r="AW43" s="689"/>
      <c r="AX43" s="689"/>
      <c r="AY43" s="689"/>
      <c r="AZ43" s="689"/>
      <c r="BA43" s="689"/>
      <c r="BB43" s="689"/>
    </row>
    <row r="44" spans="1:67">
      <c r="B44" s="683" t="s">
        <v>118</v>
      </c>
    </row>
    <row r="45" spans="1:67">
      <c r="B45" s="319" t="s">
        <v>112</v>
      </c>
      <c r="AY45" s="322">
        <v>1386.6369999999999</v>
      </c>
      <c r="AZ45" s="322"/>
      <c r="BA45" s="322"/>
      <c r="BB45" s="322"/>
      <c r="BO45" s="780">
        <f t="shared" ref="BO45:BO108" si="8">SUMIFS($D45:$BC45,$D$4:$BC$4,"&gt;"&amp;DATE(YEAR(BO$4)-1,12,31),$D$4:$BC$4,"&lt;="&amp;BO$4)</f>
        <v>1386.6369999999999</v>
      </c>
    </row>
    <row r="46" spans="1:67">
      <c r="B46" s="319" t="s">
        <v>1199</v>
      </c>
      <c r="AY46" s="319">
        <v>0</v>
      </c>
      <c r="BO46" s="780">
        <f t="shared" si="8"/>
        <v>0</v>
      </c>
    </row>
    <row r="47" spans="1:67">
      <c r="B47" s="319" t="s">
        <v>1200</v>
      </c>
      <c r="AY47" s="322">
        <v>882.23299999999995</v>
      </c>
      <c r="AZ47" s="322"/>
      <c r="BA47" s="322"/>
      <c r="BB47" s="322"/>
      <c r="BO47" s="780">
        <f t="shared" si="8"/>
        <v>882.23299999999995</v>
      </c>
    </row>
    <row r="48" spans="1:67">
      <c r="B48" s="319" t="s">
        <v>1201</v>
      </c>
      <c r="AY48" s="322">
        <v>980.37400000000002</v>
      </c>
      <c r="AZ48" s="322"/>
      <c r="BA48" s="322"/>
      <c r="BB48" s="322"/>
      <c r="BO48" s="780">
        <f t="shared" si="8"/>
        <v>980.37400000000002</v>
      </c>
    </row>
    <row r="49" spans="1:67">
      <c r="B49" s="319" t="s">
        <v>1202</v>
      </c>
      <c r="AY49" s="319">
        <v>0</v>
      </c>
      <c r="BO49" s="780">
        <f t="shared" si="8"/>
        <v>0</v>
      </c>
    </row>
    <row r="50" spans="1:67">
      <c r="B50" s="319" t="s">
        <v>1200</v>
      </c>
      <c r="AY50" s="322">
        <v>13.349</v>
      </c>
      <c r="AZ50" s="322"/>
      <c r="BA50" s="322"/>
      <c r="BB50" s="322"/>
      <c r="BO50" s="780">
        <f t="shared" si="8"/>
        <v>13.349</v>
      </c>
    </row>
    <row r="51" spans="1:67">
      <c r="B51" s="319" t="s">
        <v>1201</v>
      </c>
      <c r="AY51" s="322">
        <v>299.48500000000001</v>
      </c>
      <c r="AZ51" s="322"/>
      <c r="BA51" s="322"/>
      <c r="BB51" s="322"/>
      <c r="BO51" s="780">
        <f t="shared" si="8"/>
        <v>299.48500000000001</v>
      </c>
    </row>
    <row r="52" spans="1:67">
      <c r="B52" s="319" t="s">
        <v>1188</v>
      </c>
      <c r="AY52" s="322">
        <v>193.554</v>
      </c>
      <c r="AZ52" s="322"/>
      <c r="BA52" s="322"/>
      <c r="BB52" s="322"/>
      <c r="BO52" s="780">
        <f t="shared" si="8"/>
        <v>193.554</v>
      </c>
    </row>
    <row r="53" spans="1:67">
      <c r="B53" s="319" t="s">
        <v>1203</v>
      </c>
      <c r="AY53" s="319">
        <v>0</v>
      </c>
      <c r="BO53" s="780">
        <f t="shared" si="8"/>
        <v>0</v>
      </c>
    </row>
    <row r="54" spans="1:67">
      <c r="B54" s="319" t="s">
        <v>1204</v>
      </c>
      <c r="AY54" s="322">
        <v>1.621</v>
      </c>
      <c r="AZ54" s="322"/>
      <c r="BA54" s="322"/>
      <c r="BB54" s="322"/>
      <c r="BO54" s="780">
        <f t="shared" si="8"/>
        <v>1.621</v>
      </c>
    </row>
    <row r="55" spans="1:67">
      <c r="B55" s="319" t="s">
        <v>1205</v>
      </c>
      <c r="AY55" s="322">
        <v>19.827999999999999</v>
      </c>
      <c r="AZ55" s="322"/>
      <c r="BA55" s="322"/>
      <c r="BB55" s="322"/>
      <c r="BO55" s="780">
        <f t="shared" si="8"/>
        <v>19.827999999999999</v>
      </c>
    </row>
    <row r="56" spans="1:67">
      <c r="B56" s="319" t="s">
        <v>1206</v>
      </c>
      <c r="AY56" s="322">
        <v>4453.857</v>
      </c>
      <c r="AZ56" s="322"/>
      <c r="BA56" s="322"/>
      <c r="BB56" s="322"/>
      <c r="BO56" s="780">
        <f t="shared" si="8"/>
        <v>4453.857</v>
      </c>
    </row>
    <row r="57" spans="1:67">
      <c r="B57" s="319" t="s">
        <v>1207</v>
      </c>
      <c r="AY57" s="322">
        <v>204.875</v>
      </c>
      <c r="AZ57" s="322"/>
      <c r="BA57" s="322"/>
      <c r="BB57" s="322"/>
      <c r="BO57" s="780">
        <f t="shared" si="8"/>
        <v>204.875</v>
      </c>
    </row>
    <row r="58" spans="1:67" s="683" customFormat="1">
      <c r="A58" s="1014"/>
      <c r="B58" s="698" t="s">
        <v>1189</v>
      </c>
      <c r="C58" s="698"/>
      <c r="D58" s="698"/>
      <c r="E58" s="698"/>
      <c r="F58" s="698"/>
      <c r="G58" s="698"/>
      <c r="H58" s="698"/>
      <c r="I58" s="698"/>
      <c r="J58" s="698"/>
      <c r="K58" s="698"/>
      <c r="L58" s="698"/>
      <c r="M58" s="698"/>
      <c r="N58" s="698"/>
      <c r="O58" s="698"/>
      <c r="P58" s="698"/>
      <c r="Q58" s="698"/>
      <c r="R58" s="698"/>
      <c r="S58" s="698"/>
      <c r="T58" s="698"/>
      <c r="U58" s="698"/>
      <c r="V58" s="698"/>
      <c r="W58" s="698"/>
      <c r="X58" s="698"/>
      <c r="Y58" s="698"/>
      <c r="Z58" s="698"/>
      <c r="AA58" s="698"/>
      <c r="AB58" s="698"/>
      <c r="AC58" s="698"/>
      <c r="AD58" s="698"/>
      <c r="AE58" s="698"/>
      <c r="AF58" s="698"/>
      <c r="AG58" s="698"/>
      <c r="AH58" s="698"/>
      <c r="AI58" s="698"/>
      <c r="AJ58" s="698"/>
      <c r="AK58" s="698"/>
      <c r="AL58" s="698"/>
      <c r="AM58" s="698"/>
      <c r="AN58" s="698"/>
      <c r="AO58" s="698"/>
      <c r="AP58" s="698"/>
      <c r="AQ58" s="698"/>
      <c r="AR58" s="698"/>
      <c r="AS58" s="698"/>
      <c r="AT58" s="698"/>
      <c r="AU58" s="698"/>
      <c r="AV58" s="698"/>
      <c r="AW58" s="698"/>
      <c r="AX58" s="698"/>
      <c r="AY58" s="1015">
        <v>8435.8130000000001</v>
      </c>
      <c r="AZ58" s="1015"/>
      <c r="BA58" s="1015"/>
      <c r="BB58" s="1016"/>
      <c r="BD58" s="319"/>
      <c r="BO58" s="780">
        <f t="shared" si="8"/>
        <v>8435.8130000000001</v>
      </c>
    </row>
    <row r="59" spans="1:67" s="683" customFormat="1">
      <c r="A59" s="776"/>
      <c r="AY59" s="1016"/>
      <c r="AZ59" s="1016"/>
      <c r="BA59" s="1016"/>
      <c r="BB59" s="1016"/>
      <c r="BO59" s="780">
        <f t="shared" si="8"/>
        <v>0</v>
      </c>
    </row>
    <row r="60" spans="1:67">
      <c r="B60" s="683" t="s">
        <v>122</v>
      </c>
      <c r="BO60" s="780">
        <f t="shared" si="8"/>
        <v>0</v>
      </c>
    </row>
    <row r="61" spans="1:67">
      <c r="B61" s="319" t="s">
        <v>1202</v>
      </c>
      <c r="BO61" s="780">
        <f t="shared" si="8"/>
        <v>0</v>
      </c>
    </row>
    <row r="62" spans="1:67">
      <c r="B62" s="319" t="s">
        <v>1201</v>
      </c>
      <c r="BO62" s="780">
        <f t="shared" si="8"/>
        <v>0</v>
      </c>
    </row>
    <row r="63" spans="1:67">
      <c r="B63" s="319" t="s">
        <v>1209</v>
      </c>
      <c r="AY63" s="322">
        <v>61034.472000000002</v>
      </c>
      <c r="AZ63" s="322"/>
      <c r="BA63" s="322"/>
      <c r="BB63" s="322"/>
      <c r="BO63" s="780">
        <f t="shared" si="8"/>
        <v>61034.472000000002</v>
      </c>
    </row>
    <row r="64" spans="1:67">
      <c r="B64" s="319" t="s">
        <v>1190</v>
      </c>
      <c r="AY64" s="322">
        <v>6984.56</v>
      </c>
      <c r="AZ64" s="322"/>
      <c r="BA64" s="322"/>
      <c r="BB64" s="322"/>
      <c r="BO64" s="780">
        <f t="shared" si="8"/>
        <v>6984.56</v>
      </c>
    </row>
    <row r="65" spans="1:67">
      <c r="B65" s="319" t="s">
        <v>1208</v>
      </c>
      <c r="AY65" s="322">
        <v>2539.7330000000002</v>
      </c>
      <c r="AZ65" s="322"/>
      <c r="BA65" s="322"/>
      <c r="BB65" s="322"/>
      <c r="BO65" s="780">
        <f t="shared" si="8"/>
        <v>2539.7330000000002</v>
      </c>
    </row>
    <row r="66" spans="1:67">
      <c r="B66" s="319" t="s">
        <v>120</v>
      </c>
      <c r="AY66" s="322">
        <v>6915.5919999999996</v>
      </c>
      <c r="AZ66" s="322"/>
      <c r="BA66" s="322"/>
      <c r="BB66" s="322"/>
      <c r="BO66" s="780">
        <f t="shared" si="8"/>
        <v>6915.5919999999996</v>
      </c>
    </row>
    <row r="67" spans="1:67">
      <c r="B67" s="319" t="s">
        <v>1191</v>
      </c>
      <c r="AY67" s="322">
        <v>11.627000000000001</v>
      </c>
      <c r="AZ67" s="322"/>
      <c r="BA67" s="322"/>
      <c r="BB67" s="322"/>
      <c r="BO67" s="780">
        <f t="shared" si="8"/>
        <v>11.627000000000001</v>
      </c>
    </row>
    <row r="68" spans="1:67">
      <c r="B68" s="319" t="s">
        <v>1207</v>
      </c>
      <c r="AY68" s="322">
        <v>256.76799999999997</v>
      </c>
      <c r="AZ68" s="322"/>
      <c r="BA68" s="322"/>
      <c r="BB68" s="322"/>
      <c r="BO68" s="780">
        <f t="shared" si="8"/>
        <v>256.76799999999997</v>
      </c>
    </row>
    <row r="69" spans="1:67" s="683" customFormat="1">
      <c r="A69" s="776"/>
      <c r="B69" s="698" t="s">
        <v>1192</v>
      </c>
      <c r="C69" s="698"/>
      <c r="D69" s="698"/>
      <c r="E69" s="698"/>
      <c r="F69" s="698"/>
      <c r="G69" s="698"/>
      <c r="H69" s="698"/>
      <c r="I69" s="698"/>
      <c r="J69" s="698"/>
      <c r="K69" s="698"/>
      <c r="L69" s="698"/>
      <c r="M69" s="698"/>
      <c r="N69" s="698"/>
      <c r="O69" s="698"/>
      <c r="P69" s="698"/>
      <c r="Q69" s="698"/>
      <c r="R69" s="698"/>
      <c r="S69" s="698"/>
      <c r="T69" s="698"/>
      <c r="U69" s="698"/>
      <c r="V69" s="698"/>
      <c r="W69" s="698"/>
      <c r="X69" s="698"/>
      <c r="Y69" s="698"/>
      <c r="Z69" s="698"/>
      <c r="AA69" s="698"/>
      <c r="AB69" s="698"/>
      <c r="AC69" s="698"/>
      <c r="AD69" s="698"/>
      <c r="AE69" s="698"/>
      <c r="AF69" s="698"/>
      <c r="AG69" s="698"/>
      <c r="AH69" s="698"/>
      <c r="AI69" s="698"/>
      <c r="AJ69" s="698"/>
      <c r="AK69" s="698"/>
      <c r="AL69" s="698"/>
      <c r="AM69" s="698"/>
      <c r="AN69" s="698"/>
      <c r="AO69" s="698"/>
      <c r="AP69" s="698"/>
      <c r="AQ69" s="698"/>
      <c r="AR69" s="698"/>
      <c r="AS69" s="698"/>
      <c r="AT69" s="698"/>
      <c r="AU69" s="698"/>
      <c r="AV69" s="698"/>
      <c r="AW69" s="698"/>
      <c r="AX69" s="698"/>
      <c r="AY69" s="1015">
        <v>77742.751999999993</v>
      </c>
      <c r="AZ69" s="1015"/>
      <c r="BA69" s="1015"/>
      <c r="BB69" s="1016"/>
      <c r="BD69" s="319"/>
      <c r="BO69" s="780">
        <f t="shared" si="8"/>
        <v>77742.751999999993</v>
      </c>
    </row>
    <row r="70" spans="1:67" s="683" customFormat="1">
      <c r="A70" s="776"/>
      <c r="AY70" s="1016"/>
      <c r="AZ70" s="1016"/>
      <c r="BA70" s="1016"/>
      <c r="BB70" s="1016"/>
      <c r="BD70" s="319"/>
      <c r="BO70" s="780">
        <f t="shared" si="8"/>
        <v>0</v>
      </c>
    </row>
    <row r="71" spans="1:67" s="683" customFormat="1" ht="15" thickBot="1">
      <c r="A71" s="776"/>
      <c r="B71" s="696" t="s">
        <v>123</v>
      </c>
      <c r="C71" s="696"/>
      <c r="D71" s="696"/>
      <c r="E71" s="696"/>
      <c r="F71" s="696"/>
      <c r="G71" s="696"/>
      <c r="H71" s="696"/>
      <c r="I71" s="696"/>
      <c r="J71" s="696"/>
      <c r="K71" s="696"/>
      <c r="L71" s="696"/>
      <c r="M71" s="696"/>
      <c r="N71" s="696"/>
      <c r="O71" s="696"/>
      <c r="P71" s="696"/>
      <c r="Q71" s="696"/>
      <c r="R71" s="696"/>
      <c r="S71" s="696"/>
      <c r="T71" s="696"/>
      <c r="U71" s="696"/>
      <c r="V71" s="696"/>
      <c r="W71" s="696"/>
      <c r="X71" s="696"/>
      <c r="Y71" s="696"/>
      <c r="Z71" s="696"/>
      <c r="AA71" s="696"/>
      <c r="AB71" s="696"/>
      <c r="AC71" s="696"/>
      <c r="AD71" s="696"/>
      <c r="AE71" s="696"/>
      <c r="AF71" s="696"/>
      <c r="AG71" s="696"/>
      <c r="AH71" s="696"/>
      <c r="AI71" s="696"/>
      <c r="AJ71" s="696"/>
      <c r="AK71" s="696"/>
      <c r="AL71" s="696"/>
      <c r="AM71" s="696"/>
      <c r="AN71" s="696"/>
      <c r="AO71" s="696"/>
      <c r="AP71" s="696"/>
      <c r="AQ71" s="696"/>
      <c r="AR71" s="696"/>
      <c r="AS71" s="696"/>
      <c r="AT71" s="696"/>
      <c r="AU71" s="696"/>
      <c r="AV71" s="696"/>
      <c r="AW71" s="696"/>
      <c r="AX71" s="696"/>
      <c r="AY71" s="1017">
        <v>86178.565000000002</v>
      </c>
      <c r="AZ71" s="1017"/>
      <c r="BA71" s="1017"/>
      <c r="BB71" s="1016"/>
      <c r="BD71" s="319"/>
      <c r="BO71" s="780">
        <f t="shared" si="8"/>
        <v>86178.565000000002</v>
      </c>
    </row>
    <row r="72" spans="1:67" ht="15" thickTop="1">
      <c r="BO72" s="780">
        <f t="shared" si="8"/>
        <v>0</v>
      </c>
    </row>
    <row r="73" spans="1:67">
      <c r="B73" s="683" t="s">
        <v>1193</v>
      </c>
      <c r="BO73" s="780">
        <f t="shared" si="8"/>
        <v>0</v>
      </c>
    </row>
    <row r="74" spans="1:67">
      <c r="B74" s="319" t="s">
        <v>124</v>
      </c>
      <c r="BO74" s="780">
        <f t="shared" si="8"/>
        <v>0</v>
      </c>
    </row>
    <row r="75" spans="1:67">
      <c r="B75" s="319" t="s">
        <v>1200</v>
      </c>
      <c r="AY75" s="322">
        <v>7574.4740000000002</v>
      </c>
      <c r="AZ75" s="322"/>
      <c r="BA75" s="322"/>
      <c r="BB75" s="322"/>
      <c r="BO75" s="780">
        <f t="shared" si="8"/>
        <v>7574.4740000000002</v>
      </c>
    </row>
    <row r="76" spans="1:67">
      <c r="B76" s="319" t="s">
        <v>1201</v>
      </c>
      <c r="AY76" s="322">
        <v>676.75</v>
      </c>
      <c r="AZ76" s="322"/>
      <c r="BA76" s="322"/>
      <c r="BB76" s="322"/>
      <c r="BO76" s="780">
        <f t="shared" si="8"/>
        <v>676.75</v>
      </c>
    </row>
    <row r="77" spans="1:67">
      <c r="B77" s="319" t="s">
        <v>1210</v>
      </c>
      <c r="AY77" s="319">
        <v>0</v>
      </c>
      <c r="BO77" s="780">
        <f t="shared" si="8"/>
        <v>0</v>
      </c>
    </row>
    <row r="78" spans="1:67">
      <c r="B78" s="319" t="s">
        <v>1204</v>
      </c>
      <c r="AY78" s="322">
        <v>167.96899999999999</v>
      </c>
      <c r="AZ78" s="322"/>
      <c r="BA78" s="322"/>
      <c r="BB78" s="322"/>
      <c r="BO78" s="780">
        <f t="shared" si="8"/>
        <v>167.96899999999999</v>
      </c>
    </row>
    <row r="79" spans="1:67">
      <c r="B79" s="319" t="s">
        <v>1205</v>
      </c>
      <c r="AY79" s="322">
        <v>162.80099999999999</v>
      </c>
      <c r="AZ79" s="322"/>
      <c r="BA79" s="322"/>
      <c r="BB79" s="322"/>
      <c r="BO79" s="780">
        <f t="shared" si="8"/>
        <v>162.80099999999999</v>
      </c>
    </row>
    <row r="80" spans="1:67">
      <c r="B80" s="319" t="s">
        <v>1211</v>
      </c>
      <c r="AY80" s="322">
        <v>606.83299999999997</v>
      </c>
      <c r="AZ80" s="322"/>
      <c r="BA80" s="322"/>
      <c r="BB80" s="322"/>
      <c r="BO80" s="780">
        <f t="shared" si="8"/>
        <v>606.83299999999997</v>
      </c>
    </row>
    <row r="81" spans="1:67">
      <c r="B81" s="319" t="s">
        <v>1212</v>
      </c>
      <c r="AY81" s="322">
        <v>2428.8580000000002</v>
      </c>
      <c r="AZ81" s="322"/>
      <c r="BA81" s="322"/>
      <c r="BB81" s="322"/>
      <c r="BO81" s="780">
        <f t="shared" si="8"/>
        <v>2428.8580000000002</v>
      </c>
    </row>
    <row r="82" spans="1:67">
      <c r="B82" s="319" t="s">
        <v>1229</v>
      </c>
      <c r="AY82" s="322">
        <v>291.459</v>
      </c>
      <c r="AZ82" s="322"/>
      <c r="BA82" s="322"/>
      <c r="BB82" s="322"/>
      <c r="BO82" s="780">
        <f t="shared" si="8"/>
        <v>291.459</v>
      </c>
    </row>
    <row r="83" spans="1:67">
      <c r="B83" s="319" t="s">
        <v>127</v>
      </c>
      <c r="AY83" s="322">
        <v>17.324000000000002</v>
      </c>
      <c r="AZ83" s="322"/>
      <c r="BA83" s="322"/>
      <c r="BB83" s="322"/>
      <c r="BO83" s="780">
        <f t="shared" si="8"/>
        <v>17.324000000000002</v>
      </c>
    </row>
    <row r="84" spans="1:67">
      <c r="B84" s="319" t="s">
        <v>1228</v>
      </c>
      <c r="AY84" s="319">
        <v>0</v>
      </c>
      <c r="BO84" s="780">
        <f t="shared" si="8"/>
        <v>0</v>
      </c>
    </row>
    <row r="85" spans="1:67">
      <c r="B85" s="319" t="s">
        <v>1213</v>
      </c>
      <c r="AY85" s="322">
        <v>5368.8710000000001</v>
      </c>
      <c r="AZ85" s="322"/>
      <c r="BA85" s="322"/>
      <c r="BB85" s="322"/>
      <c r="BO85" s="780">
        <f t="shared" si="8"/>
        <v>5368.8710000000001</v>
      </c>
    </row>
    <row r="86" spans="1:67">
      <c r="B86" s="319" t="s">
        <v>1214</v>
      </c>
      <c r="AY86" s="322">
        <v>2254.1120000000001</v>
      </c>
      <c r="AZ86" s="322"/>
      <c r="BA86" s="322"/>
      <c r="BB86" s="322"/>
      <c r="BO86" s="780">
        <f t="shared" si="8"/>
        <v>2254.1120000000001</v>
      </c>
    </row>
    <row r="87" spans="1:67">
      <c r="B87" s="319" t="s">
        <v>1215</v>
      </c>
      <c r="AY87" s="322">
        <v>713.99599999999998</v>
      </c>
      <c r="AZ87" s="322"/>
      <c r="BA87" s="322"/>
      <c r="BB87" s="322"/>
      <c r="BO87" s="780">
        <f t="shared" si="8"/>
        <v>713.99599999999998</v>
      </c>
    </row>
    <row r="88" spans="1:67">
      <c r="B88" s="319" t="s">
        <v>1216</v>
      </c>
      <c r="AY88" s="322">
        <v>753.19200000000001</v>
      </c>
      <c r="AZ88" s="322"/>
      <c r="BA88" s="322"/>
      <c r="BB88" s="322"/>
      <c r="BO88" s="780">
        <f t="shared" si="8"/>
        <v>753.19200000000001</v>
      </c>
    </row>
    <row r="89" spans="1:67" s="683" customFormat="1">
      <c r="A89" s="776"/>
      <c r="B89" s="698" t="s">
        <v>1194</v>
      </c>
      <c r="C89" s="698"/>
      <c r="D89" s="698"/>
      <c r="E89" s="698"/>
      <c r="F89" s="698"/>
      <c r="G89" s="698"/>
      <c r="H89" s="698"/>
      <c r="I89" s="698"/>
      <c r="J89" s="698"/>
      <c r="K89" s="698"/>
      <c r="L89" s="698"/>
      <c r="M89" s="698"/>
      <c r="N89" s="698"/>
      <c r="O89" s="698"/>
      <c r="P89" s="698"/>
      <c r="Q89" s="698"/>
      <c r="R89" s="698"/>
      <c r="S89" s="698"/>
      <c r="T89" s="698"/>
      <c r="U89" s="698"/>
      <c r="V89" s="698"/>
      <c r="W89" s="698"/>
      <c r="X89" s="698"/>
      <c r="Y89" s="698"/>
      <c r="Z89" s="698"/>
      <c r="AA89" s="698"/>
      <c r="AB89" s="698"/>
      <c r="AC89" s="698"/>
      <c r="AD89" s="698"/>
      <c r="AE89" s="698"/>
      <c r="AF89" s="698"/>
      <c r="AG89" s="698"/>
      <c r="AH89" s="698"/>
      <c r="AI89" s="698"/>
      <c r="AJ89" s="698"/>
      <c r="AK89" s="698"/>
      <c r="AL89" s="698"/>
      <c r="AM89" s="698"/>
      <c r="AN89" s="698"/>
      <c r="AO89" s="698"/>
      <c r="AP89" s="698"/>
      <c r="AQ89" s="698"/>
      <c r="AR89" s="698"/>
      <c r="AS89" s="698"/>
      <c r="AT89" s="698"/>
      <c r="AU89" s="698"/>
      <c r="AV89" s="698"/>
      <c r="AW89" s="698"/>
      <c r="AX89" s="698"/>
      <c r="AY89" s="1015">
        <v>21016.638999999999</v>
      </c>
      <c r="AZ89" s="1015"/>
      <c r="BA89" s="1015"/>
      <c r="BB89" s="1016"/>
      <c r="BD89" s="319"/>
      <c r="BO89" s="780">
        <f t="shared" si="8"/>
        <v>21016.638999999999</v>
      </c>
    </row>
    <row r="90" spans="1:67">
      <c r="BO90" s="780">
        <f t="shared" si="8"/>
        <v>0</v>
      </c>
    </row>
    <row r="91" spans="1:67">
      <c r="B91" s="683" t="s">
        <v>1195</v>
      </c>
      <c r="BO91" s="780">
        <f t="shared" si="8"/>
        <v>0</v>
      </c>
    </row>
    <row r="92" spans="1:67">
      <c r="B92" s="319" t="s">
        <v>978</v>
      </c>
      <c r="AY92" s="322">
        <v>28225.767</v>
      </c>
      <c r="AZ92" s="322"/>
      <c r="BA92" s="322"/>
      <c r="BB92" s="322"/>
      <c r="BO92" s="780">
        <f t="shared" si="8"/>
        <v>28225.767</v>
      </c>
    </row>
    <row r="93" spans="1:67">
      <c r="B93" s="319" t="s">
        <v>1217</v>
      </c>
      <c r="AY93" s="322">
        <v>6592.866</v>
      </c>
      <c r="AZ93" s="322"/>
      <c r="BA93" s="322"/>
      <c r="BB93" s="322"/>
      <c r="BO93" s="780">
        <f t="shared" si="8"/>
        <v>6592.866</v>
      </c>
    </row>
    <row r="94" spans="1:67">
      <c r="B94" s="319" t="s">
        <v>1218</v>
      </c>
      <c r="AY94" s="322">
        <v>1252.69</v>
      </c>
      <c r="AZ94" s="322"/>
      <c r="BA94" s="322"/>
      <c r="BB94" s="322"/>
      <c r="BO94" s="780">
        <f t="shared" si="8"/>
        <v>1252.69</v>
      </c>
    </row>
    <row r="95" spans="1:67">
      <c r="B95" s="319" t="s">
        <v>1219</v>
      </c>
      <c r="AY95" s="322">
        <v>926.52</v>
      </c>
      <c r="AZ95" s="322"/>
      <c r="BA95" s="322"/>
      <c r="BB95" s="322"/>
      <c r="BO95" s="780">
        <f t="shared" si="8"/>
        <v>926.52</v>
      </c>
    </row>
    <row r="96" spans="1:67">
      <c r="B96" s="319" t="s">
        <v>1212</v>
      </c>
      <c r="AY96" s="322">
        <v>75.356999999999999</v>
      </c>
      <c r="AZ96" s="322"/>
      <c r="BA96" s="322"/>
      <c r="BB96" s="322"/>
      <c r="BO96" s="780">
        <f t="shared" si="8"/>
        <v>75.356999999999999</v>
      </c>
    </row>
    <row r="97" spans="1:67">
      <c r="B97" s="319" t="s">
        <v>130</v>
      </c>
      <c r="AY97" s="322">
        <v>608.19200000000001</v>
      </c>
      <c r="AZ97" s="322"/>
      <c r="BA97" s="322"/>
      <c r="BB97" s="322"/>
      <c r="BO97" s="780">
        <f t="shared" si="8"/>
        <v>608.19200000000001</v>
      </c>
    </row>
    <row r="98" spans="1:67">
      <c r="B98" s="319" t="s">
        <v>1230</v>
      </c>
      <c r="AY98" s="322">
        <v>269.13099999999997</v>
      </c>
      <c r="AZ98" s="322"/>
      <c r="BA98" s="322"/>
      <c r="BB98" s="322"/>
      <c r="BO98" s="780">
        <f t="shared" si="8"/>
        <v>269.13099999999997</v>
      </c>
    </row>
    <row r="99" spans="1:67">
      <c r="B99" s="319" t="s">
        <v>1220</v>
      </c>
      <c r="AY99" s="319">
        <v>0</v>
      </c>
      <c r="BO99" s="780">
        <f t="shared" si="8"/>
        <v>0</v>
      </c>
    </row>
    <row r="100" spans="1:67">
      <c r="B100" s="319" t="s">
        <v>127</v>
      </c>
      <c r="AY100" s="322">
        <v>989.03099999999995</v>
      </c>
      <c r="AZ100" s="322"/>
      <c r="BA100" s="322"/>
      <c r="BB100" s="322"/>
      <c r="BO100" s="780">
        <f t="shared" si="8"/>
        <v>989.03099999999995</v>
      </c>
    </row>
    <row r="101" spans="1:67" s="683" customFormat="1">
      <c r="A101" s="776"/>
      <c r="B101" s="698" t="s">
        <v>1196</v>
      </c>
      <c r="C101" s="698"/>
      <c r="D101" s="698"/>
      <c r="E101" s="698"/>
      <c r="F101" s="698"/>
      <c r="G101" s="698"/>
      <c r="H101" s="698"/>
      <c r="I101" s="698"/>
      <c r="J101" s="698"/>
      <c r="K101" s="698"/>
      <c r="L101" s="698"/>
      <c r="M101" s="698"/>
      <c r="N101" s="698"/>
      <c r="O101" s="698"/>
      <c r="P101" s="698"/>
      <c r="Q101" s="698"/>
      <c r="R101" s="698"/>
      <c r="S101" s="698"/>
      <c r="T101" s="698"/>
      <c r="U101" s="698"/>
      <c r="V101" s="698"/>
      <c r="W101" s="698"/>
      <c r="X101" s="698"/>
      <c r="Y101" s="698"/>
      <c r="Z101" s="698"/>
      <c r="AA101" s="698"/>
      <c r="AB101" s="698"/>
      <c r="AC101" s="698"/>
      <c r="AD101" s="698"/>
      <c r="AE101" s="698"/>
      <c r="AF101" s="698"/>
      <c r="AG101" s="698"/>
      <c r="AH101" s="698"/>
      <c r="AI101" s="698"/>
      <c r="AJ101" s="698"/>
      <c r="AK101" s="698"/>
      <c r="AL101" s="698"/>
      <c r="AM101" s="698"/>
      <c r="AN101" s="698"/>
      <c r="AO101" s="698"/>
      <c r="AP101" s="698"/>
      <c r="AQ101" s="698"/>
      <c r="AR101" s="698"/>
      <c r="AS101" s="698"/>
      <c r="AT101" s="698"/>
      <c r="AU101" s="698"/>
      <c r="AV101" s="698"/>
      <c r="AW101" s="698"/>
      <c r="AX101" s="698"/>
      <c r="AY101" s="1015">
        <v>38939.553999999996</v>
      </c>
      <c r="AZ101" s="1015"/>
      <c r="BA101" s="1015"/>
      <c r="BB101" s="1016"/>
      <c r="BO101" s="778">
        <f t="shared" si="8"/>
        <v>38939.553999999996</v>
      </c>
    </row>
    <row r="102" spans="1:67">
      <c r="B102" s="683"/>
      <c r="BO102" s="780">
        <f t="shared" si="8"/>
        <v>0</v>
      </c>
    </row>
    <row r="103" spans="1:67">
      <c r="B103" s="683" t="s">
        <v>609</v>
      </c>
      <c r="BO103" s="780">
        <f t="shared" si="8"/>
        <v>0</v>
      </c>
    </row>
    <row r="104" spans="1:67">
      <c r="B104" s="319" t="s">
        <v>1231</v>
      </c>
      <c r="AY104" s="322">
        <v>1312.8430000000001</v>
      </c>
      <c r="AZ104" s="322"/>
      <c r="BA104" s="322"/>
      <c r="BB104" s="322"/>
      <c r="BO104" s="780">
        <f t="shared" si="8"/>
        <v>1312.8430000000001</v>
      </c>
    </row>
    <row r="105" spans="1:67">
      <c r="B105" s="319" t="s">
        <v>1221</v>
      </c>
      <c r="AY105" s="322">
        <v>15415.071</v>
      </c>
      <c r="AZ105" s="322"/>
      <c r="BA105" s="322"/>
      <c r="BB105" s="322"/>
      <c r="BO105" s="780">
        <f t="shared" si="8"/>
        <v>15415.071</v>
      </c>
    </row>
    <row r="106" spans="1:67">
      <c r="B106" s="319" t="s">
        <v>1222</v>
      </c>
      <c r="AY106" s="319">
        <v>0</v>
      </c>
      <c r="BO106" s="780">
        <f t="shared" si="8"/>
        <v>0</v>
      </c>
    </row>
    <row r="107" spans="1:67">
      <c r="B107" s="319" t="s">
        <v>1223</v>
      </c>
      <c r="AY107" s="322">
        <v>-134.44499999999999</v>
      </c>
      <c r="AZ107" s="322"/>
      <c r="BA107" s="322"/>
      <c r="BB107" s="322"/>
      <c r="BO107" s="780">
        <f t="shared" si="8"/>
        <v>-134.44499999999999</v>
      </c>
    </row>
    <row r="108" spans="1:67">
      <c r="B108" s="319" t="s">
        <v>1224</v>
      </c>
      <c r="AY108" s="319">
        <v>0</v>
      </c>
      <c r="BO108" s="780">
        <f t="shared" si="8"/>
        <v>0</v>
      </c>
    </row>
    <row r="109" spans="1:67">
      <c r="B109" s="319" t="s">
        <v>1225</v>
      </c>
      <c r="AY109" s="322">
        <v>1.4</v>
      </c>
      <c r="AZ109" s="322"/>
      <c r="BA109" s="322"/>
      <c r="BB109" s="322"/>
      <c r="BO109" s="780">
        <f t="shared" ref="BO109:BO114" si="9">SUMIFS($D109:$BC109,$D$4:$BC$4,"&gt;"&amp;DATE(YEAR(BO$4)-1,12,31),$D$4:$BC$4,"&lt;="&amp;BO$4)</f>
        <v>1.4</v>
      </c>
    </row>
    <row r="110" spans="1:67">
      <c r="B110" s="319" t="s">
        <v>1226</v>
      </c>
      <c r="AY110" s="322">
        <v>9465.5229999999992</v>
      </c>
      <c r="AZ110" s="322"/>
      <c r="BA110" s="322"/>
      <c r="BB110" s="322"/>
      <c r="BO110" s="780">
        <f t="shared" si="9"/>
        <v>9465.5229999999992</v>
      </c>
    </row>
    <row r="111" spans="1:67">
      <c r="B111" s="319" t="s">
        <v>1227</v>
      </c>
      <c r="AY111" s="322">
        <v>161.97999999999999</v>
      </c>
      <c r="AZ111" s="322"/>
      <c r="BA111" s="322"/>
      <c r="BB111" s="322"/>
      <c r="BO111" s="780">
        <f t="shared" si="9"/>
        <v>161.97999999999999</v>
      </c>
    </row>
    <row r="112" spans="1:67" s="683" customFormat="1">
      <c r="A112" s="776"/>
      <c r="B112" s="698" t="s">
        <v>1197</v>
      </c>
      <c r="C112" s="698"/>
      <c r="D112" s="698"/>
      <c r="E112" s="698"/>
      <c r="F112" s="698"/>
      <c r="G112" s="698"/>
      <c r="H112" s="698"/>
      <c r="I112" s="698"/>
      <c r="J112" s="698"/>
      <c r="K112" s="698"/>
      <c r="L112" s="698"/>
      <c r="M112" s="698"/>
      <c r="N112" s="698"/>
      <c r="O112" s="698"/>
      <c r="P112" s="698"/>
      <c r="Q112" s="698"/>
      <c r="R112" s="698"/>
      <c r="S112" s="698"/>
      <c r="T112" s="698"/>
      <c r="U112" s="698"/>
      <c r="V112" s="698"/>
      <c r="W112" s="698"/>
      <c r="X112" s="698"/>
      <c r="Y112" s="698"/>
      <c r="Z112" s="698"/>
      <c r="AA112" s="698"/>
      <c r="AB112" s="698"/>
      <c r="AC112" s="698"/>
      <c r="AD112" s="698"/>
      <c r="AE112" s="698"/>
      <c r="AF112" s="698"/>
      <c r="AG112" s="698"/>
      <c r="AH112" s="698"/>
      <c r="AI112" s="698"/>
      <c r="AJ112" s="698"/>
      <c r="AK112" s="698"/>
      <c r="AL112" s="698"/>
      <c r="AM112" s="698"/>
      <c r="AN112" s="698"/>
      <c r="AO112" s="698"/>
      <c r="AP112" s="698"/>
      <c r="AQ112" s="698"/>
      <c r="AR112" s="698"/>
      <c r="AS112" s="698"/>
      <c r="AT112" s="698"/>
      <c r="AU112" s="698"/>
      <c r="AV112" s="698"/>
      <c r="AW112" s="698"/>
      <c r="AX112" s="698"/>
      <c r="AY112" s="1015">
        <v>26222.371999999999</v>
      </c>
      <c r="AZ112" s="1015"/>
      <c r="BA112" s="1015"/>
      <c r="BB112" s="1016"/>
      <c r="BO112" s="778">
        <f t="shared" si="9"/>
        <v>26222.371999999999</v>
      </c>
    </row>
    <row r="113" spans="2:67">
      <c r="BO113" s="780">
        <f t="shared" si="9"/>
        <v>0</v>
      </c>
    </row>
    <row r="114" spans="2:67" ht="15" thickBot="1">
      <c r="B114" s="696" t="s">
        <v>1198</v>
      </c>
      <c r="C114" s="1018"/>
      <c r="D114" s="1018"/>
      <c r="E114" s="1018"/>
      <c r="F114" s="1018"/>
      <c r="G114" s="1018"/>
      <c r="H114" s="1018"/>
      <c r="I114" s="1018"/>
      <c r="J114" s="1018"/>
      <c r="K114" s="1018"/>
      <c r="L114" s="1018"/>
      <c r="M114" s="1018"/>
      <c r="N114" s="1018"/>
      <c r="O114" s="1018"/>
      <c r="P114" s="1018"/>
      <c r="Q114" s="1018"/>
      <c r="R114" s="1018"/>
      <c r="S114" s="1018"/>
      <c r="T114" s="1018"/>
      <c r="U114" s="1018"/>
      <c r="V114" s="1018"/>
      <c r="W114" s="1018"/>
      <c r="X114" s="1018"/>
      <c r="Y114" s="1018"/>
      <c r="Z114" s="1018"/>
      <c r="AA114" s="1018"/>
      <c r="AB114" s="1018"/>
      <c r="AC114" s="1018"/>
      <c r="AD114" s="1018"/>
      <c r="AE114" s="1018"/>
      <c r="AF114" s="1018"/>
      <c r="AG114" s="1018"/>
      <c r="AH114" s="1018"/>
      <c r="AI114" s="1018"/>
      <c r="AJ114" s="1018"/>
      <c r="AK114" s="1018"/>
      <c r="AL114" s="1018"/>
      <c r="AM114" s="1018"/>
      <c r="AN114" s="1018"/>
      <c r="AO114" s="1018"/>
      <c r="AP114" s="1018"/>
      <c r="AQ114" s="1018"/>
      <c r="AR114" s="1018"/>
      <c r="AS114" s="1018"/>
      <c r="AT114" s="1018"/>
      <c r="AU114" s="1018"/>
      <c r="AV114" s="1018"/>
      <c r="AW114" s="1018"/>
      <c r="AX114" s="1018"/>
      <c r="AY114" s="1017">
        <v>86178.565000000002</v>
      </c>
      <c r="AZ114" s="1017"/>
      <c r="BA114" s="1017"/>
      <c r="BB114" s="1016"/>
      <c r="BO114" s="780">
        <f t="shared" si="9"/>
        <v>86178.565000000002</v>
      </c>
    </row>
    <row r="115" spans="2:67" ht="15" thickTop="1"/>
    <row r="164" spans="44:55">
      <c r="AR164" s="513">
        <f>Inputs!I62</f>
        <v>0</v>
      </c>
      <c r="AS164" s="513">
        <f>Inputs!J62</f>
        <v>0</v>
      </c>
      <c r="AT164" s="513">
        <f>Inputs!K62</f>
        <v>0</v>
      </c>
      <c r="AU164" s="513">
        <f>Inputs!L62</f>
        <v>0</v>
      </c>
      <c r="AV164" s="347" t="e">
        <f>AV347*10^6/AV350/12</f>
        <v>#DIV/0!</v>
      </c>
      <c r="AW164" s="513">
        <f>Inputs!M62</f>
        <v>0</v>
      </c>
      <c r="AX164" s="513">
        <f>Inputs!N62</f>
        <v>0</v>
      </c>
      <c r="AY164" s="513">
        <f>Inputs!O62</f>
        <v>0</v>
      </c>
      <c r="AZ164" s="513">
        <f>Inputs!P62</f>
        <v>0</v>
      </c>
      <c r="BA164" s="347" t="e">
        <f>BA347*10^6/BA350/12</f>
        <v>#DIV/0!</v>
      </c>
      <c r="BB164" s="513">
        <f>Inputs!Q62</f>
        <v>0</v>
      </c>
      <c r="BC164" s="513">
        <f>Inputs!R62</f>
        <v>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37976-852D-4C65-8A72-8EA1DC668815}">
  <sheetPr codeName="Sheet16">
    <tabColor theme="0"/>
  </sheetPr>
  <dimension ref="A1:AI71"/>
  <sheetViews>
    <sheetView zoomScale="85" zoomScaleNormal="85" workbookViewId="0">
      <pane xSplit="2" ySplit="5" topLeftCell="C19" activePane="bottomRight" state="frozen"/>
      <selection activeCell="H11" sqref="H11"/>
      <selection pane="topRight" activeCell="H11" sqref="H11"/>
      <selection pane="bottomLeft" activeCell="H11" sqref="H11"/>
      <selection pane="bottomRight" activeCell="G18" sqref="G18"/>
    </sheetView>
  </sheetViews>
  <sheetFormatPr defaultColWidth="8.1796875" defaultRowHeight="13"/>
  <cols>
    <col min="1" max="1" width="2.36328125" style="1164" customWidth="1"/>
    <col min="2" max="2" width="37.453125" style="1164" customWidth="1"/>
    <col min="3" max="3" width="13.6328125" style="1164" customWidth="1"/>
    <col min="4" max="4" width="8.1796875" style="1188"/>
    <col min="5" max="5" width="8.81640625" style="1188" bestFit="1" customWidth="1"/>
    <col min="6" max="6" width="8.1796875" style="1188"/>
    <col min="7" max="13" width="8.1796875" style="1164"/>
    <col min="14" max="15" width="8.1796875" style="1185"/>
    <col min="16" max="16" width="8.1796875" style="1164"/>
    <col min="17" max="17" width="8.1796875" style="1190"/>
    <col min="18" max="18" width="8.81640625" style="1190" bestFit="1" customWidth="1"/>
    <col min="19" max="19" width="8.1796875" style="1190"/>
    <col min="20" max="25" width="8.1796875" style="1187"/>
    <col min="26" max="43" width="8.1796875" style="1164"/>
    <col min="44" max="44" width="31.54296875" style="1164" bestFit="1" customWidth="1"/>
    <col min="45" max="16384" width="8.1796875" style="1164"/>
  </cols>
  <sheetData>
    <row r="1" spans="1:35" s="1172" customFormat="1">
      <c r="A1" s="1171"/>
      <c r="B1" s="1160"/>
      <c r="C1" s="1160"/>
      <c r="D1" s="326"/>
      <c r="E1" s="326"/>
      <c r="F1" s="326"/>
      <c r="G1" s="326"/>
      <c r="H1" s="326"/>
      <c r="I1" s="326"/>
      <c r="J1" s="326"/>
      <c r="K1" s="326"/>
      <c r="L1" s="326"/>
      <c r="N1" s="1173"/>
      <c r="O1" s="1173"/>
      <c r="Q1" s="1174"/>
      <c r="R1" s="1174"/>
      <c r="S1" s="1174"/>
      <c r="T1" s="1174"/>
      <c r="U1" s="1174"/>
      <c r="V1" s="1174"/>
      <c r="W1" s="1174"/>
      <c r="X1" s="1174"/>
      <c r="Y1" s="1174"/>
      <c r="AC1" s="326"/>
      <c r="AD1" s="326"/>
      <c r="AE1" s="326"/>
      <c r="AF1" s="326"/>
      <c r="AG1" s="326"/>
      <c r="AH1" s="326"/>
      <c r="AI1" s="326"/>
    </row>
    <row r="2" spans="1:35" s="1172" customFormat="1">
      <c r="A2" s="1171"/>
      <c r="B2" s="1160" t="s">
        <v>763</v>
      </c>
      <c r="C2" s="1160"/>
      <c r="D2" s="326"/>
      <c r="E2" s="326"/>
      <c r="F2" s="326"/>
      <c r="G2" s="326"/>
      <c r="H2" s="326"/>
      <c r="I2" s="326"/>
      <c r="J2" s="326"/>
      <c r="K2" s="326"/>
      <c r="L2" s="326"/>
      <c r="N2" s="1173"/>
      <c r="O2" s="1173"/>
      <c r="Q2" s="1174"/>
      <c r="R2" s="1174"/>
      <c r="S2" s="1174"/>
      <c r="T2" s="1174"/>
      <c r="U2" s="1174"/>
      <c r="V2" s="1174"/>
      <c r="W2" s="1174"/>
      <c r="X2" s="1174"/>
      <c r="Y2" s="1174"/>
      <c r="AC2" s="326"/>
      <c r="AD2" s="326"/>
      <c r="AE2" s="326"/>
      <c r="AF2" s="326"/>
      <c r="AG2" s="326"/>
      <c r="AH2" s="326"/>
      <c r="AI2" s="326"/>
    </row>
    <row r="3" spans="1:35" s="1172" customFormat="1">
      <c r="B3" s="326" t="s">
        <v>764</v>
      </c>
      <c r="C3" s="326"/>
      <c r="D3" s="326"/>
      <c r="E3" s="326"/>
      <c r="F3" s="326"/>
      <c r="G3" s="326"/>
      <c r="H3" s="326"/>
      <c r="I3" s="326"/>
      <c r="J3" s="326"/>
      <c r="K3" s="326"/>
      <c r="L3" s="326"/>
      <c r="N3" s="1173"/>
      <c r="O3" s="1173"/>
      <c r="Q3" s="326"/>
      <c r="R3" s="326"/>
      <c r="S3" s="326"/>
      <c r="T3" s="326"/>
      <c r="U3" s="326"/>
      <c r="V3" s="326"/>
      <c r="W3" s="326"/>
      <c r="X3" s="326"/>
      <c r="Y3" s="326"/>
      <c r="AC3" s="326"/>
      <c r="AD3" s="326"/>
      <c r="AE3" s="326"/>
      <c r="AF3" s="326"/>
      <c r="AG3" s="326"/>
      <c r="AH3" s="326"/>
      <c r="AI3" s="326"/>
    </row>
    <row r="4" spans="1:35" ht="14.5">
      <c r="B4" s="325" t="s">
        <v>1462</v>
      </c>
      <c r="C4" s="1161"/>
      <c r="D4" s="325"/>
      <c r="E4" s="1161"/>
      <c r="F4" s="1161"/>
      <c r="G4" s="1175" t="s">
        <v>1185</v>
      </c>
      <c r="H4" s="1176"/>
      <c r="I4" s="1176"/>
      <c r="J4" s="1176"/>
      <c r="K4" s="1176"/>
      <c r="L4" s="1176"/>
      <c r="M4" s="1177"/>
      <c r="N4" s="1178" t="s">
        <v>565</v>
      </c>
      <c r="O4" s="1178" t="s">
        <v>565</v>
      </c>
      <c r="P4" s="1179"/>
      <c r="Q4" s="325"/>
      <c r="R4" s="1161"/>
      <c r="S4" s="1161"/>
      <c r="T4" s="1175" t="s">
        <v>1184</v>
      </c>
      <c r="U4" s="1176"/>
      <c r="V4" s="1176"/>
      <c r="W4" s="1176"/>
      <c r="X4" s="1176"/>
      <c r="Y4" s="1176"/>
      <c r="Z4" s="1180"/>
      <c r="AA4" s="1178" t="s">
        <v>565</v>
      </c>
      <c r="AB4" s="1178"/>
      <c r="AC4" s="325"/>
      <c r="AD4" s="1161"/>
      <c r="AE4" s="1161"/>
      <c r="AF4" s="1175" t="s">
        <v>1186</v>
      </c>
      <c r="AG4" s="1176"/>
      <c r="AH4" s="1176"/>
      <c r="AI4" s="1176"/>
    </row>
    <row r="5" spans="1:35" s="330" customFormat="1">
      <c r="B5" s="325">
        <f>DCF!$B$32</f>
        <v>4509.6917769222537</v>
      </c>
      <c r="C5" s="325"/>
      <c r="D5" s="325">
        <v>2022</v>
      </c>
      <c r="E5" s="325">
        <f>D5+1</f>
        <v>2023</v>
      </c>
      <c r="F5" s="325">
        <f t="shared" ref="F5:J5" si="0">E5+1</f>
        <v>2024</v>
      </c>
      <c r="G5" s="1181">
        <f t="shared" si="0"/>
        <v>2025</v>
      </c>
      <c r="H5" s="1181">
        <f t="shared" si="0"/>
        <v>2026</v>
      </c>
      <c r="I5" s="1181">
        <f t="shared" si="0"/>
        <v>2027</v>
      </c>
      <c r="J5" s="1181">
        <f t="shared" si="0"/>
        <v>2028</v>
      </c>
      <c r="K5" s="1181">
        <f t="shared" ref="K5" si="1">J5+1</f>
        <v>2029</v>
      </c>
      <c r="L5" s="1181">
        <f t="shared" ref="L5" si="2">K5+1</f>
        <v>2030</v>
      </c>
      <c r="M5" s="1162"/>
      <c r="N5" s="1182" t="s">
        <v>1392</v>
      </c>
      <c r="O5" s="1182" t="s">
        <v>1391</v>
      </c>
      <c r="P5" s="1162"/>
      <c r="Q5" s="325">
        <f>D5</f>
        <v>2022</v>
      </c>
      <c r="R5" s="325">
        <f>E5</f>
        <v>2023</v>
      </c>
      <c r="S5" s="325">
        <f>F5</f>
        <v>2024</v>
      </c>
      <c r="T5" s="1181">
        <f t="shared" ref="T5" si="3">S5+1</f>
        <v>2025</v>
      </c>
      <c r="U5" s="1181">
        <f t="shared" ref="U5" si="4">T5+1</f>
        <v>2026</v>
      </c>
      <c r="V5" s="1181">
        <f t="shared" ref="V5" si="5">U5+1</f>
        <v>2027</v>
      </c>
      <c r="W5" s="1181">
        <f t="shared" ref="W5" si="6">V5+1</f>
        <v>2028</v>
      </c>
      <c r="X5" s="1181">
        <f t="shared" ref="X5" si="7">W5+1</f>
        <v>2029</v>
      </c>
      <c r="Y5" s="1181">
        <f t="shared" ref="Y5" si="8">X5+1</f>
        <v>2030</v>
      </c>
      <c r="Z5" s="1162"/>
      <c r="AA5" s="1182" t="s">
        <v>1391</v>
      </c>
      <c r="AB5" s="1182"/>
      <c r="AC5" s="325">
        <f>D5</f>
        <v>2022</v>
      </c>
      <c r="AD5" s="325">
        <f>E5</f>
        <v>2023</v>
      </c>
      <c r="AE5" s="325">
        <f>F5</f>
        <v>2024</v>
      </c>
      <c r="AF5" s="1181">
        <f t="shared" ref="AF5" si="9">AE5+1</f>
        <v>2025</v>
      </c>
      <c r="AG5" s="1181">
        <f t="shared" ref="AG5" si="10">AF5+1</f>
        <v>2026</v>
      </c>
      <c r="AH5" s="1181">
        <f t="shared" ref="AH5" si="11">AG5+1</f>
        <v>2027</v>
      </c>
      <c r="AI5" s="1181">
        <f t="shared" ref="AI5" si="12">AH5+1</f>
        <v>2028</v>
      </c>
    </row>
    <row r="6" spans="1:35" s="330" customFormat="1">
      <c r="B6" s="1162"/>
      <c r="C6" s="1162">
        <v>3</v>
      </c>
      <c r="D6" s="1162"/>
      <c r="E6" s="1162"/>
      <c r="F6" s="1162"/>
      <c r="G6" s="1162"/>
      <c r="H6" s="1162"/>
      <c r="I6" s="1162"/>
      <c r="J6" s="1162"/>
      <c r="K6" s="1162"/>
      <c r="L6" s="1162"/>
      <c r="M6" s="1162"/>
      <c r="N6" s="1183"/>
      <c r="O6" s="1183"/>
      <c r="P6" s="1162"/>
      <c r="Q6" s="1162"/>
      <c r="R6" s="1162"/>
      <c r="S6" s="1162"/>
      <c r="T6" s="1162"/>
      <c r="U6" s="1162"/>
      <c r="V6" s="1162"/>
      <c r="W6" s="1162"/>
      <c r="X6" s="1162"/>
      <c r="Y6" s="1162"/>
      <c r="Z6" s="1162"/>
      <c r="AA6" s="1183"/>
      <c r="AB6" s="1183"/>
      <c r="AC6" s="1162"/>
      <c r="AD6" s="1162"/>
      <c r="AE6" s="1162"/>
      <c r="AF6" s="1162"/>
      <c r="AG6" s="1162"/>
      <c r="AH6" s="1162"/>
      <c r="AI6" s="1162"/>
    </row>
    <row r="7" spans="1:35">
      <c r="A7" s="1164" t="s">
        <v>615</v>
      </c>
      <c r="B7" s="1163" t="s">
        <v>579</v>
      </c>
      <c r="C7" s="1163"/>
      <c r="D7" s="1184"/>
      <c r="E7" s="1184"/>
      <c r="F7" s="1219"/>
      <c r="G7" s="1220"/>
      <c r="H7" s="1184"/>
      <c r="I7" s="1184"/>
      <c r="J7" s="1184"/>
      <c r="K7" s="1184"/>
      <c r="L7" s="1184"/>
      <c r="Q7" s="1186"/>
      <c r="R7" s="1186"/>
      <c r="S7" s="1221"/>
      <c r="T7" s="1222"/>
      <c r="U7" s="1186"/>
      <c r="V7" s="1186"/>
      <c r="W7" s="1186"/>
      <c r="X7" s="1186"/>
      <c r="Y7" s="1186"/>
      <c r="AA7" s="1185"/>
      <c r="AB7" s="1185"/>
      <c r="AC7" s="1184"/>
      <c r="AD7" s="1184"/>
      <c r="AE7" s="1184"/>
      <c r="AF7" s="1184"/>
      <c r="AG7" s="1184"/>
      <c r="AH7" s="1184"/>
      <c r="AI7" s="1184"/>
    </row>
    <row r="8" spans="1:35">
      <c r="D8" s="1164"/>
      <c r="E8" s="1164"/>
      <c r="F8" s="1164"/>
      <c r="Q8" s="1187"/>
      <c r="R8" s="1187"/>
      <c r="S8" s="1187"/>
      <c r="AA8" s="1185"/>
      <c r="AB8" s="1185"/>
    </row>
    <row r="9" spans="1:35">
      <c r="B9" s="330" t="s">
        <v>687</v>
      </c>
      <c r="C9" s="330"/>
      <c r="D9" s="1164"/>
      <c r="E9" s="1164"/>
      <c r="F9" s="1164"/>
      <c r="Q9" s="1187"/>
      <c r="R9" s="1187"/>
      <c r="S9" s="1187"/>
      <c r="AA9" s="1185"/>
      <c r="AB9" s="1185"/>
    </row>
    <row r="10" spans="1:35">
      <c r="B10" s="1165" t="s">
        <v>802</v>
      </c>
      <c r="D10" s="1188">
        <f>'Income Statement'!BZ228</f>
        <v>1632.93</v>
      </c>
      <c r="E10" s="1188">
        <f>'Income Statement'!CE228</f>
        <v>1650.6</v>
      </c>
      <c r="F10" s="1188">
        <f>'Income Statement'!CJ228</f>
        <v>1739.1000000000001</v>
      </c>
      <c r="G10" s="1188">
        <f>'Income Statement'!CO228</f>
        <v>1924.3877611402481</v>
      </c>
      <c r="H10" s="1188">
        <f>'Income Statement'!CP228</f>
        <v>1992.6147051570431</v>
      </c>
      <c r="I10" s="1188">
        <f>'Income Statement'!CQ228</f>
        <v>2117.9772768805237</v>
      </c>
      <c r="J10" s="1188">
        <f>'Income Statement'!CR228</f>
        <v>2247.4344714862727</v>
      </c>
      <c r="K10" s="1188">
        <f>'Income Statement'!CS228</f>
        <v>2381.0928246741992</v>
      </c>
      <c r="L10" s="1188">
        <f>'Income Statement'!CT228</f>
        <v>2519.0613280893831</v>
      </c>
      <c r="M10" s="1188"/>
      <c r="N10" s="1189">
        <f>IFERROR((F10/D10)^(1/2)-1,"")</f>
        <v>3.1997139678891839E-2</v>
      </c>
      <c r="O10" s="1189">
        <f>IFERROR((L10/F10)^(1/6)-1,"")</f>
        <v>6.3699685782030224E-2</v>
      </c>
      <c r="P10" s="1188"/>
      <c r="Q10" s="1190">
        <v>1632.93</v>
      </c>
      <c r="R10" s="1190">
        <v>1650.6</v>
      </c>
      <c r="S10" s="1190">
        <v>1739.1000000000001</v>
      </c>
      <c r="T10" s="1190">
        <v>1819.4482805741222</v>
      </c>
      <c r="U10" s="1190">
        <v>1902.2305784767821</v>
      </c>
      <c r="V10" s="1190">
        <v>2006.5214814400606</v>
      </c>
      <c r="W10" s="1190">
        <v>2114.3083896478038</v>
      </c>
      <c r="X10" s="1190">
        <v>2225.6848225953754</v>
      </c>
      <c r="Y10" s="1190">
        <v>2340.7465029935156</v>
      </c>
      <c r="AA10" s="1189">
        <f>IFERROR((Y10/S10)^(1/6)-1,"")</f>
        <v>5.0763482858185105E-2</v>
      </c>
      <c r="AB10" s="1189"/>
      <c r="AC10" s="1303">
        <f t="shared" ref="AC10" si="13">(D10-Q10)/D10</f>
        <v>0</v>
      </c>
      <c r="AD10" s="1303">
        <f t="shared" ref="AD10" si="14">(E10-R10)/E10</f>
        <v>0</v>
      </c>
      <c r="AE10" s="1303">
        <f t="shared" ref="AE10" si="15">(F10-S10)/F10</f>
        <v>0</v>
      </c>
      <c r="AF10" s="1303">
        <f t="shared" ref="AF10" si="16">(G10-T10)/G10</f>
        <v>5.4531359368003157E-2</v>
      </c>
      <c r="AG10" s="1303">
        <f t="shared" ref="AG10" si="17">(H10-U10)/H10</f>
        <v>4.5359560203154091E-2</v>
      </c>
      <c r="AH10" s="1303">
        <f t="shared" ref="AH10" si="18">(I10-V10)/I10</f>
        <v>5.2623697457520179E-2</v>
      </c>
      <c r="AI10" s="1303">
        <f t="shared" ref="AI10" si="19">(J10-W10)/J10</f>
        <v>5.9234688943090766E-2</v>
      </c>
    </row>
    <row r="11" spans="1:35">
      <c r="B11" s="759" t="s">
        <v>0</v>
      </c>
      <c r="E11" s="1191">
        <f>E10/D10-1</f>
        <v>1.0821039481177852E-2</v>
      </c>
      <c r="F11" s="1191">
        <f t="shared" ref="F11" si="20">F10/E10-1</f>
        <v>5.3616866593966028E-2</v>
      </c>
      <c r="G11" s="1191">
        <f t="shared" ref="G11" si="21">G10/F10-1</f>
        <v>0.10654232714636769</v>
      </c>
      <c r="H11" s="1191">
        <f t="shared" ref="H11" si="22">H10/G10-1</f>
        <v>3.5453844279475621E-2</v>
      </c>
      <c r="I11" s="1191">
        <f t="shared" ref="I11" si="23">I10/H10-1</f>
        <v>6.291360361791587E-2</v>
      </c>
      <c r="J11" s="1191">
        <f t="shared" ref="J11" si="24">J10/I10-1</f>
        <v>6.1123032819512035E-2</v>
      </c>
      <c r="K11" s="1191">
        <f t="shared" ref="K11" si="25">K10/J10-1</f>
        <v>5.9471524034930168E-2</v>
      </c>
      <c r="L11" s="1191">
        <f t="shared" ref="L11" si="26">L10/K10-1</f>
        <v>5.79433535666809E-2</v>
      </c>
      <c r="M11" s="1191"/>
      <c r="N11" s="1192"/>
      <c r="O11" s="1192"/>
      <c r="P11" s="1191"/>
      <c r="R11" s="1193">
        <v>1.0821039481177852E-2</v>
      </c>
      <c r="S11" s="1193">
        <v>5.3616866593966028E-2</v>
      </c>
      <c r="T11" s="1193">
        <v>4.6201069848842646E-2</v>
      </c>
      <c r="U11" s="1193">
        <v>4.5498571620039785E-2</v>
      </c>
      <c r="V11" s="1193">
        <v>5.4825584313122455E-2</v>
      </c>
      <c r="W11" s="1193">
        <v>5.3718292679520996E-2</v>
      </c>
      <c r="X11" s="1193">
        <v>5.2677477653165106E-2</v>
      </c>
      <c r="Y11" s="1193">
        <v>5.1697203139466241E-2</v>
      </c>
      <c r="AA11" s="1192"/>
      <c r="AB11" s="1192"/>
      <c r="AC11" s="1303"/>
      <c r="AD11" s="1303"/>
      <c r="AE11" s="1303"/>
      <c r="AF11" s="1303"/>
      <c r="AG11" s="1303"/>
      <c r="AH11" s="1303"/>
      <c r="AI11" s="1303"/>
    </row>
    <row r="12" spans="1:35">
      <c r="B12" s="1165" t="s">
        <v>803</v>
      </c>
      <c r="D12" s="1188">
        <f>'Income Statement'!BZ229</f>
        <v>25158.84</v>
      </c>
      <c r="E12" s="1188">
        <f>'Income Statement'!CE229</f>
        <v>26800.5</v>
      </c>
      <c r="F12" s="1188">
        <f>'Income Statement'!CJ229</f>
        <v>27999.75</v>
      </c>
      <c r="G12" s="1188">
        <f>'Income Statement'!CO229</f>
        <v>33389.846685174678</v>
      </c>
      <c r="H12" s="1188">
        <f>'Income Statement'!CP229</f>
        <v>37399.626840033765</v>
      </c>
      <c r="I12" s="1188">
        <f>'Income Statement'!CQ229</f>
        <v>39038.758366483627</v>
      </c>
      <c r="J12" s="1188">
        <f>'Income Statement'!CR229</f>
        <v>40748.905633671515</v>
      </c>
      <c r="K12" s="1188">
        <f>'Income Statement'!CS229</f>
        <v>42533.115963013312</v>
      </c>
      <c r="L12" s="1188">
        <f>'Income Statement'!CT229</f>
        <v>44394.566370654196</v>
      </c>
      <c r="M12" s="1188"/>
      <c r="N12" s="1189">
        <f>IFERROR((F12/D12)^(1/2)-1,"")</f>
        <v>5.4949741981942246E-2</v>
      </c>
      <c r="O12" s="1189">
        <f>IFERROR((L12/F12)^(1/6)-1,"")</f>
        <v>7.9847956518686036E-2</v>
      </c>
      <c r="P12" s="1188"/>
      <c r="Q12" s="1190">
        <v>25158.84</v>
      </c>
      <c r="R12" s="1190">
        <v>26800.5</v>
      </c>
      <c r="S12" s="1190">
        <v>27999.75</v>
      </c>
      <c r="T12" s="1190">
        <v>29082.08642248519</v>
      </c>
      <c r="U12" s="1190">
        <v>29965.7901084972</v>
      </c>
      <c r="V12" s="1190">
        <v>30875.170917924581</v>
      </c>
      <c r="W12" s="1190">
        <v>31654.247713940393</v>
      </c>
      <c r="X12" s="1190">
        <v>32451.776012430619</v>
      </c>
      <c r="Y12" s="1190">
        <v>33268.174870594463</v>
      </c>
      <c r="AA12" s="1189">
        <f>IFERROR((Y12/S12)^(1/6)-1,"")</f>
        <v>2.9151086767861489E-2</v>
      </c>
      <c r="AB12" s="1189"/>
      <c r="AC12" s="1303">
        <f t="shared" ref="AC12:AI12" si="27">(D12-Q12)/D12</f>
        <v>0</v>
      </c>
      <c r="AD12" s="1303">
        <f t="shared" si="27"/>
        <v>0</v>
      </c>
      <c r="AE12" s="1303">
        <f t="shared" si="27"/>
        <v>0</v>
      </c>
      <c r="AF12" s="1303">
        <f t="shared" si="27"/>
        <v>0.12901407734232465</v>
      </c>
      <c r="AG12" s="1303">
        <f t="shared" si="27"/>
        <v>0.19876767122123118</v>
      </c>
      <c r="AH12" s="1303">
        <f t="shared" si="27"/>
        <v>0.20911493577541188</v>
      </c>
      <c r="AI12" s="1303">
        <f t="shared" si="27"/>
        <v>0.22318778328652958</v>
      </c>
    </row>
    <row r="13" spans="1:35">
      <c r="B13" s="759" t="s">
        <v>0</v>
      </c>
      <c r="E13" s="1191">
        <f>E12/D12-1</f>
        <v>6.5251816061471901E-2</v>
      </c>
      <c r="F13" s="1191">
        <f t="shared" ref="F13" si="28">F12/E12-1</f>
        <v>4.4747299490681236E-2</v>
      </c>
      <c r="G13" s="1191">
        <f t="shared" ref="G13" si="29">G12/F12-1</f>
        <v>0.19250517183812987</v>
      </c>
      <c r="H13" s="1191">
        <f t="shared" ref="H13" si="30">H12/G12-1</f>
        <v>0.12008980432484151</v>
      </c>
      <c r="I13" s="1191">
        <f t="shared" ref="I13" si="31">I12/H12-1</f>
        <v>4.3827483452195448E-2</v>
      </c>
      <c r="J13" s="1191">
        <f t="shared" ref="J13" si="32">J12/I12-1</f>
        <v>4.3806394945596461E-2</v>
      </c>
      <c r="K13" s="1191">
        <f t="shared" ref="K13" si="33">K12/J12-1</f>
        <v>4.3785478446505266E-2</v>
      </c>
      <c r="L13" s="1191">
        <f t="shared" ref="L13" si="34">L12/K12-1</f>
        <v>4.376473168012418E-2</v>
      </c>
      <c r="M13" s="1191"/>
      <c r="N13" s="1192"/>
      <c r="O13" s="1192"/>
      <c r="P13" s="1191"/>
      <c r="R13" s="1193">
        <v>6.5251816061471901E-2</v>
      </c>
      <c r="S13" s="1193">
        <v>4.4747299490681236E-2</v>
      </c>
      <c r="T13" s="1193">
        <v>3.865521736748323E-2</v>
      </c>
      <c r="U13" s="1193">
        <v>3.0386529809937057E-2</v>
      </c>
      <c r="V13" s="1193">
        <v>3.0347299575108178E-2</v>
      </c>
      <c r="W13" s="1193">
        <v>2.5233116865549743E-2</v>
      </c>
      <c r="X13" s="1193">
        <v>2.5194985067959808E-2</v>
      </c>
      <c r="Y13" s="1193">
        <v>2.515729363629049E-2</v>
      </c>
      <c r="AA13" s="1192"/>
      <c r="AB13" s="1192"/>
      <c r="AC13" s="1303"/>
      <c r="AD13" s="1303"/>
      <c r="AE13" s="1303"/>
      <c r="AF13" s="1303"/>
      <c r="AG13" s="1303"/>
      <c r="AH13" s="1303"/>
      <c r="AI13" s="1303"/>
    </row>
    <row r="14" spans="1:35">
      <c r="B14" s="1165" t="s">
        <v>501</v>
      </c>
      <c r="D14" s="1188">
        <f>'Income Statement'!BZ230</f>
        <v>804.5509999999997</v>
      </c>
      <c r="E14" s="1188">
        <f>'Income Statement'!CE230</f>
        <v>1955.1189999999974</v>
      </c>
      <c r="F14" s="1188">
        <f>'Income Statement'!CJ230</f>
        <v>2739.1946000000044</v>
      </c>
      <c r="G14" s="1188">
        <f>'Income Statement'!CO230</f>
        <v>4108.7919000000065</v>
      </c>
      <c r="H14" s="1188">
        <f>'Income Statement'!CP230</f>
        <v>4519.671090000008</v>
      </c>
      <c r="I14" s="1188">
        <f>'Income Statement'!CQ230</f>
        <v>4655.2612227000081</v>
      </c>
      <c r="J14" s="1188">
        <f>'Income Statement'!CR230</f>
        <v>4794.9190593810081</v>
      </c>
      <c r="K14" s="1188">
        <f>'Income Statement'!CS230</f>
        <v>4938.7666311624389</v>
      </c>
      <c r="L14" s="1188">
        <f>'Income Statement'!CT230</f>
        <v>5086.9296300973119</v>
      </c>
      <c r="M14" s="1188"/>
      <c r="N14" s="1194"/>
      <c r="O14" s="1194"/>
      <c r="P14" s="1188"/>
      <c r="Q14" s="1190">
        <v>804.5509999999997</v>
      </c>
      <c r="R14" s="1190">
        <v>1955.1189999999974</v>
      </c>
      <c r="S14" s="1190">
        <v>2739.1946000000044</v>
      </c>
      <c r="T14" s="1190">
        <v>2657.0187620000042</v>
      </c>
      <c r="U14" s="1190">
        <v>2577.308199140004</v>
      </c>
      <c r="V14" s="1190">
        <v>2499.9889531658037</v>
      </c>
      <c r="W14" s="1190">
        <v>2424.9892845708296</v>
      </c>
      <c r="X14" s="1190">
        <v>2352.2396060337046</v>
      </c>
      <c r="Y14" s="1190">
        <v>2281.6724178526933</v>
      </c>
      <c r="AA14" s="1194"/>
      <c r="AB14" s="1194"/>
      <c r="AC14" s="1303">
        <f t="shared" ref="AC14:AI14" si="35">(D14-Q14)/D14</f>
        <v>0</v>
      </c>
      <c r="AD14" s="1303">
        <f t="shared" si="35"/>
        <v>0</v>
      </c>
      <c r="AE14" s="1303">
        <f t="shared" si="35"/>
        <v>0</v>
      </c>
      <c r="AF14" s="1303">
        <f t="shared" si="35"/>
        <v>0.35333333333333333</v>
      </c>
      <c r="AG14" s="1303">
        <f t="shared" si="35"/>
        <v>0.42975757575757589</v>
      </c>
      <c r="AH14" s="1303">
        <f t="shared" si="35"/>
        <v>0.4629755810532511</v>
      </c>
      <c r="AI14" s="1303">
        <f t="shared" si="35"/>
        <v>0.49425855691422671</v>
      </c>
    </row>
    <row r="15" spans="1:35">
      <c r="B15" s="759" t="s">
        <v>0</v>
      </c>
      <c r="E15" s="1191">
        <f>E14/D14-1</f>
        <v>1.430074662762209</v>
      </c>
      <c r="F15" s="1191">
        <f t="shared" ref="F15" si="36">F14/E14-1</f>
        <v>0.40103727701485581</v>
      </c>
      <c r="G15" s="1191">
        <f t="shared" ref="G15" si="37">G14/F14-1</f>
        <v>0.5</v>
      </c>
      <c r="H15" s="1191">
        <f t="shared" ref="H15" si="38">H14/G14-1</f>
        <v>0.10000000000000009</v>
      </c>
      <c r="I15" s="1191">
        <f t="shared" ref="I15" si="39">I14/H14-1</f>
        <v>3.0000000000000027E-2</v>
      </c>
      <c r="J15" s="1191">
        <f t="shared" ref="J15" si="40">J14/I14-1</f>
        <v>3.0000000000000027E-2</v>
      </c>
      <c r="K15" s="1191">
        <f t="shared" ref="K15" si="41">K14/J14-1</f>
        <v>3.0000000000000027E-2</v>
      </c>
      <c r="L15" s="1191">
        <f t="shared" ref="L15" si="42">L14/K14-1</f>
        <v>3.0000000000000027E-2</v>
      </c>
      <c r="M15" s="1191"/>
      <c r="N15" s="1192"/>
      <c r="O15" s="1192"/>
      <c r="P15" s="1191"/>
      <c r="R15" s="1193">
        <v>1.430074662762209</v>
      </c>
      <c r="S15" s="1193">
        <v>0.40103727701485581</v>
      </c>
      <c r="T15" s="1193">
        <v>-3.0000000000000027E-2</v>
      </c>
      <c r="U15" s="1193">
        <v>-3.0000000000000027E-2</v>
      </c>
      <c r="V15" s="1193">
        <v>-3.0000000000000138E-2</v>
      </c>
      <c r="W15" s="1193">
        <v>-3.0000000000000027E-2</v>
      </c>
      <c r="X15" s="1193">
        <v>-3.0000000000000027E-2</v>
      </c>
      <c r="Y15" s="1193">
        <v>-3.0000000000000027E-2</v>
      </c>
      <c r="AA15" s="1192"/>
      <c r="AB15" s="1192"/>
      <c r="AC15" s="1303"/>
      <c r="AD15" s="1303"/>
      <c r="AE15" s="1303"/>
      <c r="AF15" s="1303"/>
      <c r="AG15" s="1303"/>
      <c r="AH15" s="1303"/>
      <c r="AI15" s="1303"/>
    </row>
    <row r="16" spans="1:35" s="330" customFormat="1">
      <c r="B16" s="1302" t="s">
        <v>826</v>
      </c>
      <c r="C16" s="1167"/>
      <c r="D16" s="1195">
        <f>'Income Statement'!BZ231</f>
        <v>27596.321</v>
      </c>
      <c r="E16" s="1195">
        <f>'Income Statement'!CE231</f>
        <v>30406.218999999997</v>
      </c>
      <c r="F16" s="1195">
        <f>'Income Statement'!CJ231</f>
        <v>32478.044600000001</v>
      </c>
      <c r="G16" s="1195">
        <f>'Income Statement'!CO231</f>
        <v>39423.026346314931</v>
      </c>
      <c r="H16" s="1195">
        <f>'Income Statement'!CP231</f>
        <v>43911.91263519082</v>
      </c>
      <c r="I16" s="1195">
        <f>'Income Statement'!CQ231</f>
        <v>45811.996866064161</v>
      </c>
      <c r="J16" s="1195">
        <f>'Income Statement'!CR231</f>
        <v>47791.259164538795</v>
      </c>
      <c r="K16" s="1195">
        <f>'Income Statement'!CS231</f>
        <v>49852.97541884995</v>
      </c>
      <c r="L16" s="1195">
        <f>'Income Statement'!CT231</f>
        <v>52000.557328840892</v>
      </c>
      <c r="M16" s="1195"/>
      <c r="N16" s="1199">
        <f>IFERROR((F16/D16)^(1/2)-1,"")</f>
        <v>8.4849124725975722E-2</v>
      </c>
      <c r="O16" s="1199">
        <f>IFERROR((L16/F16)^(1/6)-1,"")</f>
        <v>8.1607493399018072E-2</v>
      </c>
      <c r="P16" s="1195"/>
      <c r="Q16" s="1197">
        <v>27596.321</v>
      </c>
      <c r="R16" s="1197">
        <v>30406.218999999997</v>
      </c>
      <c r="S16" s="1197">
        <v>32478.044600000001</v>
      </c>
      <c r="T16" s="1197">
        <v>33558.553465059318</v>
      </c>
      <c r="U16" s="1197">
        <v>34445.328886113988</v>
      </c>
      <c r="V16" s="1197">
        <v>35381.681352530446</v>
      </c>
      <c r="W16" s="1197">
        <v>36193.545388159029</v>
      </c>
      <c r="X16" s="1197">
        <v>37029.7004410597</v>
      </c>
      <c r="Y16" s="1197">
        <v>37890.593791440668</v>
      </c>
      <c r="AA16" s="1199">
        <f>IFERROR((Y16/S16)^(1/6)-1,"")</f>
        <v>2.6022590304976001E-2</v>
      </c>
      <c r="AB16" s="1199"/>
      <c r="AC16" s="1212">
        <f t="shared" ref="AC16:AI16" si="43">(D16-Q16)/D16</f>
        <v>0</v>
      </c>
      <c r="AD16" s="1212">
        <f t="shared" si="43"/>
        <v>0</v>
      </c>
      <c r="AE16" s="1212">
        <f t="shared" si="43"/>
        <v>0</v>
      </c>
      <c r="AF16" s="1212">
        <f t="shared" si="43"/>
        <v>0.14875755173483263</v>
      </c>
      <c r="AG16" s="1212">
        <f t="shared" si="43"/>
        <v>0.21558122115342232</v>
      </c>
      <c r="AH16" s="1212">
        <f t="shared" si="43"/>
        <v>0.22767650892904229</v>
      </c>
      <c r="AI16" s="1212">
        <f t="shared" si="43"/>
        <v>0.24267437140441137</v>
      </c>
    </row>
    <row r="17" spans="1:35">
      <c r="B17" s="759" t="s">
        <v>0</v>
      </c>
      <c r="E17" s="1191">
        <f>E16/D16-1</f>
        <v>0.10182147105768191</v>
      </c>
      <c r="F17" s="1191">
        <f t="shared" ref="F17" si="44">F16/E16-1</f>
        <v>6.8138218697957997E-2</v>
      </c>
      <c r="G17" s="1191">
        <f t="shared" ref="G17" si="45">G16/F16-1</f>
        <v>0.21383620325205577</v>
      </c>
      <c r="H17" s="1191">
        <f t="shared" ref="H17" si="46">H16/G16-1</f>
        <v>0.11386457877289491</v>
      </c>
      <c r="I17" s="1191">
        <f t="shared" ref="I17" si="47">I16/H16-1</f>
        <v>4.3270359154217841E-2</v>
      </c>
      <c r="J17" s="1191">
        <f t="shared" ref="J17" si="48">J16/I16-1</f>
        <v>4.3204017154309993E-2</v>
      </c>
      <c r="K17" s="1191">
        <f t="shared" ref="K17" si="49">K16/J16-1</f>
        <v>4.3140027912069501E-2</v>
      </c>
      <c r="L17" s="1191">
        <f t="shared" ref="L17" si="50">L16/K16-1</f>
        <v>4.3078309608355347E-2</v>
      </c>
      <c r="M17" s="1191"/>
      <c r="N17" s="1192"/>
      <c r="O17" s="1192"/>
      <c r="P17" s="1191"/>
      <c r="R17" s="1193">
        <v>0.10182147105768191</v>
      </c>
      <c r="S17" s="1193">
        <v>6.8138218697957997E-2</v>
      </c>
      <c r="T17" s="1193">
        <v>3.3268901449175159E-2</v>
      </c>
      <c r="U17" s="1193">
        <v>2.642472125557993E-2</v>
      </c>
      <c r="V17" s="1193">
        <v>2.7183728438544108E-2</v>
      </c>
      <c r="W17" s="1193">
        <v>2.2945886249425396E-2</v>
      </c>
      <c r="X17" s="1193">
        <v>2.3102325122706047E-2</v>
      </c>
      <c r="Y17" s="1193">
        <v>2.3248725755998345E-2</v>
      </c>
      <c r="AA17" s="1192"/>
      <c r="AB17" s="1192"/>
      <c r="AC17" s="1303"/>
      <c r="AD17" s="1303"/>
      <c r="AE17" s="1303"/>
      <c r="AF17" s="1303"/>
      <c r="AG17" s="1303"/>
      <c r="AH17" s="1303"/>
      <c r="AI17" s="1303"/>
    </row>
    <row r="18" spans="1:35">
      <c r="B18" s="767" t="s">
        <v>825</v>
      </c>
      <c r="D18" s="1188">
        <f>'Income Statement'!BZ232</f>
        <v>1364.9469999999999</v>
      </c>
      <c r="E18" s="1188">
        <f>'Income Statement'!CE232</f>
        <v>1429.933</v>
      </c>
      <c r="F18" s="1188">
        <f>'Income Statement'!CJ232</f>
        <v>1139.7049999999999</v>
      </c>
      <c r="G18" s="1188">
        <f>'Income Statement'!CO232</f>
        <v>2200</v>
      </c>
      <c r="H18" s="1188">
        <f>'Income Statement'!CP232</f>
        <v>2450.5020733003689</v>
      </c>
      <c r="I18" s="1188">
        <f>'Income Statement'!CQ232</f>
        <v>2556.5361781202314</v>
      </c>
      <c r="J18" s="1188">
        <f>'Income Statement'!CR232</f>
        <v>2666.9888110153524</v>
      </c>
      <c r="K18" s="1188">
        <f>'Income Statement'!CS232</f>
        <v>2782.0427827637322</v>
      </c>
      <c r="L18" s="1188">
        <f>'Income Statement'!CT232</f>
        <v>2901.8884831033183</v>
      </c>
      <c r="M18" s="1188"/>
      <c r="N18" s="1194"/>
      <c r="O18" s="1194"/>
      <c r="P18" s="1188"/>
      <c r="Q18" s="1190">
        <v>1364.9469999999999</v>
      </c>
      <c r="R18" s="1190">
        <v>1429.933</v>
      </c>
      <c r="S18" s="1190">
        <v>1139.7049999999999</v>
      </c>
      <c r="T18" s="1190">
        <v>1177.6217333261322</v>
      </c>
      <c r="U18" s="1190">
        <v>1208.7400593737882</v>
      </c>
      <c r="V18" s="1190">
        <v>1241.5981209005947</v>
      </c>
      <c r="W18" s="1190">
        <v>1270.0876901502802</v>
      </c>
      <c r="X18" s="1190">
        <v>1299.4296689024789</v>
      </c>
      <c r="Y18" s="1190">
        <v>1329.6397529140004</v>
      </c>
      <c r="AA18" s="1194"/>
      <c r="AB18" s="1194"/>
      <c r="AC18" s="1303">
        <f t="shared" ref="AC18:AI18" si="51">(D18-Q18)/D18</f>
        <v>0</v>
      </c>
      <c r="AD18" s="1303">
        <f t="shared" si="51"/>
        <v>0</v>
      </c>
      <c r="AE18" s="1303">
        <f t="shared" si="51"/>
        <v>0</v>
      </c>
      <c r="AF18" s="1303">
        <f t="shared" si="51"/>
        <v>0.46471739394266715</v>
      </c>
      <c r="AG18" s="1303">
        <f t="shared" si="51"/>
        <v>0.50673779363677873</v>
      </c>
      <c r="AH18" s="1303">
        <f t="shared" si="51"/>
        <v>0.51434361401702655</v>
      </c>
      <c r="AI18" s="1303">
        <f t="shared" si="51"/>
        <v>0.52377464618355729</v>
      </c>
    </row>
    <row r="19" spans="1:35">
      <c r="B19" s="759" t="s">
        <v>0</v>
      </c>
      <c r="E19" s="1191">
        <f>E18/D18-1</f>
        <v>4.7610639827041057E-2</v>
      </c>
      <c r="F19" s="1191">
        <f t="shared" ref="F19" si="52">F18/E18-1</f>
        <v>-0.20296615295961429</v>
      </c>
      <c r="G19" s="1191">
        <f t="shared" ref="G19" si="53">G18/F18-1</f>
        <v>0.93032407508960668</v>
      </c>
      <c r="H19" s="1191">
        <f t="shared" ref="H19" si="54">H18/G18-1</f>
        <v>0.11386457877289491</v>
      </c>
      <c r="I19" s="1191">
        <f t="shared" ref="I19" si="55">I18/H18-1</f>
        <v>4.3270359154217841E-2</v>
      </c>
      <c r="J19" s="1191">
        <f t="shared" ref="J19" si="56">J18/I18-1</f>
        <v>4.3204017154310215E-2</v>
      </c>
      <c r="K19" s="1191">
        <f t="shared" ref="K19" si="57">K18/J18-1</f>
        <v>4.3140027912069723E-2</v>
      </c>
      <c r="L19" s="1191">
        <f t="shared" ref="L19" si="58">L18/K18-1</f>
        <v>4.3078309608355125E-2</v>
      </c>
      <c r="M19" s="1191"/>
      <c r="N19" s="1192"/>
      <c r="O19" s="1192"/>
      <c r="P19" s="1191"/>
      <c r="R19" s="1193">
        <v>4.7610639827041057E-2</v>
      </c>
      <c r="S19" s="1193">
        <v>-0.20296615295961429</v>
      </c>
      <c r="T19" s="1193">
        <v>3.3268901449175381E-2</v>
      </c>
      <c r="U19" s="1193">
        <v>2.642472125557993E-2</v>
      </c>
      <c r="V19" s="1193">
        <v>2.7183728438543886E-2</v>
      </c>
      <c r="W19" s="1193">
        <v>2.2945886249425396E-2</v>
      </c>
      <c r="X19" s="1193">
        <v>2.3102325122706269E-2</v>
      </c>
      <c r="Y19" s="1193">
        <v>2.3248725755998345E-2</v>
      </c>
      <c r="AA19" s="1192"/>
      <c r="AB19" s="1192"/>
      <c r="AC19" s="1303"/>
      <c r="AD19" s="1303"/>
      <c r="AE19" s="1303"/>
      <c r="AF19" s="1303"/>
      <c r="AG19" s="1303"/>
      <c r="AH19" s="1303"/>
      <c r="AI19" s="1303"/>
    </row>
    <row r="20" spans="1:35">
      <c r="B20" s="767" t="s">
        <v>807</v>
      </c>
      <c r="D20" s="1188">
        <f>'Income Statement'!BZ233</f>
        <v>-31.01</v>
      </c>
      <c r="E20" s="1188">
        <f>'Income Statement'!CE233</f>
        <v>-14.510999999999999</v>
      </c>
      <c r="F20" s="1188">
        <f>'Income Statement'!CJ233</f>
        <v>-1.341</v>
      </c>
      <c r="G20" s="1188">
        <f>'Income Statement'!CO233</f>
        <v>-1.6277543485610064</v>
      </c>
      <c r="H20" s="1188">
        <f>'Income Statement'!CP233</f>
        <v>-1.8130979118056534</v>
      </c>
      <c r="I20" s="1188">
        <f>'Income Statement'!CQ233</f>
        <v>-1.8915513096312464</v>
      </c>
      <c r="J20" s="1188">
        <f>'Income Statement'!CR233</f>
        <v>-1.9732739248608122</v>
      </c>
      <c r="K20" s="1188">
        <f>'Income Statement'!CS233</f>
        <v>-2.0584010170574669</v>
      </c>
      <c r="L20" s="1188">
        <f>'Income Statement'!CT233</f>
        <v>-2.1470734533684217</v>
      </c>
      <c r="M20" s="1188"/>
      <c r="N20" s="1194"/>
      <c r="O20" s="1194"/>
      <c r="P20" s="1188"/>
      <c r="Q20" s="1190">
        <v>-31.01</v>
      </c>
      <c r="R20" s="1190">
        <v>-14.510999999999999</v>
      </c>
      <c r="S20" s="1190">
        <v>-1.341</v>
      </c>
      <c r="T20" s="1190">
        <v>-1.3856135968433436</v>
      </c>
      <c r="U20" s="1190">
        <v>-1.4222280499078706</v>
      </c>
      <c r="V20" s="1190">
        <v>-1.4608895109942461</v>
      </c>
      <c r="W20" s="1190">
        <v>-1.4944109155364991</v>
      </c>
      <c r="X20" s="1190">
        <v>-1.5289352823741442</v>
      </c>
      <c r="Y20" s="1190">
        <v>-1.5644810794527304</v>
      </c>
      <c r="AA20" s="1194"/>
      <c r="AB20" s="1194"/>
      <c r="AC20" s="1303">
        <f t="shared" ref="AC20:AI21" si="59">(D20-Q20)/D20</f>
        <v>0</v>
      </c>
      <c r="AD20" s="1303">
        <f t="shared" si="59"/>
        <v>0</v>
      </c>
      <c r="AE20" s="1303">
        <f t="shared" si="59"/>
        <v>0</v>
      </c>
      <c r="AF20" s="1303">
        <f t="shared" si="59"/>
        <v>0.14875755173483268</v>
      </c>
      <c r="AG20" s="1303">
        <f t="shared" si="59"/>
        <v>0.21558122115342235</v>
      </c>
      <c r="AH20" s="1303">
        <f t="shared" si="59"/>
        <v>0.22767650892904237</v>
      </c>
      <c r="AI20" s="1303">
        <f t="shared" si="59"/>
        <v>0.24267437140441131</v>
      </c>
    </row>
    <row r="21" spans="1:35" s="1198" customFormat="1">
      <c r="A21" s="1164"/>
      <c r="B21" s="1166" t="s">
        <v>829</v>
      </c>
      <c r="C21" s="1167"/>
      <c r="D21" s="1195">
        <f>'Income Statement'!BZ234</f>
        <v>28930.258000000002</v>
      </c>
      <c r="E21" s="1195">
        <f>'Income Statement'!CE234</f>
        <v>31821.641</v>
      </c>
      <c r="F21" s="1195">
        <f>'Income Statement'!CJ234</f>
        <v>33616.408600000002</v>
      </c>
      <c r="G21" s="1195">
        <f>'Income Statement'!CO234</f>
        <v>41621.398591966368</v>
      </c>
      <c r="H21" s="1195">
        <f>'Income Statement'!CP234</f>
        <v>46360.601610579382</v>
      </c>
      <c r="I21" s="1195">
        <f>'Income Statement'!CQ234</f>
        <v>48366.641492874762</v>
      </c>
      <c r="J21" s="1195">
        <f>'Income Statement'!CR234</f>
        <v>50456.274701629292</v>
      </c>
      <c r="K21" s="1195">
        <f>'Income Statement'!CS234</f>
        <v>52632.959800596625</v>
      </c>
      <c r="L21" s="1195">
        <f>'Income Statement'!CT234</f>
        <v>54900.298738490848</v>
      </c>
      <c r="M21" s="1195"/>
      <c r="N21" s="1196"/>
      <c r="O21" s="1196"/>
      <c r="P21" s="1195"/>
      <c r="Q21" s="1197">
        <v>28930.258000000002</v>
      </c>
      <c r="R21" s="1197">
        <v>31821.641</v>
      </c>
      <c r="S21" s="1197">
        <v>33616.408600000002</v>
      </c>
      <c r="T21" s="1197">
        <v>34734.789584788603</v>
      </c>
      <c r="U21" s="1197">
        <v>35652.64671743787</v>
      </c>
      <c r="V21" s="1197">
        <v>36621.818583920045</v>
      </c>
      <c r="W21" s="1197">
        <v>37462.138667393774</v>
      </c>
      <c r="X21" s="1197">
        <v>38327.601174679803</v>
      </c>
      <c r="Y21" s="1197">
        <v>39218.669063275214</v>
      </c>
      <c r="AA21" s="1196"/>
      <c r="AB21" s="1196"/>
      <c r="AC21" s="1294">
        <f t="shared" si="59"/>
        <v>0</v>
      </c>
      <c r="AD21" s="1294">
        <f t="shared" si="59"/>
        <v>0</v>
      </c>
      <c r="AE21" s="1294">
        <f t="shared" si="59"/>
        <v>0</v>
      </c>
      <c r="AF21" s="1294">
        <f t="shared" si="59"/>
        <v>0.16545837574297653</v>
      </c>
      <c r="AG21" s="1294">
        <f t="shared" si="59"/>
        <v>0.23097100816521721</v>
      </c>
      <c r="AH21" s="1294">
        <f t="shared" si="59"/>
        <v>0.24282899424978538</v>
      </c>
      <c r="AI21" s="1294">
        <f t="shared" si="59"/>
        <v>0.25753260840352771</v>
      </c>
    </row>
    <row r="22" spans="1:35">
      <c r="B22" s="759" t="s">
        <v>0</v>
      </c>
      <c r="E22" s="1191">
        <f>E21/D21-1</f>
        <v>9.994321516247795E-2</v>
      </c>
      <c r="F22" s="1191">
        <f t="shared" ref="F22" si="60">F21/E21-1</f>
        <v>5.6400849975021705E-2</v>
      </c>
      <c r="G22" s="1191">
        <f t="shared" ref="G22" si="61">G21/F21-1</f>
        <v>0.23812745993236062</v>
      </c>
      <c r="H22" s="1191">
        <f t="shared" ref="H22" si="62">H21/G21-1</f>
        <v>0.11386457877289491</v>
      </c>
      <c r="I22" s="1191">
        <f t="shared" ref="I22" si="63">I21/H21-1</f>
        <v>4.3270359154217841E-2</v>
      </c>
      <c r="J22" s="1191">
        <f t="shared" ref="J22" si="64">J21/I21-1</f>
        <v>4.3204017154310215E-2</v>
      </c>
      <c r="K22" s="1191">
        <f t="shared" ref="K22" si="65">K21/J21-1</f>
        <v>4.3140027912069501E-2</v>
      </c>
      <c r="L22" s="1191">
        <f t="shared" ref="L22" si="66">L21/K21-1</f>
        <v>4.3078309608355347E-2</v>
      </c>
      <c r="M22" s="1191"/>
      <c r="N22" s="1192"/>
      <c r="O22" s="1192"/>
      <c r="P22" s="1191"/>
      <c r="R22" s="1193">
        <v>9.994321516247795E-2</v>
      </c>
      <c r="S22" s="1193">
        <v>5.6400849975021705E-2</v>
      </c>
      <c r="T22" s="1193">
        <v>3.3268901449174937E-2</v>
      </c>
      <c r="U22" s="1193">
        <v>2.6424721255580153E-2</v>
      </c>
      <c r="V22" s="1193">
        <v>2.7183728438543886E-2</v>
      </c>
      <c r="W22" s="1193">
        <v>2.2945886249425618E-2</v>
      </c>
      <c r="X22" s="1193">
        <v>2.3102325122706047E-2</v>
      </c>
      <c r="Y22" s="1193">
        <v>2.3248725755998345E-2</v>
      </c>
      <c r="AA22" s="1192"/>
      <c r="AB22" s="1192"/>
      <c r="AC22" s="1303"/>
      <c r="AD22" s="1303"/>
      <c r="AE22" s="1303"/>
      <c r="AF22" s="1303"/>
      <c r="AG22" s="1303"/>
      <c r="AH22" s="1303"/>
      <c r="AI22" s="1303"/>
    </row>
    <row r="23" spans="1:35">
      <c r="B23" s="759" t="s">
        <v>830</v>
      </c>
      <c r="D23" s="1188">
        <f>'Income Statement'!BZ235</f>
        <v>211.73600000000079</v>
      </c>
      <c r="E23" s="1188">
        <f>'Income Statement'!CE235</f>
        <v>501.01000000000386</v>
      </c>
      <c r="F23" s="1188">
        <f>'Income Statement'!CJ235</f>
        <v>775.18839999999909</v>
      </c>
      <c r="G23" s="1188">
        <f>'Income Statement'!CO235</f>
        <v>852.70723999999905</v>
      </c>
      <c r="H23" s="1188">
        <f>'Income Statement'!CP235</f>
        <v>920.923819199999</v>
      </c>
      <c r="I23" s="1188">
        <f>'Income Statement'!CQ235</f>
        <v>976.17924835199904</v>
      </c>
      <c r="J23" s="1188">
        <f>'Income Statement'!CR235</f>
        <v>1034.7500032531191</v>
      </c>
      <c r="K23" s="1188">
        <f>'Income Statement'!CS235</f>
        <v>1096.8350034483062</v>
      </c>
      <c r="L23" s="1188">
        <f>'Income Statement'!CT235</f>
        <v>1162.6451036552046</v>
      </c>
      <c r="M23" s="1188"/>
      <c r="N23" s="1194"/>
      <c r="O23" s="1194"/>
      <c r="P23" s="1188"/>
      <c r="Q23" s="1190">
        <v>211.73600000000079</v>
      </c>
      <c r="R23" s="1190">
        <v>501.01000000000386</v>
      </c>
      <c r="S23" s="1190">
        <v>775.18839999999909</v>
      </c>
      <c r="T23" s="1190">
        <v>852.70723999999905</v>
      </c>
      <c r="U23" s="1190">
        <v>920.923819199999</v>
      </c>
      <c r="V23" s="1190">
        <v>976.17924835199904</v>
      </c>
      <c r="W23" s="1190">
        <v>1034.7500032531191</v>
      </c>
      <c r="X23" s="1190">
        <v>1096.8350034483062</v>
      </c>
      <c r="Y23" s="1190">
        <v>1162.6451036552046</v>
      </c>
      <c r="AA23" s="1194"/>
      <c r="AB23" s="1194"/>
      <c r="AC23" s="1303">
        <f t="shared" ref="AC23:AI23" si="67">(D23-Q23)/D23</f>
        <v>0</v>
      </c>
      <c r="AD23" s="1303">
        <f t="shared" si="67"/>
        <v>0</v>
      </c>
      <c r="AE23" s="1303">
        <f t="shared" si="67"/>
        <v>0</v>
      </c>
      <c r="AF23" s="1303">
        <f t="shared" si="67"/>
        <v>0</v>
      </c>
      <c r="AG23" s="1303">
        <f t="shared" si="67"/>
        <v>0</v>
      </c>
      <c r="AH23" s="1303">
        <f t="shared" si="67"/>
        <v>0</v>
      </c>
      <c r="AI23" s="1303">
        <f t="shared" si="67"/>
        <v>0</v>
      </c>
    </row>
    <row r="24" spans="1:35">
      <c r="B24" s="759" t="s">
        <v>0</v>
      </c>
      <c r="E24" s="1191">
        <f>E23/D23-1</f>
        <v>1.3662013072883306</v>
      </c>
      <c r="F24" s="1191">
        <f t="shared" ref="F24" si="68">F23/E23-1</f>
        <v>0.54725135226840416</v>
      </c>
      <c r="G24" s="1191">
        <f t="shared" ref="G24" si="69">G23/F23-1</f>
        <v>0.10000000000000009</v>
      </c>
      <c r="H24" s="1191">
        <f t="shared" ref="H24" si="70">H23/G23-1</f>
        <v>8.0000000000000071E-2</v>
      </c>
      <c r="I24" s="1191">
        <f t="shared" ref="I24" si="71">I23/H23-1</f>
        <v>6.0000000000000053E-2</v>
      </c>
      <c r="J24" s="1191">
        <f t="shared" ref="J24" si="72">J23/I23-1</f>
        <v>6.0000000000000053E-2</v>
      </c>
      <c r="K24" s="1191">
        <f t="shared" ref="K24" si="73">K23/J23-1</f>
        <v>6.0000000000000053E-2</v>
      </c>
      <c r="L24" s="1191">
        <f t="shared" ref="L24" si="74">L23/K23-1</f>
        <v>6.0000000000000053E-2</v>
      </c>
      <c r="M24" s="1191"/>
      <c r="N24" s="1192"/>
      <c r="O24" s="1192"/>
      <c r="P24" s="1191"/>
      <c r="R24" s="1193">
        <v>1.3662013072883306</v>
      </c>
      <c r="S24" s="1193">
        <v>0.54725135226840416</v>
      </c>
      <c r="T24" s="1193">
        <v>0.10000000000000009</v>
      </c>
      <c r="U24" s="1193">
        <v>8.0000000000000071E-2</v>
      </c>
      <c r="V24" s="1193">
        <v>6.0000000000000053E-2</v>
      </c>
      <c r="W24" s="1193">
        <v>6.0000000000000053E-2</v>
      </c>
      <c r="X24" s="1193">
        <v>6.0000000000000053E-2</v>
      </c>
      <c r="Y24" s="1193">
        <v>6.0000000000000053E-2</v>
      </c>
      <c r="AA24" s="1192"/>
      <c r="AB24" s="1192"/>
      <c r="AC24" s="1303"/>
      <c r="AD24" s="1303"/>
      <c r="AE24" s="1303"/>
      <c r="AF24" s="1303"/>
      <c r="AG24" s="1303"/>
      <c r="AH24" s="1303"/>
      <c r="AI24" s="1303"/>
    </row>
    <row r="25" spans="1:35" s="1167" customFormat="1">
      <c r="A25" s="330"/>
      <c r="B25" s="1167" t="s">
        <v>767</v>
      </c>
      <c r="D25" s="1195">
        <f>'Income Statement'!BZ236</f>
        <v>29141.994000000002</v>
      </c>
      <c r="E25" s="1195">
        <f>'Income Statement'!CE236</f>
        <v>32322.651000000005</v>
      </c>
      <c r="F25" s="1195">
        <f>'Income Statement'!CJ236</f>
        <v>34391.597000000002</v>
      </c>
      <c r="G25" s="1195">
        <f>'Income Statement'!CO236</f>
        <v>42474.105831966364</v>
      </c>
      <c r="H25" s="1195">
        <f>'Income Statement'!CP236</f>
        <v>47281.52542977938</v>
      </c>
      <c r="I25" s="1195">
        <f>'Income Statement'!CQ236</f>
        <v>49342.820741226758</v>
      </c>
      <c r="J25" s="1195">
        <f>'Income Statement'!CR236</f>
        <v>51491.024704882409</v>
      </c>
      <c r="K25" s="1195">
        <f>'Income Statement'!CS236</f>
        <v>53729.794804044934</v>
      </c>
      <c r="L25" s="1195">
        <f>'Income Statement'!CT236</f>
        <v>56062.943842146051</v>
      </c>
      <c r="M25" s="1195"/>
      <c r="N25" s="1199">
        <f>IFERROR((F25/D25)^(1/2)-1,"")</f>
        <v>8.6341922030567453E-2</v>
      </c>
      <c r="O25" s="1199">
        <f>IFERROR((L25/F25)^(1/6)-1,"")</f>
        <v>8.4852246346437399E-2</v>
      </c>
      <c r="P25" s="1195"/>
      <c r="Q25" s="1197">
        <v>29141.994000000002</v>
      </c>
      <c r="R25" s="1197">
        <v>32322.651000000005</v>
      </c>
      <c r="S25" s="1197">
        <v>34391.597000000002</v>
      </c>
      <c r="T25" s="1197">
        <v>35587.496824788599</v>
      </c>
      <c r="U25" s="1197">
        <v>36573.570536637868</v>
      </c>
      <c r="V25" s="1197">
        <v>37597.997832272042</v>
      </c>
      <c r="W25" s="1197">
        <v>38496.888670646891</v>
      </c>
      <c r="X25" s="1197">
        <v>39424.436178128111</v>
      </c>
      <c r="Y25" s="1197">
        <v>40381.314166930417</v>
      </c>
      <c r="AA25" s="1199">
        <f>IFERROR((Y25/S25)^(1/6)-1,"")</f>
        <v>2.7120390350662049E-2</v>
      </c>
      <c r="AB25" s="1199"/>
      <c r="AC25" s="1200">
        <f t="shared" ref="AC25:AI25" si="75">(D25-Q25)/D25</f>
        <v>0</v>
      </c>
      <c r="AD25" s="1200">
        <f t="shared" si="75"/>
        <v>0</v>
      </c>
      <c r="AE25" s="1200">
        <f t="shared" si="75"/>
        <v>0</v>
      </c>
      <c r="AF25" s="1200">
        <f t="shared" si="75"/>
        <v>0.16213664472236744</v>
      </c>
      <c r="AG25" s="1200">
        <f t="shared" si="75"/>
        <v>0.22647228057488408</v>
      </c>
      <c r="AH25" s="1200">
        <f t="shared" si="75"/>
        <v>0.23802495950827796</v>
      </c>
      <c r="AI25" s="1200">
        <f t="shared" si="75"/>
        <v>0.25235730127164097</v>
      </c>
    </row>
    <row r="26" spans="1:35">
      <c r="B26" s="1164" t="s">
        <v>0</v>
      </c>
      <c r="E26" s="1201">
        <f>E25/D25-1</f>
        <v>0.10914342374787411</v>
      </c>
      <c r="F26" s="1201">
        <f t="shared" ref="F26:J26" si="76">F25/E25-1</f>
        <v>6.4009168059884658E-2</v>
      </c>
      <c r="G26" s="1201">
        <f t="shared" si="76"/>
        <v>0.23501405974158063</v>
      </c>
      <c r="H26" s="1201">
        <f t="shared" si="76"/>
        <v>0.11318471580854128</v>
      </c>
      <c r="I26" s="1201">
        <f t="shared" si="76"/>
        <v>4.3596209993451485E-2</v>
      </c>
      <c r="J26" s="1201">
        <f t="shared" si="76"/>
        <v>4.3536302371558477E-2</v>
      </c>
      <c r="K26" s="1201">
        <f t="shared" ref="K26" si="77">K25/J25-1</f>
        <v>4.3478841448463923E-2</v>
      </c>
      <c r="L26" s="1201">
        <f t="shared" ref="L26" si="78">L25/K25-1</f>
        <v>4.3423747412589586E-2</v>
      </c>
      <c r="M26" s="1201"/>
      <c r="N26" s="1202"/>
      <c r="O26" s="1202"/>
      <c r="P26" s="1201"/>
      <c r="R26" s="1203">
        <v>0.10914342374787411</v>
      </c>
      <c r="S26" s="1203">
        <v>6.4009168059884658E-2</v>
      </c>
      <c r="T26" s="1203">
        <v>3.4773023910131151E-2</v>
      </c>
      <c r="U26" s="1203">
        <v>2.770843132643197E-2</v>
      </c>
      <c r="V26" s="1203">
        <v>2.8010043334651957E-2</v>
      </c>
      <c r="W26" s="1203">
        <v>2.3907944310888052E-2</v>
      </c>
      <c r="X26" s="1203">
        <v>2.4094090185227346E-2</v>
      </c>
      <c r="Y26" s="1203">
        <v>2.427119019480517E-2</v>
      </c>
      <c r="AA26" s="1202"/>
      <c r="AB26" s="1202"/>
      <c r="AC26" s="1204">
        <f t="shared" ref="AC26" si="79">D26-Q26</f>
        <v>0</v>
      </c>
      <c r="AD26" s="1204">
        <f t="shared" ref="AD26:AI26" si="80">E26-R26</f>
        <v>0</v>
      </c>
      <c r="AE26" s="1204">
        <f t="shared" si="80"/>
        <v>0</v>
      </c>
      <c r="AF26" s="1204">
        <f t="shared" si="80"/>
        <v>0.20024103583144948</v>
      </c>
      <c r="AG26" s="1204">
        <f t="shared" si="80"/>
        <v>8.547628448210931E-2</v>
      </c>
      <c r="AH26" s="1204">
        <f t="shared" si="80"/>
        <v>1.5586166658799527E-2</v>
      </c>
      <c r="AI26" s="1204">
        <f t="shared" si="80"/>
        <v>1.9628358060670426E-2</v>
      </c>
    </row>
    <row r="27" spans="1:35">
      <c r="B27" s="889"/>
      <c r="G27" s="1188"/>
      <c r="H27" s="1188"/>
      <c r="I27" s="1188"/>
      <c r="J27" s="1188"/>
      <c r="K27" s="1188"/>
      <c r="L27" s="1188"/>
      <c r="M27" s="1188"/>
      <c r="N27" s="1194"/>
      <c r="O27" s="1194"/>
      <c r="P27" s="1188"/>
      <c r="T27" s="1190"/>
      <c r="U27" s="1190"/>
      <c r="V27" s="1190"/>
      <c r="W27" s="1190"/>
      <c r="X27" s="1190"/>
      <c r="Y27" s="1190"/>
      <c r="AA27" s="1194"/>
      <c r="AB27" s="1194"/>
    </row>
    <row r="28" spans="1:35" s="330" customFormat="1">
      <c r="B28" s="330" t="s">
        <v>2</v>
      </c>
      <c r="D28" s="1204">
        <f>'Income Statement'!BZ248</f>
        <v>14235</v>
      </c>
      <c r="E28" s="1204">
        <f>'Income Statement'!CE248</f>
        <v>15885</v>
      </c>
      <c r="F28" s="1204">
        <f>'Income Statement'!CJ248</f>
        <v>17879</v>
      </c>
      <c r="G28" s="1204">
        <f>'Income Statement'!CO248</f>
        <v>18547.777952688124</v>
      </c>
      <c r="H28" s="1204">
        <f>'Income Statement'!CP248</f>
        <v>22026.102884302556</v>
      </c>
      <c r="I28" s="1204">
        <f>'Income Statement'!CQ248</f>
        <v>24266.810115801967</v>
      </c>
      <c r="J28" s="1204">
        <f>'Income Statement'!CR248</f>
        <v>26620.859772424206</v>
      </c>
      <c r="K28" s="1204">
        <f>'Income Statement'!CS248</f>
        <v>27939.493298103363</v>
      </c>
      <c r="L28" s="1204">
        <f>'Income Statement'!CT248</f>
        <v>29320.919629442382</v>
      </c>
      <c r="M28" s="1204"/>
      <c r="N28" s="1205">
        <f>IFERROR((F28/D28)^(1/2)-1,"")</f>
        <v>0.12070904346237388</v>
      </c>
      <c r="O28" s="1205">
        <f>IFERROR((L28/F28)^(1/6)-1,"")</f>
        <v>8.5939741875233677E-2</v>
      </c>
      <c r="P28" s="1204"/>
      <c r="Q28" s="1206">
        <v>14235</v>
      </c>
      <c r="R28" s="1206">
        <v>15885</v>
      </c>
      <c r="S28" s="1206">
        <v>17879</v>
      </c>
      <c r="T28" s="1206">
        <v>18390.98762598521</v>
      </c>
      <c r="U28" s="1206">
        <v>18937.146614181722</v>
      </c>
      <c r="V28" s="1206">
        <v>19505.174909311878</v>
      </c>
      <c r="W28" s="1206">
        <v>20010.000433488483</v>
      </c>
      <c r="X28" s="1206">
        <v>20531.547624717517</v>
      </c>
      <c r="Y28" s="1206">
        <v>21070.254036277667</v>
      </c>
      <c r="AA28" s="1205">
        <f>IFERROR((Y28/S28)^(1/6)-1,"")</f>
        <v>2.7750644737749353E-2</v>
      </c>
      <c r="AB28" s="1205"/>
      <c r="AC28" s="1207">
        <f>(D28-Q28)/D28</f>
        <v>0</v>
      </c>
      <c r="AD28" s="1207">
        <f t="shared" ref="AD28" si="81">(E28-R28)/E28</f>
        <v>0</v>
      </c>
      <c r="AE28" s="1207">
        <f t="shared" ref="AE28" si="82">(F28-S28)/F28</f>
        <v>0</v>
      </c>
      <c r="AF28" s="1207">
        <f t="shared" ref="AF28" si="83">(G28-T28)/G28</f>
        <v>8.453321314437592E-3</v>
      </c>
      <c r="AG28" s="1207">
        <f t="shared" ref="AG28" si="84">(H28-U28)/H28</f>
        <v>0.14024070832440608</v>
      </c>
      <c r="AH28" s="1207">
        <f t="shared" ref="AH28" si="85">(I28-V28)/I28</f>
        <v>0.19622007110812748</v>
      </c>
      <c r="AI28" s="1207">
        <f t="shared" ref="AI28" si="86">(J28-W28)/J28</f>
        <v>0.24833380271901379</v>
      </c>
    </row>
    <row r="29" spans="1:35" s="330" customFormat="1">
      <c r="B29" s="341" t="s">
        <v>0</v>
      </c>
      <c r="C29" s="341"/>
      <c r="D29" s="1204"/>
      <c r="E29" s="1201">
        <f>E28/D28-1</f>
        <v>0.11591148577449939</v>
      </c>
      <c r="F29" s="1201">
        <f t="shared" ref="F29:J29" si="87">F28/E28-1</f>
        <v>0.12552722694365759</v>
      </c>
      <c r="G29" s="1201">
        <f t="shared" si="87"/>
        <v>3.7405780674988787E-2</v>
      </c>
      <c r="H29" s="1201">
        <f t="shared" si="87"/>
        <v>0.18753324201351673</v>
      </c>
      <c r="I29" s="1201">
        <f t="shared" si="87"/>
        <v>0.1017296270370327</v>
      </c>
      <c r="J29" s="1201">
        <f t="shared" si="87"/>
        <v>9.7006967351235707E-2</v>
      </c>
      <c r="K29" s="1201">
        <f t="shared" ref="K29" si="88">K28/J28-1</f>
        <v>4.9533844396907556E-2</v>
      </c>
      <c r="L29" s="1201">
        <f t="shared" ref="L29" si="89">L28/K28-1</f>
        <v>4.9443499801508306E-2</v>
      </c>
      <c r="M29" s="1201"/>
      <c r="N29" s="1202"/>
      <c r="O29" s="1202"/>
      <c r="P29" s="1201"/>
      <c r="Q29" s="1206"/>
      <c r="R29" s="1203">
        <v>0.11591148577449939</v>
      </c>
      <c r="S29" s="1203">
        <v>0.12552722694365759</v>
      </c>
      <c r="T29" s="1203">
        <v>2.8636256277488004E-2</v>
      </c>
      <c r="U29" s="1203">
        <v>2.9697099432812735E-2</v>
      </c>
      <c r="V29" s="1203">
        <v>2.999545320649144E-2</v>
      </c>
      <c r="W29" s="1203">
        <v>2.5881619955922419E-2</v>
      </c>
      <c r="X29" s="1203">
        <v>2.6064326833105778E-2</v>
      </c>
      <c r="Y29" s="1203">
        <v>2.623798368280883E-2</v>
      </c>
      <c r="AA29" s="1202"/>
      <c r="AB29" s="1202"/>
      <c r="AC29" s="1204"/>
      <c r="AD29" s="1204"/>
      <c r="AE29" s="1204"/>
      <c r="AF29" s="1204"/>
      <c r="AG29" s="1204"/>
      <c r="AH29" s="1204"/>
      <c r="AI29" s="1204"/>
    </row>
    <row r="30" spans="1:35" s="330" customFormat="1">
      <c r="B30" s="342" t="s">
        <v>4</v>
      </c>
      <c r="C30" s="342"/>
      <c r="D30" s="1208">
        <f>D28/D$25</f>
        <v>0.48847034969535713</v>
      </c>
      <c r="E30" s="1208">
        <f t="shared" ref="E30:J30" si="90">E28/E$25</f>
        <v>0.49145102609312574</v>
      </c>
      <c r="F30" s="1208">
        <f t="shared" si="90"/>
        <v>0.51986536129741223</v>
      </c>
      <c r="G30" s="1208">
        <f t="shared" si="90"/>
        <v>0.43668436543586781</v>
      </c>
      <c r="H30" s="1208">
        <f t="shared" si="90"/>
        <v>0.46585009015867812</v>
      </c>
      <c r="I30" s="1208">
        <f t="shared" si="90"/>
        <v>0.49180022040220817</v>
      </c>
      <c r="J30" s="1208">
        <f t="shared" si="90"/>
        <v>0.51700000000000002</v>
      </c>
      <c r="K30" s="1208">
        <f t="shared" ref="K30:L30" si="91">K28/K$25</f>
        <v>0.51999999999999991</v>
      </c>
      <c r="L30" s="1208">
        <f t="shared" si="91"/>
        <v>0.52299999999999991</v>
      </c>
      <c r="M30" s="1208"/>
      <c r="N30" s="1209"/>
      <c r="O30" s="1209"/>
      <c r="P30" s="1208"/>
      <c r="Q30" s="1210">
        <v>0.48847034969535713</v>
      </c>
      <c r="R30" s="1210">
        <v>0.49145102609312574</v>
      </c>
      <c r="S30" s="1210">
        <v>0.51986536129741223</v>
      </c>
      <c r="T30" s="1210">
        <v>0.51678227655435716</v>
      </c>
      <c r="U30" s="1210">
        <v>0.51778227655435727</v>
      </c>
      <c r="V30" s="1210">
        <v>0.51878227655435727</v>
      </c>
      <c r="W30" s="1210">
        <v>0.51978227655435716</v>
      </c>
      <c r="X30" s="1210">
        <v>0.52078227655435716</v>
      </c>
      <c r="Y30" s="1210">
        <v>0.52178227655435716</v>
      </c>
      <c r="AA30" s="1209"/>
      <c r="AB30" s="1209"/>
      <c r="AC30" s="1204"/>
      <c r="AD30" s="1204"/>
      <c r="AE30" s="1204"/>
      <c r="AF30" s="1204"/>
      <c r="AG30" s="1204"/>
      <c r="AH30" s="1204"/>
      <c r="AI30" s="1204"/>
    </row>
    <row r="31" spans="1:35">
      <c r="B31" s="330"/>
      <c r="C31" s="330"/>
      <c r="G31" s="1188"/>
      <c r="H31" s="1188"/>
      <c r="I31" s="1188"/>
      <c r="J31" s="1188"/>
      <c r="K31" s="1188"/>
      <c r="L31" s="1188"/>
      <c r="M31" s="1188"/>
      <c r="N31" s="1194"/>
      <c r="O31" s="1194"/>
      <c r="P31" s="1188"/>
      <c r="T31" s="1190"/>
      <c r="U31" s="1190"/>
      <c r="V31" s="1190"/>
      <c r="W31" s="1190"/>
      <c r="X31" s="1190"/>
      <c r="Y31" s="1190"/>
      <c r="AA31" s="1194"/>
      <c r="AB31" s="1194"/>
    </row>
    <row r="32" spans="1:35" s="1167" customFormat="1">
      <c r="A32" s="330"/>
      <c r="B32" s="1167" t="s">
        <v>111</v>
      </c>
      <c r="D32" s="1195">
        <f>'Income Statement'!BZ271</f>
        <v>1121.1880000000001</v>
      </c>
      <c r="E32" s="1195">
        <f>'Income Statement'!CE271</f>
        <v>1284.4479999999999</v>
      </c>
      <c r="F32" s="1195">
        <f>'Income Statement'!CJ271</f>
        <v>1847.6309999999999</v>
      </c>
      <c r="G32" s="1195">
        <f>'Income Statement'!CO271</f>
        <v>-2284.2333262787533</v>
      </c>
      <c r="H32" s="1195">
        <f>'Income Statement'!CP271</f>
        <v>736.32068869677698</v>
      </c>
      <c r="I32" s="1195">
        <f>'Income Statement'!CQ271</f>
        <v>2202.5305303360401</v>
      </c>
      <c r="J32" s="1195">
        <f>'Income Statement'!CR271</f>
        <v>4360.0040675784803</v>
      </c>
      <c r="K32" s="1195">
        <f>'Income Statement'!CS271</f>
        <v>5570.065627360118</v>
      </c>
      <c r="L32" s="1195">
        <f>'Income Statement'!CT271</f>
        <v>6701.2555973886965</v>
      </c>
      <c r="M32" s="1195"/>
      <c r="N32" s="1211">
        <f>IFERROR((F32/D32)^(1/2)-1,"")</f>
        <v>0.28371436102911418</v>
      </c>
      <c r="O32" s="1211">
        <f>IFERROR((L32/F32)^(1/6)-1,"")</f>
        <v>0.23952937619212844</v>
      </c>
      <c r="P32" s="1195"/>
      <c r="Q32" s="1197">
        <v>1121.1880000000001</v>
      </c>
      <c r="R32" s="1197">
        <v>1284.4479999999999</v>
      </c>
      <c r="S32" s="1197">
        <v>1847.6309999999999</v>
      </c>
      <c r="T32" s="1197">
        <v>2344.0463049210548</v>
      </c>
      <c r="U32" s="1197">
        <v>2972.7962407648542</v>
      </c>
      <c r="V32" s="1197">
        <v>3575.7915600271904</v>
      </c>
      <c r="W32" s="1197">
        <v>4072.8516293493694</v>
      </c>
      <c r="X32" s="1197">
        <v>4542.6186922143261</v>
      </c>
      <c r="Y32" s="1197">
        <v>4980.7155127122423</v>
      </c>
      <c r="AA32" s="1211">
        <f>IFERROR((Y32/S32)^(1/6)-1,"")</f>
        <v>0.17972128725261394</v>
      </c>
      <c r="AB32" s="1211"/>
      <c r="AC32" s="1212">
        <f>(D32-Q32)/D32</f>
        <v>0</v>
      </c>
      <c r="AD32" s="1212">
        <f t="shared" ref="AD32" si="92">(E32-R32)/E32</f>
        <v>0</v>
      </c>
      <c r="AE32" s="1212">
        <f t="shared" ref="AE32" si="93">(F32-S32)/F32</f>
        <v>0</v>
      </c>
      <c r="AF32" s="1212">
        <f>(G32-T32)/G32</f>
        <v>2.0261851440280592</v>
      </c>
      <c r="AG32" s="1212">
        <f>(H32-U32)/H32</f>
        <v>-3.0373661726474683</v>
      </c>
      <c r="AH32" s="1212">
        <f>(I32-V32)/I32</f>
        <v>-0.62349239239904286</v>
      </c>
      <c r="AI32" s="1212">
        <f>(J32-W32)/J32</f>
        <v>6.5860589526604174E-2</v>
      </c>
    </row>
    <row r="33" spans="1:35">
      <c r="B33" s="341" t="s">
        <v>0</v>
      </c>
      <c r="C33" s="341"/>
      <c r="D33" s="1208">
        <f>D32/D$25</f>
        <v>3.8473276742833726E-2</v>
      </c>
      <c r="E33" s="1208">
        <f t="shared" ref="E33:F33" si="94">E32/E$25</f>
        <v>3.9738324681351155E-2</v>
      </c>
      <c r="F33" s="1208">
        <f t="shared" si="94"/>
        <v>5.3723326660288555E-2</v>
      </c>
      <c r="G33" s="1208">
        <f t="shared" ref="G33:L33" si="95">G32/G$25</f>
        <v>-5.3779432940048388E-2</v>
      </c>
      <c r="H33" s="1208">
        <f t="shared" si="95"/>
        <v>1.5573116180236843E-2</v>
      </c>
      <c r="I33" s="1208">
        <f t="shared" si="95"/>
        <v>4.4637304824687266E-2</v>
      </c>
      <c r="J33" s="1208">
        <f t="shared" si="95"/>
        <v>8.46750301157837E-2</v>
      </c>
      <c r="K33" s="1208">
        <f t="shared" si="95"/>
        <v>0.10366809789008886</v>
      </c>
      <c r="L33" s="1208">
        <f t="shared" si="95"/>
        <v>0.11953092610079709</v>
      </c>
      <c r="M33" s="1208"/>
      <c r="N33" s="1209"/>
      <c r="O33" s="1209"/>
      <c r="P33" s="1208"/>
      <c r="Q33" s="1210">
        <v>3.8473276742833726E-2</v>
      </c>
      <c r="R33" s="1210">
        <v>3.9738324681351155E-2</v>
      </c>
      <c r="S33" s="1210">
        <v>5.3723326660288555E-2</v>
      </c>
      <c r="T33" s="1210">
        <v>6.5867130707779956E-2</v>
      </c>
      <c r="U33" s="1210">
        <v>8.128263653631608E-2</v>
      </c>
      <c r="V33" s="1210">
        <v>9.5105903670166414E-2</v>
      </c>
      <c r="W33" s="1210">
        <v>0.10579690385355317</v>
      </c>
      <c r="X33" s="1210">
        <v>0.11522342822329264</v>
      </c>
      <c r="Y33" s="1210">
        <v>0.12334208570138892</v>
      </c>
      <c r="AA33" s="1209"/>
      <c r="AB33" s="1209"/>
      <c r="AC33" s="1204"/>
      <c r="AD33" s="1204"/>
      <c r="AE33" s="1204"/>
      <c r="AF33" s="1204"/>
      <c r="AG33" s="1204"/>
      <c r="AH33" s="1204"/>
      <c r="AI33" s="1204"/>
    </row>
    <row r="34" spans="1:35">
      <c r="B34" s="342" t="s">
        <v>768</v>
      </c>
      <c r="C34" s="342"/>
      <c r="D34" s="1208">
        <f t="shared" ref="D34:F34" si="96">D32/D$25</f>
        <v>3.8473276742833726E-2</v>
      </c>
      <c r="E34" s="1208">
        <f t="shared" si="96"/>
        <v>3.9738324681351155E-2</v>
      </c>
      <c r="F34" s="1208">
        <f t="shared" si="96"/>
        <v>5.3723326660288555E-2</v>
      </c>
      <c r="G34" s="1208">
        <f t="shared" ref="G34:L34" si="97">G32/G$25</f>
        <v>-5.3779432940048388E-2</v>
      </c>
      <c r="H34" s="1208">
        <f t="shared" si="97"/>
        <v>1.5573116180236843E-2</v>
      </c>
      <c r="I34" s="1208">
        <f t="shared" si="97"/>
        <v>4.4637304824687266E-2</v>
      </c>
      <c r="J34" s="1208">
        <f t="shared" si="97"/>
        <v>8.46750301157837E-2</v>
      </c>
      <c r="K34" s="1208">
        <f t="shared" si="97"/>
        <v>0.10366809789008886</v>
      </c>
      <c r="L34" s="1208">
        <f t="shared" si="97"/>
        <v>0.11953092610079709</v>
      </c>
      <c r="M34" s="1208"/>
      <c r="N34" s="1209"/>
      <c r="O34" s="1209"/>
      <c r="P34" s="1208"/>
      <c r="Q34" s="1210">
        <v>3.8473276742833726E-2</v>
      </c>
      <c r="R34" s="1210">
        <v>3.9738324681351155E-2</v>
      </c>
      <c r="S34" s="1210">
        <v>5.3723326660288555E-2</v>
      </c>
      <c r="T34" s="1210">
        <v>6.5867130707779956E-2</v>
      </c>
      <c r="U34" s="1210">
        <v>8.128263653631608E-2</v>
      </c>
      <c r="V34" s="1210">
        <v>9.5105903670166414E-2</v>
      </c>
      <c r="W34" s="1210">
        <v>0.10579690385355317</v>
      </c>
      <c r="X34" s="1210">
        <v>0.11522342822329264</v>
      </c>
      <c r="Y34" s="1210">
        <v>0.12334208570138892</v>
      </c>
      <c r="AA34" s="1209"/>
      <c r="AB34" s="1209"/>
      <c r="AC34" s="1204"/>
      <c r="AD34" s="1204"/>
      <c r="AE34" s="1204"/>
      <c r="AF34" s="1204"/>
      <c r="AG34" s="1204"/>
      <c r="AH34" s="1204"/>
      <c r="AI34" s="1204"/>
    </row>
    <row r="35" spans="1:35">
      <c r="B35" s="342"/>
      <c r="C35" s="342"/>
      <c r="AA35" s="1185"/>
      <c r="AB35" s="1185"/>
    </row>
    <row r="36" spans="1:35">
      <c r="B36" s="330" t="s">
        <v>248</v>
      </c>
      <c r="C36" s="330"/>
      <c r="D36" s="1188">
        <f>'Balance Sheet and Cflow'!R75</f>
        <v>9063</v>
      </c>
      <c r="E36" s="1188">
        <f>'Balance Sheet and Cflow'!S75</f>
        <v>7158</v>
      </c>
      <c r="F36" s="1188">
        <f>'Balance Sheet and Cflow'!T75</f>
        <v>7382</v>
      </c>
      <c r="G36" s="1188">
        <f>'Balance Sheet and Cflow'!V75</f>
        <v>20387.570799343855</v>
      </c>
      <c r="H36" s="1188">
        <f>'Balance Sheet and Cflow'!W75</f>
        <v>10401.935594551464</v>
      </c>
      <c r="I36" s="1188">
        <f>'Balance Sheet and Cflow'!X75</f>
        <v>10361.99235565762</v>
      </c>
      <c r="J36" s="1188">
        <f>'Balance Sheet and Cflow'!Y75</f>
        <v>10813.115188025306</v>
      </c>
      <c r="K36" s="1188">
        <f>'Balance Sheet and Cflow'!Z75</f>
        <v>11283.256908849437</v>
      </c>
      <c r="L36" s="1188">
        <f>'Balance Sheet and Cflow'!AA75</f>
        <v>12053.5329260614</v>
      </c>
      <c r="M36" s="1188"/>
      <c r="N36" s="1205">
        <f>IFERROR((F36/D36)^(1/2)-1,"")</f>
        <v>-9.7492061987819789E-2</v>
      </c>
      <c r="O36" s="1205">
        <f>IFERROR((L36/F36)^(1/6)-1,"")</f>
        <v>8.5150695135197241E-2</v>
      </c>
      <c r="P36" s="1188"/>
      <c r="Q36" s="1190">
        <v>9063</v>
      </c>
      <c r="R36" s="1190">
        <v>7158</v>
      </c>
      <c r="S36" s="1190">
        <v>7382</v>
      </c>
      <c r="T36" s="1190">
        <v>7117.49936495772</v>
      </c>
      <c r="U36" s="1190">
        <v>7314.7141073275743</v>
      </c>
      <c r="V36" s="1190">
        <v>7519.5995664544089</v>
      </c>
      <c r="W36" s="1190">
        <v>7699.377734129379</v>
      </c>
      <c r="X36" s="1190">
        <v>7884.8872356256225</v>
      </c>
      <c r="Y36" s="1190">
        <v>8480.075975055388</v>
      </c>
      <c r="AA36" s="1205">
        <f>IFERROR((Y36/S36)^(1/6)-1,"")</f>
        <v>2.338163015965522E-2</v>
      </c>
      <c r="AB36" s="1205"/>
      <c r="AC36" s="1213">
        <f>(D36-Q36)/D36</f>
        <v>0</v>
      </c>
      <c r="AD36" s="1213">
        <f t="shared" ref="AD36" si="98">(E36-R36)/E36</f>
        <v>0</v>
      </c>
      <c r="AE36" s="1213">
        <f t="shared" ref="AE36" si="99">(F36-S36)/F36</f>
        <v>0</v>
      </c>
      <c r="AF36" s="1213">
        <f t="shared" ref="AF36" si="100">(G36-T36)/G36</f>
        <v>0.65089026863431976</v>
      </c>
      <c r="AG36" s="1213">
        <f t="shared" ref="AG36" si="101">(H36-U36)/H36</f>
        <v>0.29679298234080365</v>
      </c>
      <c r="AH36" s="1213">
        <f t="shared" ref="AH36" si="102">(I36-V36)/I36</f>
        <v>0.27430948524597898</v>
      </c>
      <c r="AI36" s="1213">
        <f t="shared" ref="AI36" si="103">(J36-W36)/J36</f>
        <v>0.28795933454441985</v>
      </c>
    </row>
    <row r="37" spans="1:35">
      <c r="B37" s="341" t="s">
        <v>0</v>
      </c>
      <c r="C37" s="341"/>
      <c r="E37" s="1214">
        <f>E36/D36-1</f>
        <v>-0.21019529956967886</v>
      </c>
      <c r="F37" s="1214">
        <f t="shared" ref="F37:J37" si="104">F36/E36-1</f>
        <v>3.1293657446213929E-2</v>
      </c>
      <c r="G37" s="1214">
        <f t="shared" si="104"/>
        <v>1.7617950148122263</v>
      </c>
      <c r="H37" s="1214">
        <f t="shared" si="104"/>
        <v>-0.48979033858775201</v>
      </c>
      <c r="I37" s="1214">
        <f t="shared" si="104"/>
        <v>-3.8399813698871688E-3</v>
      </c>
      <c r="J37" s="1214">
        <f t="shared" si="104"/>
        <v>4.3536302371558255E-2</v>
      </c>
      <c r="K37" s="1214">
        <f t="shared" ref="K37" si="105">K36/J36-1</f>
        <v>4.3478841448464145E-2</v>
      </c>
      <c r="L37" s="1214">
        <f t="shared" ref="L37" si="106">L36/K36-1</f>
        <v>6.8267169970032127E-2</v>
      </c>
      <c r="M37" s="1214"/>
      <c r="N37" s="1215"/>
      <c r="O37" s="1215"/>
      <c r="P37" s="1214"/>
      <c r="R37" s="1216">
        <v>-0.21019529956967886</v>
      </c>
      <c r="S37" s="1216">
        <v>3.1293657446213929E-2</v>
      </c>
      <c r="T37" s="1216">
        <v>-3.5830484291828779E-2</v>
      </c>
      <c r="U37" s="1216">
        <v>2.770843132643197E-2</v>
      </c>
      <c r="V37" s="1216">
        <v>2.8010043334651957E-2</v>
      </c>
      <c r="W37" s="1216">
        <v>2.3907944310888052E-2</v>
      </c>
      <c r="X37" s="1216">
        <v>2.4094090185227124E-2</v>
      </c>
      <c r="Y37" s="1216">
        <v>7.548474970454544E-2</v>
      </c>
      <c r="AC37" s="1204"/>
      <c r="AD37" s="1204"/>
      <c r="AE37" s="1204"/>
      <c r="AF37" s="1204"/>
      <c r="AG37" s="1204"/>
      <c r="AH37" s="1204"/>
      <c r="AI37" s="1204"/>
    </row>
    <row r="38" spans="1:35">
      <c r="B38" s="343" t="s">
        <v>181</v>
      </c>
      <c r="C38" s="343"/>
      <c r="D38" s="1214">
        <f>D36/D$25</f>
        <v>0.31099450504313464</v>
      </c>
      <c r="E38" s="1214">
        <f t="shared" ref="E38:J38" si="107">E36/E$25</f>
        <v>0.22145460779191653</v>
      </c>
      <c r="F38" s="1214">
        <f t="shared" si="107"/>
        <v>0.21464545540005017</v>
      </c>
      <c r="G38" s="1214">
        <f t="shared" si="107"/>
        <v>0.48000000000000004</v>
      </c>
      <c r="H38" s="1214">
        <f t="shared" si="107"/>
        <v>0.22</v>
      </c>
      <c r="I38" s="1214">
        <f t="shared" si="107"/>
        <v>0.21</v>
      </c>
      <c r="J38" s="1214">
        <f t="shared" si="107"/>
        <v>0.21</v>
      </c>
      <c r="K38" s="1214">
        <f t="shared" ref="K38:L38" si="108">K36/K$25</f>
        <v>0.21000000000000002</v>
      </c>
      <c r="L38" s="1214">
        <f t="shared" si="108"/>
        <v>0.21499999999999997</v>
      </c>
      <c r="M38" s="1214"/>
      <c r="N38" s="1215"/>
      <c r="O38" s="1215"/>
      <c r="P38" s="1214"/>
      <c r="Q38" s="1216">
        <v>0.31099450504313464</v>
      </c>
      <c r="R38" s="1216">
        <v>0.22145460779191653</v>
      </c>
      <c r="S38" s="1216">
        <v>0.21464545540005017</v>
      </c>
      <c r="T38" s="1216">
        <v>0.2</v>
      </c>
      <c r="U38" s="1216">
        <v>0.2</v>
      </c>
      <c r="V38" s="1216">
        <v>0.2</v>
      </c>
      <c r="W38" s="1216">
        <v>0.2</v>
      </c>
      <c r="X38" s="1216">
        <v>0.2</v>
      </c>
      <c r="Y38" s="1216">
        <v>0.21000000000000002</v>
      </c>
      <c r="AC38" s="1204"/>
      <c r="AD38" s="1204"/>
      <c r="AE38" s="1204"/>
      <c r="AF38" s="1204"/>
      <c r="AG38" s="1204"/>
      <c r="AH38" s="1204"/>
      <c r="AI38" s="1204"/>
    </row>
    <row r="40" spans="1:35">
      <c r="B40" s="344" t="s">
        <v>769</v>
      </c>
      <c r="C40" s="344"/>
    </row>
    <row r="41" spans="1:35">
      <c r="B41" s="345" t="s">
        <v>770</v>
      </c>
      <c r="C41" s="345"/>
    </row>
    <row r="42" spans="1:35">
      <c r="B42" s="345" t="s">
        <v>771</v>
      </c>
      <c r="C42" s="345"/>
    </row>
    <row r="43" spans="1:35">
      <c r="B43" s="345" t="s">
        <v>288</v>
      </c>
      <c r="C43" s="345"/>
    </row>
    <row r="44" spans="1:35">
      <c r="B44" s="345" t="s">
        <v>772</v>
      </c>
      <c r="C44" s="345"/>
    </row>
    <row r="47" spans="1:35">
      <c r="A47" s="1164" t="s">
        <v>615</v>
      </c>
      <c r="B47" s="1163" t="s">
        <v>577</v>
      </c>
      <c r="C47" s="1163"/>
      <c r="D47" s="1217"/>
      <c r="E47" s="1217"/>
      <c r="F47" s="1217"/>
      <c r="G47" s="1184"/>
      <c r="H47" s="1184"/>
      <c r="I47" s="1184"/>
      <c r="J47" s="1184"/>
      <c r="K47" s="1184"/>
      <c r="L47" s="1184"/>
      <c r="Q47" s="1218"/>
      <c r="R47" s="1218"/>
      <c r="S47" s="1218"/>
      <c r="T47" s="1186"/>
      <c r="U47" s="1186"/>
      <c r="V47" s="1186"/>
      <c r="W47" s="1186"/>
      <c r="X47" s="1186"/>
      <c r="Y47" s="1186"/>
      <c r="AC47" s="1184"/>
      <c r="AD47" s="1184"/>
      <c r="AE47" s="1184"/>
      <c r="AF47" s="1184"/>
      <c r="AG47" s="1184"/>
      <c r="AH47" s="1184"/>
      <c r="AI47" s="1184"/>
    </row>
    <row r="49" spans="1:35">
      <c r="B49" s="1168" t="s">
        <v>766</v>
      </c>
      <c r="C49" s="1169"/>
    </row>
    <row r="50" spans="1:35">
      <c r="B50" s="1169" t="s">
        <v>437</v>
      </c>
      <c r="C50" s="1169"/>
      <c r="D50" s="1164"/>
      <c r="Q50" s="1187"/>
    </row>
    <row r="51" spans="1:35">
      <c r="B51" s="328" t="s">
        <v>773</v>
      </c>
      <c r="C51" s="328"/>
      <c r="D51" s="1188">
        <f>'Income Statement'!BZ96</f>
        <v>57500</v>
      </c>
      <c r="E51" s="1188">
        <f>'Income Statement'!CE96</f>
        <v>57500</v>
      </c>
      <c r="F51" s="1188">
        <f>'Income Statement'!CJ96</f>
        <v>58800</v>
      </c>
      <c r="G51" s="1188">
        <f>'Income Statement'!CO96</f>
        <v>82771.271720245146</v>
      </c>
      <c r="H51" s="1188">
        <f>'Income Statement'!CP96</f>
        <v>83969.257163598711</v>
      </c>
      <c r="I51" s="1188">
        <f>'Income Statement'!CQ96</f>
        <v>85182.942914061918</v>
      </c>
      <c r="J51" s="1188">
        <f>'Income Statement'!CR96</f>
        <v>86412.523357124315</v>
      </c>
      <c r="K51" s="1188">
        <f>'Income Statement'!CS96</f>
        <v>87658.195197739857</v>
      </c>
      <c r="L51" s="1188">
        <f>'Income Statement'!CT96</f>
        <v>88920.15748729551</v>
      </c>
      <c r="M51" s="1188"/>
      <c r="N51" s="1194"/>
      <c r="O51" s="1194"/>
      <c r="P51" s="1188"/>
      <c r="Q51" s="1190">
        <v>57500</v>
      </c>
      <c r="R51" s="1190">
        <v>57500</v>
      </c>
      <c r="S51" s="1190">
        <v>58800</v>
      </c>
      <c r="T51" s="1190">
        <v>59754.042352952631</v>
      </c>
      <c r="U51" s="1190">
        <v>60721.303089128451</v>
      </c>
      <c r="V51" s="1190">
        <v>61701.951347949165</v>
      </c>
      <c r="W51" s="1190">
        <v>62696.158331552848</v>
      </c>
      <c r="X51" s="1190">
        <v>63704.097329152064</v>
      </c>
      <c r="Y51" s="1190">
        <v>64725.943741672992</v>
      </c>
      <c r="AC51" s="1204">
        <f>D51-Q51</f>
        <v>0</v>
      </c>
      <c r="AD51" s="1204">
        <f t="shared" ref="AD51" si="109">E51-R51</f>
        <v>0</v>
      </c>
      <c r="AE51" s="1204">
        <f t="shared" ref="AE51" si="110">F51-S51</f>
        <v>0</v>
      </c>
      <c r="AF51" s="1204">
        <f t="shared" ref="AF51" si="111">G51-T51</f>
        <v>23017.229367292515</v>
      </c>
      <c r="AG51" s="1204">
        <f t="shared" ref="AG51" si="112">H51-U51</f>
        <v>23247.954074470261</v>
      </c>
      <c r="AH51" s="1204">
        <f t="shared" ref="AH51" si="113">I51-V51</f>
        <v>23480.991566112752</v>
      </c>
      <c r="AI51" s="1204">
        <f t="shared" ref="AI51" si="114">J51-W51</f>
        <v>23716.365025571467</v>
      </c>
    </row>
    <row r="52" spans="1:35">
      <c r="B52" s="328"/>
      <c r="C52" s="328"/>
      <c r="G52" s="1188"/>
      <c r="H52" s="1188"/>
      <c r="I52" s="1188"/>
      <c r="J52" s="1188"/>
      <c r="K52" s="1188"/>
      <c r="L52" s="1188"/>
      <c r="M52" s="1188"/>
      <c r="N52" s="1194"/>
      <c r="O52" s="1194"/>
      <c r="P52" s="1188"/>
      <c r="T52" s="1190"/>
      <c r="U52" s="1190"/>
      <c r="V52" s="1190"/>
      <c r="W52" s="1190"/>
      <c r="X52" s="1190"/>
      <c r="Y52" s="1190"/>
    </row>
    <row r="53" spans="1:35">
      <c r="B53" s="1169" t="s">
        <v>21</v>
      </c>
      <c r="C53" s="1169"/>
      <c r="G53" s="1188"/>
      <c r="H53" s="1188"/>
      <c r="I53" s="1188"/>
      <c r="J53" s="1188"/>
      <c r="K53" s="1188"/>
      <c r="L53" s="1188"/>
      <c r="M53" s="1188"/>
      <c r="N53" s="1194"/>
      <c r="O53" s="1194"/>
      <c r="P53" s="1188"/>
      <c r="T53" s="1190"/>
      <c r="U53" s="1190"/>
      <c r="V53" s="1190"/>
      <c r="W53" s="1190"/>
      <c r="X53" s="1190"/>
      <c r="Y53" s="1190"/>
    </row>
    <row r="54" spans="1:35">
      <c r="B54" s="328" t="s">
        <v>774</v>
      </c>
      <c r="C54" s="328"/>
      <c r="E54" s="1188">
        <f>E51-D51</f>
        <v>0</v>
      </c>
      <c r="F54" s="1188">
        <f t="shared" ref="F54:J54" si="115">F51-E51</f>
        <v>1300</v>
      </c>
      <c r="G54" s="1188">
        <f t="shared" si="115"/>
        <v>23971.271720245146</v>
      </c>
      <c r="H54" s="1188">
        <f t="shared" si="115"/>
        <v>1197.9854433535656</v>
      </c>
      <c r="I54" s="1188">
        <f t="shared" si="115"/>
        <v>1213.6857504632062</v>
      </c>
      <c r="J54" s="1188">
        <f t="shared" si="115"/>
        <v>1229.5804430623975</v>
      </c>
      <c r="K54" s="1188">
        <f t="shared" ref="K54" si="116">K51-J51</f>
        <v>1245.6718406155414</v>
      </c>
      <c r="L54" s="1188">
        <f t="shared" ref="L54" si="117">L51-K51</f>
        <v>1261.9622895556531</v>
      </c>
      <c r="M54" s="1188"/>
      <c r="N54" s="1194"/>
      <c r="O54" s="1194"/>
      <c r="P54" s="1188"/>
      <c r="R54" s="1190">
        <v>0</v>
      </c>
      <c r="S54" s="1190">
        <v>1300</v>
      </c>
      <c r="T54" s="1190">
        <v>954.04235295263061</v>
      </c>
      <c r="U54" s="1190">
        <v>967.26073617582006</v>
      </c>
      <c r="V54" s="1190">
        <v>980.64825882071455</v>
      </c>
      <c r="W54" s="1190">
        <v>994.2069836036826</v>
      </c>
      <c r="X54" s="1190">
        <v>1007.9389975992162</v>
      </c>
      <c r="Y54" s="1190">
        <v>1021.8464125209284</v>
      </c>
      <c r="AC54" s="1204">
        <f>D54-Q54</f>
        <v>0</v>
      </c>
      <c r="AD54" s="1204">
        <f t="shared" ref="AD54" si="118">E54-R54</f>
        <v>0</v>
      </c>
      <c r="AE54" s="1204">
        <f t="shared" ref="AE54" si="119">F54-S54</f>
        <v>0</v>
      </c>
      <c r="AF54" s="1204">
        <f t="shared" ref="AF54" si="120">G54-T54</f>
        <v>23017.229367292515</v>
      </c>
      <c r="AG54" s="1204">
        <f t="shared" ref="AG54" si="121">H54-U54</f>
        <v>230.72470717774559</v>
      </c>
      <c r="AH54" s="1204">
        <f t="shared" ref="AH54" si="122">I54-V54</f>
        <v>233.03749164249166</v>
      </c>
      <c r="AI54" s="1204">
        <f t="shared" ref="AI54" si="123">J54-W54</f>
        <v>235.37345945871493</v>
      </c>
    </row>
    <row r="55" spans="1:35">
      <c r="B55" s="1169"/>
      <c r="C55" s="1169"/>
      <c r="G55" s="1188"/>
      <c r="H55" s="1188"/>
      <c r="I55" s="1188"/>
      <c r="J55" s="1188"/>
      <c r="K55" s="1188"/>
      <c r="L55" s="1188"/>
      <c r="M55" s="1188"/>
      <c r="N55" s="1194"/>
      <c r="O55" s="1194"/>
      <c r="P55" s="1188"/>
      <c r="T55" s="1190"/>
      <c r="U55" s="1190"/>
      <c r="V55" s="1190"/>
      <c r="W55" s="1190"/>
      <c r="X55" s="1190"/>
      <c r="Y55" s="1190"/>
    </row>
    <row r="56" spans="1:35" s="1188" customFormat="1">
      <c r="A56" s="1164"/>
      <c r="B56" s="1169" t="s">
        <v>40</v>
      </c>
      <c r="C56" s="1169"/>
      <c r="N56" s="1194"/>
      <c r="O56" s="1194"/>
      <c r="Q56" s="1190"/>
      <c r="R56" s="1190"/>
      <c r="S56" s="1190"/>
      <c r="T56" s="1190"/>
      <c r="U56" s="1190"/>
      <c r="V56" s="1190"/>
      <c r="W56" s="1190"/>
      <c r="X56" s="1190"/>
      <c r="Y56" s="1190"/>
    </row>
    <row r="57" spans="1:35" s="1188" customFormat="1">
      <c r="A57" s="1164"/>
      <c r="B57" s="328" t="s">
        <v>775</v>
      </c>
      <c r="C57" s="328"/>
      <c r="D57" s="1188">
        <f>'Income Statement'!BZ136</f>
        <v>38750</v>
      </c>
      <c r="E57" s="1188">
        <f>'Income Statement'!CE136</f>
        <v>41750</v>
      </c>
      <c r="F57" s="1188">
        <f>'Income Statement'!CJ136</f>
        <v>42500</v>
      </c>
      <c r="G57" s="1188">
        <f>'Income Statement'!CO136</f>
        <v>35590.859765589783</v>
      </c>
      <c r="H57" s="1188">
        <f>'Income Statement'!CP136</f>
        <v>39374.791688700709</v>
      </c>
      <c r="I57" s="1188">
        <f>'Income Statement'!CQ136</f>
        <v>40551.975897513599</v>
      </c>
      <c r="J57" s="1188">
        <f>'Income Statement'!CR136</f>
        <v>41761.340435812359</v>
      </c>
      <c r="K57" s="1188">
        <f>'Income Statement'!CS136</f>
        <v>43003.794818341128</v>
      </c>
      <c r="L57" s="1188">
        <f>'Income Statement'!CT136</f>
        <v>44280.274625380138</v>
      </c>
      <c r="N57" s="1194"/>
      <c r="O57" s="1194"/>
      <c r="Q57" s="1190">
        <v>38750</v>
      </c>
      <c r="R57" s="1190">
        <v>41750</v>
      </c>
      <c r="S57" s="1190">
        <v>42500</v>
      </c>
      <c r="T57" s="1190">
        <v>43442.262124729226</v>
      </c>
      <c r="U57" s="1190">
        <v>44086.503854149749</v>
      </c>
      <c r="V57" s="1190">
        <v>44765.041509148061</v>
      </c>
      <c r="W57" s="1190">
        <v>45242.590087835946</v>
      </c>
      <c r="X57" s="1190">
        <v>45724.407562526867</v>
      </c>
      <c r="Y57" s="1190">
        <v>46210.529712892218</v>
      </c>
      <c r="AC57" s="1204">
        <f>D57-Q57</f>
        <v>0</v>
      </c>
      <c r="AD57" s="1204">
        <f t="shared" ref="AD57" si="124">E57-R57</f>
        <v>0</v>
      </c>
      <c r="AE57" s="1204">
        <f t="shared" ref="AE57" si="125">F57-S57</f>
        <v>0</v>
      </c>
      <c r="AF57" s="1204">
        <f t="shared" ref="AF57" si="126">G57-T57</f>
        <v>-7851.4023591394434</v>
      </c>
      <c r="AG57" s="1204">
        <f t="shared" ref="AG57" si="127">H57-U57</f>
        <v>-4711.7121654490402</v>
      </c>
      <c r="AH57" s="1204">
        <f t="shared" ref="AH57" si="128">I57-V57</f>
        <v>-4213.0656116344617</v>
      </c>
      <c r="AI57" s="1204">
        <f t="shared" ref="AI57" si="129">J57-W57</f>
        <v>-3481.2496520235873</v>
      </c>
    </row>
    <row r="58" spans="1:35" s="1188" customFormat="1">
      <c r="A58" s="1164"/>
      <c r="B58" s="1170" t="s">
        <v>0</v>
      </c>
      <c r="C58" s="1170"/>
      <c r="E58" s="1214">
        <f>E57/D57-1</f>
        <v>7.7419354838709653E-2</v>
      </c>
      <c r="F58" s="1214">
        <f t="shared" ref="F58:J58" si="130">F57/E57-1</f>
        <v>1.7964071856287456E-2</v>
      </c>
      <c r="G58" s="1214">
        <f t="shared" si="130"/>
        <v>-0.16256800551553452</v>
      </c>
      <c r="H58" s="1214">
        <f t="shared" si="130"/>
        <v>0.10631751938651779</v>
      </c>
      <c r="I58" s="1214">
        <f t="shared" si="130"/>
        <v>2.9896899979046765E-2</v>
      </c>
      <c r="J58" s="1214">
        <f t="shared" si="130"/>
        <v>2.9822579825830697E-2</v>
      </c>
      <c r="K58" s="1214">
        <f t="shared" ref="K58" si="131">K57/J57-1</f>
        <v>2.9751305144010809E-2</v>
      </c>
      <c r="L58" s="1214">
        <f t="shared" ref="L58" si="132">L57/K57-1</f>
        <v>2.9682957339722815E-2</v>
      </c>
      <c r="M58" s="1214"/>
      <c r="N58" s="1215"/>
      <c r="O58" s="1215"/>
      <c r="P58" s="1214"/>
      <c r="Q58" s="1190"/>
      <c r="R58" s="1216">
        <v>7.7419354838709653E-2</v>
      </c>
      <c r="S58" s="1216">
        <v>1.7964071856287456E-2</v>
      </c>
      <c r="T58" s="1216">
        <v>2.2170873523040591E-2</v>
      </c>
      <c r="U58" s="1216">
        <v>1.4829838454793354E-2</v>
      </c>
      <c r="V58" s="1216">
        <v>1.5391051584473514E-2</v>
      </c>
      <c r="W58" s="1216">
        <v>1.0667890894065168E-2</v>
      </c>
      <c r="X58" s="1216">
        <v>1.0649643925237262E-2</v>
      </c>
      <c r="Y58" s="1216">
        <v>1.0631568046028717E-2</v>
      </c>
    </row>
    <row r="59" spans="1:35" s="1188" customFormat="1">
      <c r="A59" s="1164"/>
      <c r="B59" s="328"/>
      <c r="C59" s="328"/>
      <c r="G59" s="1164"/>
      <c r="H59" s="1164"/>
      <c r="I59" s="1164"/>
      <c r="J59" s="1164"/>
      <c r="K59" s="1164"/>
      <c r="L59" s="1164"/>
      <c r="M59" s="1164"/>
      <c r="N59" s="1185"/>
      <c r="O59" s="1185"/>
      <c r="P59" s="1164"/>
      <c r="Q59" s="1190"/>
      <c r="R59" s="1190"/>
      <c r="S59" s="1190"/>
      <c r="T59" s="1187"/>
      <c r="U59" s="1187"/>
      <c r="V59" s="1187"/>
      <c r="W59" s="1187"/>
      <c r="X59" s="1187"/>
      <c r="Y59" s="1187"/>
    </row>
    <row r="60" spans="1:35" s="1188" customFormat="1">
      <c r="A60" s="1164"/>
      <c r="B60" s="1168" t="s">
        <v>776</v>
      </c>
      <c r="C60" s="1169"/>
      <c r="G60" s="1164"/>
      <c r="H60" s="1164"/>
      <c r="I60" s="1164"/>
      <c r="J60" s="1164"/>
      <c r="K60" s="1164"/>
      <c r="L60" s="1164"/>
      <c r="M60" s="1164"/>
      <c r="N60" s="1185"/>
      <c r="O60" s="1185"/>
      <c r="P60" s="1164"/>
      <c r="Q60" s="1190"/>
      <c r="R60" s="1190"/>
      <c r="S60" s="1190"/>
      <c r="T60" s="1187"/>
      <c r="U60" s="1187"/>
      <c r="V60" s="1187"/>
      <c r="W60" s="1187"/>
      <c r="X60" s="1187"/>
      <c r="Y60" s="1187"/>
    </row>
    <row r="61" spans="1:35" s="1188" customFormat="1">
      <c r="A61" s="1164"/>
      <c r="B61" s="1169" t="s">
        <v>437</v>
      </c>
      <c r="C61" s="1169"/>
      <c r="G61" s="1164"/>
      <c r="H61" s="1164"/>
      <c r="I61" s="1164"/>
      <c r="J61" s="1164"/>
      <c r="K61" s="1164"/>
      <c r="L61" s="1164"/>
      <c r="M61" s="1164"/>
      <c r="N61" s="1185"/>
      <c r="O61" s="1185"/>
      <c r="P61" s="1164"/>
      <c r="Q61" s="1190"/>
      <c r="R61" s="1190"/>
      <c r="S61" s="1190"/>
      <c r="T61" s="1187"/>
      <c r="U61" s="1187"/>
      <c r="V61" s="1187"/>
      <c r="W61" s="1187"/>
      <c r="X61" s="1187"/>
      <c r="Y61" s="1187"/>
    </row>
    <row r="62" spans="1:35" s="1188" customFormat="1">
      <c r="A62" s="1164"/>
      <c r="B62" s="328" t="s">
        <v>777</v>
      </c>
      <c r="C62" s="328"/>
      <c r="G62" s="1164"/>
      <c r="H62" s="1164"/>
      <c r="I62" s="1164"/>
      <c r="J62" s="1164"/>
      <c r="K62" s="1164"/>
      <c r="L62" s="1164"/>
      <c r="M62" s="1164"/>
      <c r="N62" s="1185"/>
      <c r="O62" s="1185"/>
      <c r="P62" s="1164"/>
      <c r="Q62" s="1190"/>
      <c r="R62" s="1190"/>
      <c r="S62" s="1190"/>
      <c r="T62" s="1187"/>
      <c r="U62" s="1187"/>
      <c r="V62" s="1187"/>
      <c r="W62" s="1187"/>
      <c r="X62" s="1187"/>
      <c r="Y62" s="1187"/>
    </row>
    <row r="63" spans="1:35" s="1188" customFormat="1">
      <c r="A63" s="1164"/>
      <c r="B63" s="328"/>
      <c r="C63" s="328"/>
      <c r="G63" s="1164"/>
      <c r="H63" s="1164"/>
      <c r="I63" s="1164"/>
      <c r="J63" s="1164"/>
      <c r="K63" s="1164"/>
      <c r="L63" s="1164"/>
      <c r="M63" s="1164"/>
      <c r="N63" s="1185"/>
      <c r="O63" s="1185"/>
      <c r="P63" s="1164"/>
      <c r="Q63" s="1190"/>
      <c r="R63" s="1190"/>
      <c r="S63" s="1190"/>
      <c r="T63" s="1187"/>
      <c r="U63" s="1187"/>
      <c r="V63" s="1187"/>
      <c r="W63" s="1187"/>
      <c r="X63" s="1187"/>
      <c r="Y63" s="1187"/>
    </row>
    <row r="64" spans="1:35" s="1188" customFormat="1">
      <c r="A64" s="1164"/>
      <c r="B64" s="1169" t="s">
        <v>21</v>
      </c>
      <c r="C64" s="1169"/>
      <c r="G64" s="1164"/>
      <c r="H64" s="1164"/>
      <c r="I64" s="1164"/>
      <c r="J64" s="1164"/>
      <c r="K64" s="1164"/>
      <c r="L64" s="1164"/>
      <c r="M64" s="1164"/>
      <c r="N64" s="1185"/>
      <c r="O64" s="1185"/>
      <c r="P64" s="1164"/>
      <c r="Q64" s="1190"/>
      <c r="R64" s="1190"/>
      <c r="S64" s="1190"/>
      <c r="T64" s="1187"/>
      <c r="U64" s="1187"/>
      <c r="V64" s="1187"/>
      <c r="W64" s="1187"/>
      <c r="X64" s="1187"/>
      <c r="Y64" s="1187"/>
    </row>
    <row r="65" spans="1:35" s="1188" customFormat="1">
      <c r="A65" s="1164"/>
      <c r="B65" s="328" t="s">
        <v>778</v>
      </c>
      <c r="C65" s="328"/>
      <c r="G65" s="1164"/>
      <c r="H65" s="1164"/>
      <c r="I65" s="1164"/>
      <c r="J65" s="1164"/>
      <c r="K65" s="1164"/>
      <c r="L65" s="1164"/>
      <c r="M65" s="1164"/>
      <c r="N65" s="1185"/>
      <c r="O65" s="1185"/>
      <c r="P65" s="1164"/>
      <c r="Q65" s="1190"/>
      <c r="R65" s="1190"/>
      <c r="S65" s="1190"/>
      <c r="T65" s="1187"/>
      <c r="U65" s="1187"/>
      <c r="V65" s="1187"/>
      <c r="W65" s="1187"/>
      <c r="X65" s="1187"/>
      <c r="Y65" s="1187"/>
    </row>
    <row r="66" spans="1:35" s="1188" customFormat="1">
      <c r="A66" s="1164"/>
      <c r="B66" s="328"/>
      <c r="C66" s="328"/>
      <c r="G66" s="1164"/>
      <c r="H66" s="1164"/>
      <c r="I66" s="1164"/>
      <c r="J66" s="1164"/>
      <c r="K66" s="1164"/>
      <c r="L66" s="1164"/>
      <c r="M66" s="1164"/>
      <c r="N66" s="1185"/>
      <c r="O66" s="1185"/>
      <c r="P66" s="1164"/>
      <c r="Q66" s="1190"/>
      <c r="R66" s="1190"/>
      <c r="S66" s="1190"/>
      <c r="T66" s="1187"/>
      <c r="U66" s="1187"/>
      <c r="V66" s="1187"/>
      <c r="W66" s="1187"/>
      <c r="X66" s="1187"/>
      <c r="Y66" s="1187"/>
    </row>
    <row r="67" spans="1:35" s="1188" customFormat="1">
      <c r="A67" s="1164"/>
      <c r="B67" s="1169" t="s">
        <v>40</v>
      </c>
      <c r="C67" s="1169"/>
      <c r="G67" s="1164"/>
      <c r="H67" s="1164"/>
      <c r="I67" s="1164"/>
      <c r="J67" s="1164"/>
      <c r="K67" s="1164"/>
      <c r="L67" s="1164"/>
      <c r="M67" s="1164"/>
      <c r="N67" s="1185"/>
      <c r="O67" s="1185"/>
      <c r="P67" s="1164"/>
      <c r="Q67" s="1190"/>
      <c r="R67" s="1190"/>
      <c r="S67" s="1190"/>
      <c r="T67" s="1187"/>
      <c r="U67" s="1187"/>
      <c r="V67" s="1187"/>
      <c r="W67" s="1187"/>
      <c r="X67" s="1187"/>
      <c r="Y67" s="1187"/>
    </row>
    <row r="68" spans="1:35" s="1188" customFormat="1">
      <c r="A68" s="1164"/>
      <c r="B68" s="328" t="s">
        <v>489</v>
      </c>
      <c r="C68" s="328"/>
      <c r="G68" s="1164"/>
      <c r="H68" s="1164"/>
      <c r="I68" s="1164"/>
      <c r="J68" s="1164"/>
      <c r="K68" s="1164"/>
      <c r="L68" s="1164"/>
      <c r="M68" s="1164"/>
      <c r="N68" s="1185"/>
      <c r="O68" s="1185"/>
      <c r="P68" s="1164"/>
      <c r="Q68" s="1190"/>
      <c r="R68" s="1190"/>
      <c r="S68" s="1190"/>
      <c r="T68" s="1187"/>
      <c r="U68" s="1187"/>
      <c r="V68" s="1187"/>
      <c r="W68" s="1187"/>
      <c r="X68" s="1187"/>
      <c r="Y68" s="1187"/>
    </row>
    <row r="69" spans="1:35" s="1188" customFormat="1">
      <c r="A69" s="1164"/>
      <c r="B69" s="1170" t="s">
        <v>0</v>
      </c>
      <c r="C69" s="1170"/>
      <c r="G69" s="1164"/>
      <c r="H69" s="1164"/>
      <c r="I69" s="1164"/>
      <c r="J69" s="1164"/>
      <c r="K69" s="1164"/>
      <c r="L69" s="1164"/>
      <c r="M69" s="1164"/>
      <c r="N69" s="1185"/>
      <c r="O69" s="1185"/>
      <c r="P69" s="1164"/>
      <c r="Q69" s="1190"/>
      <c r="R69" s="1190"/>
      <c r="S69" s="1190"/>
      <c r="T69" s="1187"/>
      <c r="U69" s="1187"/>
      <c r="V69" s="1187"/>
      <c r="W69" s="1187"/>
      <c r="X69" s="1187"/>
      <c r="Y69" s="1187"/>
    </row>
    <row r="71" spans="1:35">
      <c r="A71" s="1164" t="s">
        <v>615</v>
      </c>
      <c r="B71" s="1163" t="s">
        <v>851</v>
      </c>
      <c r="C71" s="1163"/>
      <c r="D71" s="1217"/>
      <c r="E71" s="1217"/>
      <c r="F71" s="1217"/>
      <c r="G71" s="1184"/>
      <c r="H71" s="1184"/>
      <c r="I71" s="1184"/>
      <c r="J71" s="1184"/>
      <c r="K71" s="1184"/>
      <c r="L71" s="1184"/>
      <c r="Q71" s="1218"/>
      <c r="R71" s="1218"/>
      <c r="S71" s="1218"/>
      <c r="T71" s="1186"/>
      <c r="U71" s="1186"/>
      <c r="V71" s="1186"/>
      <c r="W71" s="1186"/>
      <c r="X71" s="1186"/>
      <c r="Y71" s="1186"/>
      <c r="AC71" s="1184"/>
      <c r="AD71" s="1184"/>
      <c r="AE71" s="1184"/>
      <c r="AF71" s="1184"/>
      <c r="AG71" s="1184"/>
      <c r="AH71" s="1184"/>
      <c r="AI71" s="118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DF53D-BAA7-4307-B2A7-196022B29648}">
  <sheetPr codeName="Sheet17">
    <tabColor theme="0"/>
  </sheetPr>
  <dimension ref="A1:AC85"/>
  <sheetViews>
    <sheetView zoomScale="85" zoomScaleNormal="85" workbookViewId="0">
      <pane xSplit="2" ySplit="5" topLeftCell="O6" activePane="bottomRight" state="frozen"/>
      <selection activeCell="H11" sqref="H11"/>
      <selection pane="topRight" activeCell="H11" sqref="H11"/>
      <selection pane="bottomLeft" activeCell="H11" sqref="H11"/>
      <selection pane="bottomRight" activeCell="AJ9" sqref="AJ9"/>
    </sheetView>
  </sheetViews>
  <sheetFormatPr defaultColWidth="8.1796875" defaultRowHeight="13"/>
  <cols>
    <col min="1" max="1" width="2.36328125" style="1164" customWidth="1"/>
    <col min="2" max="2" width="37.453125" style="1164" customWidth="1"/>
    <col min="3" max="3" width="13.6328125" style="1164" customWidth="1"/>
    <col min="4" max="4" width="8.36328125" style="1188" bestFit="1" customWidth="1"/>
    <col min="5" max="5" width="8.90625" style="1188" bestFit="1" customWidth="1"/>
    <col min="6" max="6" width="8.36328125" style="1188" bestFit="1" customWidth="1"/>
    <col min="7" max="12" width="8.36328125" style="1164" bestFit="1" customWidth="1"/>
    <col min="13" max="13" width="8.1796875" style="1164"/>
    <col min="14" max="14" width="8.36328125" style="1164" bestFit="1" customWidth="1"/>
    <col min="15" max="21" width="8.36328125" style="1187" bestFit="1" customWidth="1"/>
    <col min="22" max="22" width="8.1796875" style="1164"/>
    <col min="23" max="25" width="8.36328125" style="1164" bestFit="1" customWidth="1"/>
    <col min="26" max="29" width="9" style="1164" bestFit="1" customWidth="1"/>
    <col min="30" max="16384" width="8.1796875" style="1164"/>
  </cols>
  <sheetData>
    <row r="1" spans="1:29" s="326" customFormat="1">
      <c r="A1" s="1171"/>
      <c r="B1" s="1160"/>
      <c r="C1" s="1160"/>
      <c r="G1" s="1292"/>
      <c r="O1" s="1174"/>
      <c r="P1" s="1174"/>
      <c r="Q1" s="1174"/>
      <c r="R1" s="1174"/>
      <c r="S1" s="1174"/>
      <c r="T1" s="1174"/>
      <c r="U1" s="1174"/>
    </row>
    <row r="2" spans="1:29" s="326" customFormat="1">
      <c r="A2" s="1171"/>
      <c r="B2" s="1160" t="s">
        <v>763</v>
      </c>
      <c r="C2" s="1160"/>
      <c r="G2" s="1292"/>
      <c r="O2" s="1174"/>
      <c r="P2" s="1174"/>
      <c r="Q2" s="1174"/>
      <c r="R2" s="1174"/>
      <c r="S2" s="1174"/>
      <c r="T2" s="1174"/>
      <c r="U2" s="1174"/>
    </row>
    <row r="3" spans="1:29" s="326" customFormat="1">
      <c r="A3" s="1172"/>
      <c r="B3" s="326" t="s">
        <v>764</v>
      </c>
      <c r="G3" s="1292"/>
      <c r="O3" s="1174"/>
      <c r="P3" s="1174"/>
      <c r="Q3" s="1174"/>
      <c r="R3" s="1174"/>
      <c r="S3" s="1174"/>
      <c r="T3" s="1174"/>
      <c r="U3" s="1174"/>
    </row>
    <row r="4" spans="1:29" ht="14.5">
      <c r="D4" s="325"/>
      <c r="E4" s="1161"/>
      <c r="F4" s="1161"/>
      <c r="G4" s="1175" t="s">
        <v>1185</v>
      </c>
      <c r="H4" s="1176"/>
      <c r="I4" s="1176"/>
      <c r="J4" s="1176"/>
      <c r="K4" s="1176"/>
      <c r="L4" s="1176"/>
      <c r="O4" s="325"/>
      <c r="P4" s="1161"/>
      <c r="Q4" s="1161"/>
      <c r="R4" s="1175" t="s">
        <v>1</v>
      </c>
      <c r="S4" s="1176"/>
      <c r="T4" s="1176"/>
      <c r="U4" s="1176"/>
      <c r="W4" s="325"/>
      <c r="X4" s="1161"/>
      <c r="Y4" s="1161"/>
      <c r="Z4" s="1175" t="s">
        <v>1186</v>
      </c>
      <c r="AA4" s="1176"/>
      <c r="AB4" s="1176"/>
      <c r="AC4" s="1176"/>
    </row>
    <row r="5" spans="1:29" s="330" customFormat="1">
      <c r="D5" s="325">
        <v>2022</v>
      </c>
      <c r="E5" s="325">
        <f>D5+1</f>
        <v>2023</v>
      </c>
      <c r="F5" s="325">
        <f t="shared" ref="F5:L5" si="0">E5+1</f>
        <v>2024</v>
      </c>
      <c r="G5" s="1181">
        <f t="shared" si="0"/>
        <v>2025</v>
      </c>
      <c r="H5" s="1181">
        <f t="shared" si="0"/>
        <v>2026</v>
      </c>
      <c r="I5" s="1181">
        <f t="shared" si="0"/>
        <v>2027</v>
      </c>
      <c r="J5" s="1181">
        <f t="shared" si="0"/>
        <v>2028</v>
      </c>
      <c r="K5" s="1181">
        <f t="shared" si="0"/>
        <v>2029</v>
      </c>
      <c r="L5" s="1181">
        <f t="shared" si="0"/>
        <v>2030</v>
      </c>
      <c r="O5" s="325">
        <v>2022</v>
      </c>
      <c r="P5" s="325">
        <f>O5+1</f>
        <v>2023</v>
      </c>
      <c r="Q5" s="325">
        <f t="shared" ref="Q5" si="1">P5+1</f>
        <v>2024</v>
      </c>
      <c r="R5" s="1181">
        <f t="shared" ref="R5" si="2">Q5+1</f>
        <v>2025</v>
      </c>
      <c r="S5" s="1181">
        <f t="shared" ref="S5" si="3">R5+1</f>
        <v>2026</v>
      </c>
      <c r="T5" s="1181">
        <f t="shared" ref="T5" si="4">S5+1</f>
        <v>2027</v>
      </c>
      <c r="U5" s="1181">
        <f t="shared" ref="U5" si="5">T5+1</f>
        <v>2028</v>
      </c>
      <c r="W5" s="325">
        <v>2022</v>
      </c>
      <c r="X5" s="325">
        <f>W5+1</f>
        <v>2023</v>
      </c>
      <c r="Y5" s="325">
        <f t="shared" ref="Y5" si="6">X5+1</f>
        <v>2024</v>
      </c>
      <c r="Z5" s="1181">
        <f t="shared" ref="Z5" si="7">Y5+1</f>
        <v>2025</v>
      </c>
      <c r="AA5" s="1181">
        <f t="shared" ref="AA5" si="8">Z5+1</f>
        <v>2026</v>
      </c>
      <c r="AB5" s="1181">
        <f t="shared" ref="AB5" si="9">AA5+1</f>
        <v>2027</v>
      </c>
      <c r="AC5" s="1181">
        <f t="shared" ref="AC5" si="10">AB5+1</f>
        <v>2028</v>
      </c>
    </row>
    <row r="6" spans="1:29" s="1184" customFormat="1" ht="13.5">
      <c r="A6" s="1164" t="s">
        <v>615</v>
      </c>
      <c r="B6" s="1299" t="s">
        <v>579</v>
      </c>
      <c r="C6" s="1163"/>
      <c r="F6" s="339"/>
      <c r="G6" s="340"/>
      <c r="O6" s="1186"/>
      <c r="P6" s="1186"/>
      <c r="Q6" s="1186"/>
      <c r="R6" s="1186"/>
      <c r="S6" s="1186"/>
      <c r="T6" s="1186"/>
      <c r="U6" s="1186"/>
    </row>
    <row r="7" spans="1:29">
      <c r="D7" s="1164"/>
      <c r="E7" s="1164"/>
      <c r="F7" s="1164"/>
    </row>
    <row r="8" spans="1:29">
      <c r="B8" s="330" t="s">
        <v>687</v>
      </c>
      <c r="C8" s="330"/>
      <c r="D8" s="1164"/>
      <c r="E8" s="1164"/>
      <c r="F8" s="1164"/>
    </row>
    <row r="9" spans="1:29">
      <c r="B9" s="1165" t="s">
        <v>802</v>
      </c>
      <c r="D9" s="1188">
        <f>'Income Statement'!BZ228</f>
        <v>1632.93</v>
      </c>
      <c r="E9" s="1188">
        <f>'Income Statement'!CE228</f>
        <v>1650.6</v>
      </c>
      <c r="F9" s="1188">
        <f>'Income Statement'!CJ228</f>
        <v>1739.1000000000001</v>
      </c>
      <c r="G9" s="1188">
        <f>'Income Statement'!CO228</f>
        <v>1924.3877611402481</v>
      </c>
      <c r="H9" s="1188">
        <f>'Income Statement'!CP228</f>
        <v>1992.6147051570431</v>
      </c>
      <c r="I9" s="1188">
        <f>'Income Statement'!CQ228</f>
        <v>2117.9772768805237</v>
      </c>
      <c r="J9" s="1188">
        <f>'Income Statement'!CR228</f>
        <v>2247.4344714862727</v>
      </c>
      <c r="K9" s="1188">
        <f>'Income Statement'!CS228</f>
        <v>2381.0928246741992</v>
      </c>
      <c r="L9" s="1188">
        <f>'Income Statement'!CT228</f>
        <v>2519.0613280893831</v>
      </c>
      <c r="N9" s="1293">
        <f>(L9/E9)^(1/7)-1</f>
        <v>6.2253396931119864E-2</v>
      </c>
      <c r="O9" s="1190"/>
      <c r="P9" s="1190"/>
      <c r="Q9" s="1190"/>
      <c r="R9" s="1190"/>
      <c r="S9" s="1190"/>
      <c r="T9" s="1190"/>
      <c r="U9" s="1190"/>
    </row>
    <row r="10" spans="1:29">
      <c r="B10" s="759" t="s">
        <v>0</v>
      </c>
      <c r="E10" s="1191">
        <f>E9/D9-1</f>
        <v>1.0821039481177852E-2</v>
      </c>
      <c r="F10" s="1191">
        <f t="shared" ref="F10:J10" si="11">F9/E9-1</f>
        <v>5.3616866593966028E-2</v>
      </c>
      <c r="G10" s="1191">
        <f t="shared" si="11"/>
        <v>0.10654232714636769</v>
      </c>
      <c r="H10" s="1191">
        <f t="shared" si="11"/>
        <v>3.5453844279475621E-2</v>
      </c>
      <c r="I10" s="1191">
        <f t="shared" si="11"/>
        <v>6.291360361791587E-2</v>
      </c>
      <c r="J10" s="1191">
        <f t="shared" si="11"/>
        <v>6.1123032819512035E-2</v>
      </c>
      <c r="K10" s="1191">
        <f t="shared" ref="K10" si="12">K9/J9-1</f>
        <v>5.9471524034930168E-2</v>
      </c>
      <c r="L10" s="1191">
        <f t="shared" ref="L10" si="13">L9/K9-1</f>
        <v>5.79433535666809E-2</v>
      </c>
      <c r="O10" s="1190"/>
      <c r="P10" s="1190"/>
      <c r="Q10" s="1190"/>
      <c r="R10" s="1190"/>
      <c r="S10" s="1190"/>
      <c r="T10" s="1190"/>
      <c r="U10" s="1190"/>
    </row>
    <row r="11" spans="1:29">
      <c r="B11" s="1165" t="s">
        <v>803</v>
      </c>
      <c r="D11" s="1188">
        <f>'Income Statement'!BZ229</f>
        <v>25158.84</v>
      </c>
      <c r="E11" s="1188">
        <f>'Income Statement'!CE229</f>
        <v>26800.5</v>
      </c>
      <c r="F11" s="1188">
        <f>'Income Statement'!CJ229</f>
        <v>27999.75</v>
      </c>
      <c r="G11" s="1188">
        <f>'Income Statement'!CO229</f>
        <v>33389.846685174678</v>
      </c>
      <c r="H11" s="1188">
        <f>'Income Statement'!CP229</f>
        <v>37399.626840033765</v>
      </c>
      <c r="I11" s="1188">
        <f>'Income Statement'!CQ229</f>
        <v>39038.758366483627</v>
      </c>
      <c r="J11" s="1188">
        <f>'Income Statement'!CR229</f>
        <v>40748.905633671515</v>
      </c>
      <c r="K11" s="1188">
        <f>'Income Statement'!CS229</f>
        <v>42533.115963013312</v>
      </c>
      <c r="L11" s="1188">
        <f>'Income Statement'!CT229</f>
        <v>44394.566370654196</v>
      </c>
      <c r="N11" s="1293">
        <f>(L11/E11)^(1/7)-1</f>
        <v>7.4762283555446896E-2</v>
      </c>
      <c r="O11" s="1190"/>
      <c r="P11" s="1190"/>
      <c r="Q11" s="1190"/>
      <c r="R11" s="1190"/>
      <c r="S11" s="1190"/>
      <c r="T11" s="1190"/>
      <c r="U11" s="1190"/>
    </row>
    <row r="12" spans="1:29">
      <c r="B12" s="759" t="s">
        <v>0</v>
      </c>
      <c r="E12" s="1191">
        <f>E11/D11-1</f>
        <v>6.5251816061471901E-2</v>
      </c>
      <c r="F12" s="1191">
        <f t="shared" ref="F12:J12" si="14">F11/E11-1</f>
        <v>4.4747299490681236E-2</v>
      </c>
      <c r="G12" s="1191">
        <f t="shared" si="14"/>
        <v>0.19250517183812987</v>
      </c>
      <c r="H12" s="1191">
        <f t="shared" si="14"/>
        <v>0.12008980432484151</v>
      </c>
      <c r="I12" s="1191">
        <f t="shared" si="14"/>
        <v>4.3827483452195448E-2</v>
      </c>
      <c r="J12" s="1191">
        <f t="shared" si="14"/>
        <v>4.3806394945596461E-2</v>
      </c>
      <c r="K12" s="1191">
        <f t="shared" ref="K12" si="15">K11/J11-1</f>
        <v>4.3785478446505266E-2</v>
      </c>
      <c r="L12" s="1191">
        <f t="shared" ref="L12" si="16">L11/K11-1</f>
        <v>4.376473168012418E-2</v>
      </c>
      <c r="O12" s="1190"/>
      <c r="P12" s="1190"/>
      <c r="Q12" s="1190"/>
      <c r="R12" s="1190"/>
      <c r="S12" s="1190"/>
      <c r="T12" s="1190"/>
      <c r="U12" s="1190"/>
    </row>
    <row r="13" spans="1:29">
      <c r="B13" s="1165" t="s">
        <v>501</v>
      </c>
      <c r="D13" s="1188">
        <f>'Income Statement'!BZ230</f>
        <v>804.5509999999997</v>
      </c>
      <c r="E13" s="1188">
        <f>'Income Statement'!CE230</f>
        <v>1955.1189999999974</v>
      </c>
      <c r="F13" s="1188">
        <f>'Income Statement'!CJ230</f>
        <v>2739.1946000000044</v>
      </c>
      <c r="G13" s="1188">
        <f>'Income Statement'!CO230</f>
        <v>4108.7919000000065</v>
      </c>
      <c r="H13" s="1188">
        <f>'Income Statement'!CP230</f>
        <v>4519.671090000008</v>
      </c>
      <c r="I13" s="1188">
        <f>'Income Statement'!CQ230</f>
        <v>4655.2612227000081</v>
      </c>
      <c r="J13" s="1188">
        <f>'Income Statement'!CR230</f>
        <v>4794.9190593810081</v>
      </c>
      <c r="K13" s="1188">
        <f>'Income Statement'!CS230</f>
        <v>4938.7666311624389</v>
      </c>
      <c r="L13" s="1188">
        <f>'Income Statement'!CT230</f>
        <v>5086.9296300973119</v>
      </c>
      <c r="N13" s="1293">
        <f>(L13/E13)^(1/7)-1</f>
        <v>0.14637333645298711</v>
      </c>
      <c r="O13" s="1190"/>
      <c r="P13" s="1190"/>
      <c r="Q13" s="1190"/>
      <c r="R13" s="1190"/>
      <c r="S13" s="1190"/>
      <c r="T13" s="1190"/>
      <c r="U13" s="1190"/>
    </row>
    <row r="14" spans="1:29">
      <c r="B14" s="759" t="s">
        <v>0</v>
      </c>
      <c r="E14" s="1191">
        <f>E13/D13-1</f>
        <v>1.430074662762209</v>
      </c>
      <c r="F14" s="1191">
        <f t="shared" ref="F14:J14" si="17">F13/E13-1</f>
        <v>0.40103727701485581</v>
      </c>
      <c r="G14" s="1191">
        <f t="shared" si="17"/>
        <v>0.5</v>
      </c>
      <c r="H14" s="1191">
        <f t="shared" si="17"/>
        <v>0.10000000000000009</v>
      </c>
      <c r="I14" s="1191">
        <f t="shared" si="17"/>
        <v>3.0000000000000027E-2</v>
      </c>
      <c r="J14" s="1191">
        <f t="shared" si="17"/>
        <v>3.0000000000000027E-2</v>
      </c>
      <c r="K14" s="1191">
        <f t="shared" ref="K14" si="18">K13/J13-1</f>
        <v>3.0000000000000027E-2</v>
      </c>
      <c r="L14" s="1191">
        <f t="shared" ref="L14" si="19">L13/K13-1</f>
        <v>3.0000000000000027E-2</v>
      </c>
      <c r="O14" s="1190"/>
      <c r="P14" s="1190"/>
      <c r="Q14" s="1190"/>
      <c r="R14" s="1190"/>
      <c r="S14" s="1190"/>
      <c r="T14" s="1190"/>
      <c r="U14" s="1190"/>
    </row>
    <row r="15" spans="1:29">
      <c r="B15" s="889" t="s">
        <v>826</v>
      </c>
      <c r="D15" s="1204">
        <f>'Income Statement'!BZ231</f>
        <v>27596.321</v>
      </c>
      <c r="E15" s="1204">
        <f>'Income Statement'!CE231</f>
        <v>30406.218999999997</v>
      </c>
      <c r="F15" s="1204">
        <f>'Income Statement'!CJ231</f>
        <v>32478.044600000001</v>
      </c>
      <c r="G15" s="1204">
        <f>'Income Statement'!CO231</f>
        <v>39423.026346314931</v>
      </c>
      <c r="H15" s="1204">
        <f>'Income Statement'!CP231</f>
        <v>43911.91263519082</v>
      </c>
      <c r="I15" s="1204">
        <f>'Income Statement'!CQ231</f>
        <v>45811.996866064161</v>
      </c>
      <c r="J15" s="1204">
        <f>'Income Statement'!CR231</f>
        <v>47791.259164538795</v>
      </c>
      <c r="K15" s="1204">
        <f>'Income Statement'!CS231</f>
        <v>49852.97541884995</v>
      </c>
      <c r="L15" s="1204">
        <f>'Income Statement'!CT231</f>
        <v>52000.557328840892</v>
      </c>
      <c r="N15" s="1293">
        <f>(L15/E15)^(1/7)-1</f>
        <v>7.967296204864005E-2</v>
      </c>
      <c r="O15" s="1190"/>
      <c r="P15" s="1190"/>
      <c r="Q15" s="1190"/>
      <c r="R15" s="1190"/>
      <c r="S15" s="1190"/>
      <c r="T15" s="1190"/>
      <c r="U15" s="1190"/>
    </row>
    <row r="16" spans="1:29">
      <c r="B16" s="759" t="s">
        <v>0</v>
      </c>
      <c r="E16" s="1191">
        <f>E15/D15-1</f>
        <v>0.10182147105768191</v>
      </c>
      <c r="F16" s="1191">
        <f t="shared" ref="F16:J16" si="20">F15/E15-1</f>
        <v>6.8138218697957997E-2</v>
      </c>
      <c r="G16" s="1191">
        <f t="shared" si="20"/>
        <v>0.21383620325205577</v>
      </c>
      <c r="H16" s="1191">
        <f t="shared" si="20"/>
        <v>0.11386457877289491</v>
      </c>
      <c r="I16" s="1191">
        <f t="shared" si="20"/>
        <v>4.3270359154217841E-2</v>
      </c>
      <c r="J16" s="1191">
        <f t="shared" si="20"/>
        <v>4.3204017154309993E-2</v>
      </c>
      <c r="K16" s="1191">
        <f t="shared" ref="K16" si="21">K15/J15-1</f>
        <v>4.3140027912069501E-2</v>
      </c>
      <c r="L16" s="1191">
        <f t="shared" ref="L16" si="22">L15/K15-1</f>
        <v>4.3078309608355347E-2</v>
      </c>
      <c r="O16" s="1190"/>
      <c r="P16" s="1190"/>
      <c r="Q16" s="1190"/>
      <c r="R16" s="1190"/>
      <c r="S16" s="1190"/>
      <c r="T16" s="1190"/>
      <c r="U16" s="1190"/>
    </row>
    <row r="17" spans="1:29">
      <c r="B17" s="767" t="s">
        <v>825</v>
      </c>
      <c r="D17" s="1188">
        <f>'Income Statement'!BZ232</f>
        <v>1364.9469999999999</v>
      </c>
      <c r="E17" s="1188">
        <f>'Income Statement'!CE232</f>
        <v>1429.933</v>
      </c>
      <c r="F17" s="1188">
        <f>'Income Statement'!CJ232</f>
        <v>1139.7049999999999</v>
      </c>
      <c r="G17" s="1188">
        <f>'Income Statement'!CO232</f>
        <v>2200</v>
      </c>
      <c r="H17" s="1188">
        <f>'Income Statement'!CP232</f>
        <v>2450.5020733003689</v>
      </c>
      <c r="I17" s="1188">
        <f>'Income Statement'!CQ232</f>
        <v>2556.5361781202314</v>
      </c>
      <c r="J17" s="1188">
        <f>'Income Statement'!CR232</f>
        <v>2666.9888110153524</v>
      </c>
      <c r="K17" s="1188">
        <f>'Income Statement'!CS232</f>
        <v>2782.0427827637322</v>
      </c>
      <c r="L17" s="1188">
        <f>'Income Statement'!CT232</f>
        <v>2901.8884831033183</v>
      </c>
      <c r="O17" s="1190"/>
      <c r="P17" s="1190"/>
      <c r="Q17" s="1190"/>
      <c r="R17" s="1190"/>
      <c r="S17" s="1190"/>
      <c r="T17" s="1190"/>
      <c r="U17" s="1190"/>
    </row>
    <row r="18" spans="1:29">
      <c r="B18" s="759" t="s">
        <v>0</v>
      </c>
      <c r="E18" s="1191">
        <f>E17/D17-1</f>
        <v>4.7610639827041057E-2</v>
      </c>
      <c r="F18" s="1191">
        <f t="shared" ref="F18:J18" si="23">F17/E17-1</f>
        <v>-0.20296615295961429</v>
      </c>
      <c r="G18" s="1191">
        <f t="shared" si="23"/>
        <v>0.93032407508960668</v>
      </c>
      <c r="H18" s="1191">
        <f t="shared" si="23"/>
        <v>0.11386457877289491</v>
      </c>
      <c r="I18" s="1191">
        <f t="shared" si="23"/>
        <v>4.3270359154217841E-2</v>
      </c>
      <c r="J18" s="1191">
        <f t="shared" si="23"/>
        <v>4.3204017154310215E-2</v>
      </c>
      <c r="K18" s="1191">
        <f t="shared" ref="K18" si="24">K17/J17-1</f>
        <v>4.3140027912069723E-2</v>
      </c>
      <c r="L18" s="1191">
        <f t="shared" ref="L18" si="25">L17/K17-1</f>
        <v>4.3078309608355125E-2</v>
      </c>
      <c r="O18" s="1190"/>
      <c r="P18" s="1190"/>
      <c r="Q18" s="1190"/>
      <c r="R18" s="1190"/>
      <c r="S18" s="1190"/>
      <c r="T18" s="1190"/>
      <c r="U18" s="1190"/>
    </row>
    <row r="19" spans="1:29">
      <c r="B19" s="767" t="s">
        <v>807</v>
      </c>
      <c r="D19" s="1188">
        <f>'Income Statement'!BZ233</f>
        <v>-31.01</v>
      </c>
      <c r="E19" s="1188">
        <f>'Income Statement'!CE233</f>
        <v>-14.510999999999999</v>
      </c>
      <c r="F19" s="1188">
        <f>'Income Statement'!CJ233</f>
        <v>-1.341</v>
      </c>
      <c r="G19" s="1188">
        <f>'Income Statement'!CO233</f>
        <v>-1.6277543485610064</v>
      </c>
      <c r="H19" s="1188">
        <f>'Income Statement'!CP233</f>
        <v>-1.8130979118056534</v>
      </c>
      <c r="I19" s="1188">
        <f>'Income Statement'!CQ233</f>
        <v>-1.8915513096312464</v>
      </c>
      <c r="J19" s="1188">
        <f>'Income Statement'!CR233</f>
        <v>-1.9732739248608122</v>
      </c>
      <c r="K19" s="1188">
        <f>'Income Statement'!CS233</f>
        <v>-2.0584010170574669</v>
      </c>
      <c r="L19" s="1188">
        <f>'Income Statement'!CT233</f>
        <v>-2.1470734533684217</v>
      </c>
      <c r="O19" s="1190"/>
      <c r="P19" s="1190"/>
      <c r="Q19" s="1190"/>
      <c r="R19" s="1190"/>
      <c r="S19" s="1190"/>
      <c r="T19" s="1190"/>
      <c r="U19" s="1190"/>
    </row>
    <row r="20" spans="1:29" s="1198" customFormat="1">
      <c r="A20" s="1164"/>
      <c r="B20" s="1166" t="s">
        <v>829</v>
      </c>
      <c r="C20" s="1167"/>
      <c r="D20" s="1195">
        <f>'Income Statement'!BZ234</f>
        <v>28930.258000000002</v>
      </c>
      <c r="E20" s="1195">
        <f>'Income Statement'!CE234</f>
        <v>31821.641</v>
      </c>
      <c r="F20" s="1195">
        <f>'Income Statement'!CJ234</f>
        <v>33616.408600000002</v>
      </c>
      <c r="G20" s="1195">
        <f>'Income Statement'!CO234</f>
        <v>41621.398591966368</v>
      </c>
      <c r="H20" s="1195">
        <f>'Income Statement'!CP234</f>
        <v>46360.601610579382</v>
      </c>
      <c r="I20" s="1195">
        <f>'Income Statement'!CQ234</f>
        <v>48366.641492874762</v>
      </c>
      <c r="J20" s="1195">
        <f>'Income Statement'!CR234</f>
        <v>50456.274701629292</v>
      </c>
      <c r="K20" s="1195">
        <f>'Income Statement'!CS234</f>
        <v>52632.959800596625</v>
      </c>
      <c r="L20" s="1195">
        <f>'Income Statement'!CT234</f>
        <v>54900.298738490848</v>
      </c>
      <c r="N20" s="1294">
        <f>(L20/E20)^(1/7)-1</f>
        <v>8.102570130986475E-2</v>
      </c>
      <c r="O20" s="1197">
        <f>D20</f>
        <v>28930.258000000002</v>
      </c>
      <c r="P20" s="1197">
        <f>E20</f>
        <v>31821.641</v>
      </c>
      <c r="Q20" s="1295" cm="1">
        <f t="array" ref="Q20">_xll.VAData("EXCL_IJ", "FY-"&amp;Q$5, "Cellular service revenue", "Consensus", "CD", "IMPL","","")</f>
        <v>33427.543140974667</v>
      </c>
      <c r="R20" s="1295" cm="1">
        <f t="array" ref="R20">_xll.VAData("EXCL_IJ", "FY-"&amp;R$5, "Cellular service revenue", "Consensus", "CD", "IMPL","","")</f>
        <v>40233.975744020703</v>
      </c>
      <c r="S20" s="1295" cm="1">
        <f t="array" ref="S20">_xll.VAData("EXCL_IJ", "FY-"&amp;S$5, "Cellular service revenue", "Consensus", "CD", "IMPL","","")</f>
        <v>43527.30396073647</v>
      </c>
      <c r="T20" s="1295" cm="1">
        <f t="array" ref="T20">_xll.VAData("EXCL_IJ", "FY-"&amp;T$5, "Cellular service revenue", "Consensus", "CD", "IMPL","","")</f>
        <v>45080.588251217865</v>
      </c>
      <c r="U20" s="1295" cm="1">
        <f t="array" ref="U20">_xll.VAData("EXCL_IJ", "FY-"&amp;U$5, "Cellular service revenue", "Consensus", "CD", "IMPL","","")</f>
        <v>48318.877917920217</v>
      </c>
    </row>
    <row r="21" spans="1:29">
      <c r="B21" s="759" t="s">
        <v>0</v>
      </c>
      <c r="E21" s="1191">
        <f>E20/D20-1</f>
        <v>9.994321516247795E-2</v>
      </c>
      <c r="F21" s="1191">
        <f t="shared" ref="F21:J21" si="26">F20/E20-1</f>
        <v>5.6400849975021705E-2</v>
      </c>
      <c r="G21" s="1191">
        <f t="shared" si="26"/>
        <v>0.23812745993236062</v>
      </c>
      <c r="H21" s="1191">
        <f t="shared" si="26"/>
        <v>0.11386457877289491</v>
      </c>
      <c r="I21" s="1191">
        <f t="shared" si="26"/>
        <v>4.3270359154217841E-2</v>
      </c>
      <c r="J21" s="1191">
        <f t="shared" si="26"/>
        <v>4.3204017154310215E-2</v>
      </c>
      <c r="K21" s="1191">
        <f t="shared" ref="K21" si="27">K20/J20-1</f>
        <v>4.3140027912069501E-2</v>
      </c>
      <c r="L21" s="1191">
        <f t="shared" ref="L21" si="28">L20/K20-1</f>
        <v>4.3078309608355347E-2</v>
      </c>
      <c r="O21" s="1190"/>
      <c r="P21" s="1191">
        <f>P20/O20-1</f>
        <v>9.994321516247795E-2</v>
      </c>
      <c r="Q21" s="1191">
        <f t="shared" ref="Q21" si="29">Q20/P20-1</f>
        <v>5.0465723655630068E-2</v>
      </c>
      <c r="R21" s="1191">
        <f t="shared" ref="R21" si="30">R20/Q20-1</f>
        <v>0.2036174951398948</v>
      </c>
      <c r="S21" s="1191">
        <f t="shared" ref="S21" si="31">S20/R20-1</f>
        <v>8.1854406774731991E-2</v>
      </c>
      <c r="T21" s="1191">
        <f t="shared" ref="T21" si="32">T20/S20-1</f>
        <v>3.5685285996176708E-2</v>
      </c>
      <c r="U21" s="1191">
        <f t="shared" ref="U21" si="33">U20/T20-1</f>
        <v>7.1833349836886162E-2</v>
      </c>
    </row>
    <row r="22" spans="1:29">
      <c r="B22" s="759" t="s">
        <v>830</v>
      </c>
      <c r="D22" s="1188">
        <f>'Income Statement'!BZ235</f>
        <v>211.73600000000079</v>
      </c>
      <c r="E22" s="1188">
        <f>'Income Statement'!CE235</f>
        <v>501.01000000000386</v>
      </c>
      <c r="F22" s="1188">
        <f>'Income Statement'!CJ235</f>
        <v>775.18839999999909</v>
      </c>
      <c r="G22" s="1188">
        <f>'Income Statement'!CO235</f>
        <v>852.70723999999905</v>
      </c>
      <c r="H22" s="1188">
        <f>'Income Statement'!CP235</f>
        <v>920.923819199999</v>
      </c>
      <c r="I22" s="1188">
        <f>'Income Statement'!CQ235</f>
        <v>976.17924835199904</v>
      </c>
      <c r="J22" s="1188">
        <f>'Income Statement'!CR235</f>
        <v>1034.7500032531191</v>
      </c>
      <c r="K22" s="1188">
        <f>'Income Statement'!CS235</f>
        <v>1096.8350034483062</v>
      </c>
      <c r="L22" s="1188">
        <f>'Income Statement'!CT235</f>
        <v>1162.6451036552046</v>
      </c>
      <c r="O22" s="1188">
        <f>O24-O20</f>
        <v>211.73600000000079</v>
      </c>
      <c r="P22" s="1188">
        <f>P24-P20</f>
        <v>501.01000000000568</v>
      </c>
      <c r="Q22" s="1188">
        <f>Q24-Q20</f>
        <v>905.45053308783099</v>
      </c>
      <c r="R22" s="1188">
        <f t="shared" ref="R22:U22" si="34">R24-R20</f>
        <v>1069.8713504530533</v>
      </c>
      <c r="S22" s="1188">
        <f t="shared" si="34"/>
        <v>1142.7152667176997</v>
      </c>
      <c r="T22" s="1188">
        <f t="shared" si="34"/>
        <v>1252.087097190757</v>
      </c>
      <c r="U22" s="1188">
        <f t="shared" si="34"/>
        <v>1401.9020830988811</v>
      </c>
    </row>
    <row r="23" spans="1:29">
      <c r="B23" s="759" t="s">
        <v>0</v>
      </c>
      <c r="E23" s="1191">
        <f>E22/D22-1</f>
        <v>1.3662013072883306</v>
      </c>
      <c r="F23" s="1191">
        <f t="shared" ref="F23:J23" si="35">F22/E22-1</f>
        <v>0.54725135226840416</v>
      </c>
      <c r="G23" s="1191">
        <f t="shared" si="35"/>
        <v>0.10000000000000009</v>
      </c>
      <c r="H23" s="1191">
        <f t="shared" si="35"/>
        <v>8.0000000000000071E-2</v>
      </c>
      <c r="I23" s="1191">
        <f t="shared" si="35"/>
        <v>6.0000000000000053E-2</v>
      </c>
      <c r="J23" s="1191">
        <f t="shared" si="35"/>
        <v>6.0000000000000053E-2</v>
      </c>
      <c r="K23" s="1191">
        <f t="shared" ref="K23" si="36">K22/J22-1</f>
        <v>6.0000000000000053E-2</v>
      </c>
      <c r="L23" s="1191">
        <f t="shared" ref="L23" si="37">L22/K22-1</f>
        <v>6.0000000000000053E-2</v>
      </c>
      <c r="O23" s="1190"/>
      <c r="P23" s="1191">
        <f>P22/O22-1</f>
        <v>1.3662013072883394</v>
      </c>
      <c r="Q23" s="1191">
        <f t="shared" ref="Q23" si="38">Q22/P22-1</f>
        <v>0.80725042032658179</v>
      </c>
      <c r="R23" s="1191">
        <f t="shared" ref="R23" si="39">R22/Q22-1</f>
        <v>0.18159006081149776</v>
      </c>
      <c r="S23" s="1191">
        <f t="shared" ref="S23" si="40">S22/R22-1</f>
        <v>6.8086612688338155E-2</v>
      </c>
      <c r="T23" s="1191">
        <f t="shared" ref="T23" si="41">T22/S22-1</f>
        <v>9.5712233535842683E-2</v>
      </c>
      <c r="U23" s="1191">
        <f t="shared" ref="U23" si="42">U22/T22-1</f>
        <v>0.11965220809659027</v>
      </c>
    </row>
    <row r="24" spans="1:29" s="1167" customFormat="1">
      <c r="A24" s="330"/>
      <c r="B24" s="1167" t="s">
        <v>767</v>
      </c>
      <c r="D24" s="1195">
        <f>'Income Statement'!BZ236</f>
        <v>29141.994000000002</v>
      </c>
      <c r="E24" s="1195">
        <f>'Income Statement'!CE236</f>
        <v>32322.651000000005</v>
      </c>
      <c r="F24" s="1195">
        <f>'Income Statement'!CJ236</f>
        <v>34391.597000000002</v>
      </c>
      <c r="G24" s="1195">
        <f>'Income Statement'!CO236</f>
        <v>42474.105831966364</v>
      </c>
      <c r="H24" s="1195">
        <f>'Income Statement'!CP236</f>
        <v>47281.52542977938</v>
      </c>
      <c r="I24" s="1195">
        <f>'Income Statement'!CQ236</f>
        <v>49342.820741226758</v>
      </c>
      <c r="J24" s="1195">
        <f>'Income Statement'!CR236</f>
        <v>51491.024704882409</v>
      </c>
      <c r="K24" s="1195">
        <f>'Income Statement'!CS236</f>
        <v>53729.794804044934</v>
      </c>
      <c r="L24" s="1195">
        <f>'Income Statement'!CT236</f>
        <v>56062.943842146051</v>
      </c>
      <c r="N24" s="1212">
        <f>(L24/E24)^(1/7)-1</f>
        <v>8.184985044836246E-2</v>
      </c>
      <c r="O24" s="1197">
        <f>D24</f>
        <v>29141.994000000002</v>
      </c>
      <c r="P24" s="1197">
        <f>E24</f>
        <v>32322.651000000005</v>
      </c>
      <c r="Q24" s="1295" cm="1">
        <f t="array" ref="Q24">_xll.VAData("EXCL_IJ", "FY-"&amp;Q$5, "Net revenue", "Consensus", "CD", "IMPL","","")</f>
        <v>34332.993674062498</v>
      </c>
      <c r="R24" s="1295" cm="1">
        <f t="array" ref="R24">_xll.VAData("EXCL_IJ", "FY-"&amp;R$5, "Net revenue", "Consensus", "CD", "IMPL","","")</f>
        <v>41303.847094473756</v>
      </c>
      <c r="S24" s="1295" cm="1">
        <f t="array" ref="S24">_xll.VAData("EXCL_IJ", "FY-"&amp;S$5, "Net revenue", "Consensus", "CD", "IMPL","","")</f>
        <v>44670.01922745417</v>
      </c>
      <c r="T24" s="1295" cm="1">
        <f t="array" ref="T24">_xll.VAData("EXCL_IJ", "FY-"&amp;T$5, "Net revenue", "Consensus", "CD", "IMPL","","")</f>
        <v>46332.675348408622</v>
      </c>
      <c r="U24" s="1295" cm="1">
        <f t="array" ref="U24">_xll.VAData("EXCL_IJ", "FY-"&amp;U$5, "Net revenue", "Consensus", "CD", "IMPL","","")</f>
        <v>49720.780001019099</v>
      </c>
      <c r="W24" s="1195">
        <f t="shared" ref="W24:AC24" si="43">D24-O24</f>
        <v>0</v>
      </c>
      <c r="X24" s="1195">
        <f t="shared" si="43"/>
        <v>0</v>
      </c>
      <c r="Y24" s="1195">
        <f t="shared" si="43"/>
        <v>58.603325937503541</v>
      </c>
      <c r="Z24" s="1195">
        <f t="shared" si="43"/>
        <v>1170.2587374926079</v>
      </c>
      <c r="AA24" s="1195">
        <f t="shared" si="43"/>
        <v>2611.5062023252103</v>
      </c>
      <c r="AB24" s="1195">
        <f t="shared" si="43"/>
        <v>3010.1453928181363</v>
      </c>
      <c r="AC24" s="1195">
        <f t="shared" si="43"/>
        <v>1770.2447038633109</v>
      </c>
    </row>
    <row r="25" spans="1:29">
      <c r="B25" s="1164" t="s">
        <v>0</v>
      </c>
      <c r="E25" s="1201">
        <f>E24/D24-1</f>
        <v>0.10914342374787411</v>
      </c>
      <c r="F25" s="1201">
        <f t="shared" ref="F25:J25" si="44">F24/E24-1</f>
        <v>6.4009168059884658E-2</v>
      </c>
      <c r="G25" s="1201">
        <f t="shared" si="44"/>
        <v>0.23501405974158063</v>
      </c>
      <c r="H25" s="1201">
        <f t="shared" si="44"/>
        <v>0.11318471580854128</v>
      </c>
      <c r="I25" s="1201">
        <f t="shared" si="44"/>
        <v>4.3596209993451485E-2</v>
      </c>
      <c r="J25" s="1201">
        <f t="shared" si="44"/>
        <v>4.3536302371558477E-2</v>
      </c>
      <c r="K25" s="1201">
        <f t="shared" ref="K25" si="45">K24/J24-1</f>
        <v>4.3478841448463923E-2</v>
      </c>
      <c r="L25" s="1201">
        <f t="shared" ref="L25" si="46">L24/K24-1</f>
        <v>4.3423747412589586E-2</v>
      </c>
      <c r="O25" s="1203"/>
      <c r="P25" s="1201">
        <f>P24/O24-1</f>
        <v>0.10914342374787411</v>
      </c>
      <c r="Q25" s="1201">
        <f t="shared" ref="Q25" si="47">Q24/P24-1</f>
        <v>6.2196095056141765E-2</v>
      </c>
      <c r="R25" s="1201">
        <f t="shared" ref="R25" si="48">R24/Q24-1</f>
        <v>0.20303657428153499</v>
      </c>
      <c r="S25" s="1201">
        <f t="shared" ref="S25" si="49">S24/R24-1</f>
        <v>8.1497787004707112E-2</v>
      </c>
      <c r="T25" s="1201">
        <f t="shared" ref="T25" si="50">T24/S24-1</f>
        <v>3.7220850801259253E-2</v>
      </c>
      <c r="U25" s="1201">
        <f t="shared" ref="U25" si="51">U24/T24-1</f>
        <v>7.3125599312642509E-2</v>
      </c>
      <c r="W25" s="1204">
        <f t="shared" ref="W25" si="52">D25-O25</f>
        <v>0</v>
      </c>
      <c r="X25" s="1204">
        <f t="shared" ref="X25:AC25" si="53">E25-P25</f>
        <v>0</v>
      </c>
      <c r="Y25" s="1204">
        <f t="shared" si="53"/>
        <v>1.8130730037428933E-3</v>
      </c>
      <c r="Z25" s="1204">
        <f t="shared" si="53"/>
        <v>3.197748546004564E-2</v>
      </c>
      <c r="AA25" s="1204">
        <f t="shared" si="53"/>
        <v>3.1686928803834169E-2</v>
      </c>
      <c r="AB25" s="1204">
        <f t="shared" si="53"/>
        <v>6.3753591921922315E-3</v>
      </c>
      <c r="AC25" s="1204">
        <f t="shared" si="53"/>
        <v>-2.9589296941084031E-2</v>
      </c>
    </row>
    <row r="26" spans="1:29">
      <c r="B26" s="889"/>
      <c r="G26" s="1188"/>
      <c r="H26" s="1188"/>
      <c r="I26" s="1188"/>
      <c r="J26" s="1188"/>
      <c r="K26" s="1188"/>
      <c r="L26" s="1188"/>
      <c r="O26" s="1190"/>
      <c r="P26" s="1190"/>
      <c r="Q26" s="1190"/>
      <c r="R26" s="1190"/>
      <c r="S26" s="1190"/>
      <c r="T26" s="1190"/>
      <c r="U26" s="1190"/>
    </row>
    <row r="27" spans="1:29" s="330" customFormat="1">
      <c r="B27" s="330" t="s">
        <v>2</v>
      </c>
      <c r="D27" s="1204">
        <f>'Income Statement'!BZ248</f>
        <v>14235</v>
      </c>
      <c r="E27" s="1204">
        <f>'Income Statement'!CE248</f>
        <v>15885</v>
      </c>
      <c r="F27" s="1204">
        <f>'Income Statement'!CJ248</f>
        <v>17879</v>
      </c>
      <c r="G27" s="1204">
        <f>'Income Statement'!CO248</f>
        <v>18547.777952688124</v>
      </c>
      <c r="H27" s="1204">
        <f>'Income Statement'!CP248</f>
        <v>22026.102884302556</v>
      </c>
      <c r="I27" s="1204">
        <f>'Income Statement'!CQ248</f>
        <v>24266.810115801967</v>
      </c>
      <c r="J27" s="1204">
        <f>'Income Statement'!CR248</f>
        <v>26620.859772424206</v>
      </c>
      <c r="K27" s="1204">
        <f>'Income Statement'!CS248</f>
        <v>27939.493298103363</v>
      </c>
      <c r="L27" s="1204">
        <f>'Income Statement'!CT248</f>
        <v>29320.919629442382</v>
      </c>
      <c r="O27" s="1206">
        <f>D27</f>
        <v>14235</v>
      </c>
      <c r="P27" s="1206">
        <f>E27</f>
        <v>15885</v>
      </c>
      <c r="Q27" s="1296" cm="1">
        <f t="array" ref="Q27">_xll.VAData("EXCL_IJ", "FY-"&amp;Q$5, "EBITDA", "Consensus", "CD", "IMPL","","")</f>
        <v>17776.281092500001</v>
      </c>
      <c r="R27" s="1296" cm="1">
        <f t="array" ref="R27">_xll.VAData("EXCL_IJ", "FY-"&amp;R$5, "EBITDA", "Consensus", "CD", "IMPL","","")</f>
        <v>18272.344623233614</v>
      </c>
      <c r="S27" s="1296" cm="1">
        <f t="array" ref="S27">_xll.VAData("EXCL_IJ", "FY-"&amp;S$5, "EBITDA", "Consensus", "CD", "IMPL","","")</f>
        <v>20902.05543074253</v>
      </c>
      <c r="T27" s="1296" cm="1">
        <f t="array" ref="T27">_xll.VAData("EXCL_IJ", "FY-"&amp;T$5, "EBITDA", "Consensus", "CD", "IMPL","","")</f>
        <v>22498.04688464342</v>
      </c>
      <c r="U27" s="1296" cm="1">
        <f t="array" ref="U27">_xll.VAData("EXCL_IJ", "FY-"&amp;U$5, "EBITDA", "Consensus", "CD", "IMPL","","")</f>
        <v>24310.396420931276</v>
      </c>
      <c r="W27" s="1204">
        <f t="shared" ref="W27:AC27" si="54">D27-O27</f>
        <v>0</v>
      </c>
      <c r="X27" s="1204">
        <f t="shared" si="54"/>
        <v>0</v>
      </c>
      <c r="Y27" s="1204">
        <f t="shared" si="54"/>
        <v>102.71890749999875</v>
      </c>
      <c r="Z27" s="1204">
        <f t="shared" si="54"/>
        <v>275.43332945451039</v>
      </c>
      <c r="AA27" s="1204">
        <f t="shared" si="54"/>
        <v>1124.047453560026</v>
      </c>
      <c r="AB27" s="1204">
        <f t="shared" si="54"/>
        <v>1768.7632311585476</v>
      </c>
      <c r="AC27" s="1204">
        <f t="shared" si="54"/>
        <v>2310.4633514929301</v>
      </c>
    </row>
    <row r="28" spans="1:29" s="330" customFormat="1">
      <c r="B28" s="341" t="s">
        <v>0</v>
      </c>
      <c r="C28" s="341"/>
      <c r="D28" s="1204"/>
      <c r="E28" s="1201">
        <f>E27/D27-1</f>
        <v>0.11591148577449939</v>
      </c>
      <c r="F28" s="1201">
        <f t="shared" ref="F28:J28" si="55">F27/E27-1</f>
        <v>0.12552722694365759</v>
      </c>
      <c r="G28" s="1201">
        <f t="shared" si="55"/>
        <v>3.7405780674988787E-2</v>
      </c>
      <c r="H28" s="1201">
        <f t="shared" si="55"/>
        <v>0.18753324201351673</v>
      </c>
      <c r="I28" s="1201">
        <f t="shared" si="55"/>
        <v>0.1017296270370327</v>
      </c>
      <c r="J28" s="1201">
        <f t="shared" si="55"/>
        <v>9.7006967351235707E-2</v>
      </c>
      <c r="K28" s="1201">
        <f t="shared" ref="K28" si="56">K27/J27-1</f>
        <v>4.9533844396907556E-2</v>
      </c>
      <c r="L28" s="1201">
        <f t="shared" ref="L28" si="57">L27/K27-1</f>
        <v>4.9443499801508306E-2</v>
      </c>
      <c r="O28" s="1204"/>
      <c r="P28" s="1201">
        <f>P27/O27-1</f>
        <v>0.11591148577449939</v>
      </c>
      <c r="Q28" s="1201">
        <f t="shared" ref="Q28" si="58">Q27/P27-1</f>
        <v>0.11906081790997813</v>
      </c>
      <c r="R28" s="1201">
        <f t="shared" ref="R28" si="59">R27/Q27-1</f>
        <v>2.790592296286909E-2</v>
      </c>
      <c r="S28" s="1201">
        <f t="shared" ref="S28" si="60">S27/R27-1</f>
        <v>0.14391753558353937</v>
      </c>
      <c r="T28" s="1201">
        <f t="shared" ref="T28" si="61">T27/S27-1</f>
        <v>7.6355718182314236E-2</v>
      </c>
      <c r="U28" s="1201">
        <f t="shared" ref="U28" si="62">U27/T27-1</f>
        <v>8.0555860941196489E-2</v>
      </c>
      <c r="W28" s="1204">
        <f t="shared" ref="W28:W29" si="63">D28-O28</f>
        <v>0</v>
      </c>
      <c r="X28" s="1204">
        <f t="shared" ref="X28:AC29" si="64">E28-P28</f>
        <v>0</v>
      </c>
      <c r="Y28" s="1204">
        <f t="shared" si="64"/>
        <v>6.4664090336794544E-3</v>
      </c>
      <c r="Z28" s="1204">
        <f t="shared" si="64"/>
        <v>9.499857712119697E-3</v>
      </c>
      <c r="AA28" s="1204">
        <f t="shared" si="64"/>
        <v>4.3615706429977363E-2</v>
      </c>
      <c r="AB28" s="1204">
        <f t="shared" si="64"/>
        <v>2.5373908854718463E-2</v>
      </c>
      <c r="AC28" s="1204">
        <f t="shared" si="64"/>
        <v>1.6451106410039218E-2</v>
      </c>
    </row>
    <row r="29" spans="1:29" s="330" customFormat="1">
      <c r="B29" s="342" t="s">
        <v>4</v>
      </c>
      <c r="C29" s="342"/>
      <c r="D29" s="1208">
        <f>D27/D$24</f>
        <v>0.48847034969535713</v>
      </c>
      <c r="E29" s="1208">
        <f t="shared" ref="E29:J29" si="65">E27/E$24</f>
        <v>0.49145102609312574</v>
      </c>
      <c r="F29" s="1208">
        <f t="shared" si="65"/>
        <v>0.51986536129741223</v>
      </c>
      <c r="G29" s="1208">
        <f t="shared" si="65"/>
        <v>0.43668436543586781</v>
      </c>
      <c r="H29" s="1208">
        <f t="shared" si="65"/>
        <v>0.46585009015867812</v>
      </c>
      <c r="I29" s="1208">
        <f t="shared" si="65"/>
        <v>0.49180022040220817</v>
      </c>
      <c r="J29" s="1208">
        <f t="shared" si="65"/>
        <v>0.51700000000000002</v>
      </c>
      <c r="K29" s="1208">
        <f t="shared" ref="K29:L29" si="66">K27/K$24</f>
        <v>0.51999999999999991</v>
      </c>
      <c r="L29" s="1208">
        <f t="shared" si="66"/>
        <v>0.52299999999999991</v>
      </c>
      <c r="O29" s="1208">
        <f>O27/O$24</f>
        <v>0.48847034969535713</v>
      </c>
      <c r="P29" s="1208">
        <f t="shared" ref="P29:U29" si="67">P27/P$24</f>
        <v>0.49145102609312574</v>
      </c>
      <c r="Q29" s="1208">
        <f t="shared" si="67"/>
        <v>0.51776088217816629</v>
      </c>
      <c r="R29" s="1208">
        <f t="shared" si="67"/>
        <v>0.44238844341640904</v>
      </c>
      <c r="S29" s="1208">
        <f t="shared" si="67"/>
        <v>0.46792134394014628</v>
      </c>
      <c r="T29" s="1208">
        <f t="shared" si="67"/>
        <v>0.48557625294599255</v>
      </c>
      <c r="U29" s="1208">
        <f t="shared" si="67"/>
        <v>0.48893835576258055</v>
      </c>
      <c r="W29" s="1204">
        <f t="shared" si="63"/>
        <v>0</v>
      </c>
      <c r="X29" s="1204">
        <f t="shared" si="64"/>
        <v>0</v>
      </c>
      <c r="Y29" s="1204">
        <f t="shared" si="64"/>
        <v>2.1044791192459389E-3</v>
      </c>
      <c r="Z29" s="1204">
        <f t="shared" si="64"/>
        <v>-5.7040779805412334E-3</v>
      </c>
      <c r="AA29" s="1204">
        <f t="shared" si="64"/>
        <v>-2.0712537814681631E-3</v>
      </c>
      <c r="AB29" s="1204">
        <f t="shared" si="64"/>
        <v>6.2239674562156178E-3</v>
      </c>
      <c r="AC29" s="1204">
        <f t="shared" si="64"/>
        <v>2.806164423741947E-2</v>
      </c>
    </row>
    <row r="30" spans="1:29">
      <c r="B30" s="330"/>
      <c r="C30" s="330"/>
      <c r="G30" s="1188"/>
      <c r="H30" s="1188"/>
      <c r="I30" s="1188"/>
      <c r="J30" s="1188"/>
      <c r="K30" s="1188"/>
      <c r="L30" s="1188"/>
      <c r="O30" s="1190"/>
      <c r="P30" s="1190"/>
      <c r="Q30" s="1190"/>
      <c r="R30" s="1190"/>
      <c r="S30" s="1190"/>
      <c r="T30" s="1190"/>
      <c r="U30" s="1190"/>
    </row>
    <row r="31" spans="1:29" s="1167" customFormat="1">
      <c r="A31" s="330"/>
      <c r="B31" s="1167" t="s">
        <v>111</v>
      </c>
      <c r="D31" s="1195">
        <f>'Income Statement'!BZ271</f>
        <v>1121.1880000000001</v>
      </c>
      <c r="E31" s="1195">
        <f>'Income Statement'!CE271</f>
        <v>1284.4479999999999</v>
      </c>
      <c r="F31" s="1195">
        <f>'Income Statement'!CJ271</f>
        <v>1847.6309999999999</v>
      </c>
      <c r="G31" s="1195">
        <f>'Income Statement'!CO271</f>
        <v>-2284.2333262787533</v>
      </c>
      <c r="H31" s="1195">
        <f>'Income Statement'!CP271</f>
        <v>736.32068869677698</v>
      </c>
      <c r="I31" s="1195">
        <f>'Income Statement'!CQ271</f>
        <v>2202.5305303360401</v>
      </c>
      <c r="J31" s="1195">
        <f>'Income Statement'!CR271</f>
        <v>4360.0040675784803</v>
      </c>
      <c r="K31" s="1195">
        <f>'Income Statement'!CS271</f>
        <v>5570.065627360118</v>
      </c>
      <c r="L31" s="1195">
        <f>'Income Statement'!CT271</f>
        <v>6701.2555973886965</v>
      </c>
      <c r="O31" s="1197">
        <f>D31</f>
        <v>1121.1880000000001</v>
      </c>
      <c r="P31" s="1197">
        <f>E31</f>
        <v>1284.4479999999999</v>
      </c>
      <c r="Q31" s="1295" cm="1">
        <f t="array" ref="Q31">_xll.VAData("EXCL_IJ", "FY-"&amp;Q$5, "Net income/(loss)", "Consensus", "CD", "IMPL","","")</f>
        <v>1832.3264082778667</v>
      </c>
      <c r="R31" s="1295" cm="1">
        <f t="array" ref="R31">_xll.VAData("EXCL_IJ", "FY-"&amp;R$5, "Net income/(loss)", "Consensus", "CD", "IMPL","","")</f>
        <v>-2906.3662479510763</v>
      </c>
      <c r="S31" s="1295" cm="1">
        <f t="array" ref="S31">_xll.VAData("EXCL_IJ", "FY-"&amp;S$5, "Net income/(loss)", "Consensus", "CD", "IMPL","","")</f>
        <v>239.69075928778983</v>
      </c>
      <c r="T31" s="1295" cm="1">
        <f t="array" ref="T31">_xll.VAData("EXCL_IJ", "FY-"&amp;T$5, "Net income/(loss)", "Consensus", "CD", "IMPL","","")</f>
        <v>2537.5444693658301</v>
      </c>
      <c r="U31" s="1295" cm="1">
        <f t="array" ref="U31">_xll.VAData("EXCL_IJ", "FY-"&amp;U$5, "Net income/(loss)", "Consensus", "CD", "IMPL","","")</f>
        <v>3653.8682903194149</v>
      </c>
      <c r="W31" s="1195">
        <f t="shared" ref="W31:AC33" si="68">D31-O31</f>
        <v>0</v>
      </c>
      <c r="X31" s="1195">
        <f t="shared" si="68"/>
        <v>0</v>
      </c>
      <c r="Y31" s="1195">
        <f t="shared" si="68"/>
        <v>15.304591722133182</v>
      </c>
      <c r="Z31" s="1195">
        <f t="shared" si="68"/>
        <v>622.13292167232294</v>
      </c>
      <c r="AA31" s="1195">
        <f t="shared" si="68"/>
        <v>496.62992940898715</v>
      </c>
      <c r="AB31" s="1195">
        <f t="shared" si="68"/>
        <v>-335.01393902978998</v>
      </c>
      <c r="AC31" s="1195">
        <f t="shared" si="68"/>
        <v>706.13577725906543</v>
      </c>
    </row>
    <row r="32" spans="1:29">
      <c r="B32" s="341" t="s">
        <v>0</v>
      </c>
      <c r="C32" s="341"/>
      <c r="D32" s="1208"/>
      <c r="E32" s="1201">
        <f>E31/D31-1</f>
        <v>0.14561340292618175</v>
      </c>
      <c r="F32" s="1201">
        <f t="shared" ref="F32" si="69">F31/E31-1</f>
        <v>0.43846305961782805</v>
      </c>
      <c r="G32" s="1201">
        <f t="shared" ref="G32" si="70">G31/F31-1</f>
        <v>-2.2363038541130527</v>
      </c>
      <c r="H32" s="1201">
        <f t="shared" ref="H32" si="71">H31/G31-1</f>
        <v>-1.3223491576914859</v>
      </c>
      <c r="I32" s="1201">
        <f t="shared" ref="I32" si="72">I31/H31-1</f>
        <v>1.9912653062001096</v>
      </c>
      <c r="J32" s="1201">
        <f t="shared" ref="J32" si="73">J31/I31-1</f>
        <v>0.9795430789843691</v>
      </c>
      <c r="K32" s="1201">
        <f t="shared" ref="K32" si="74">K31/J31-1</f>
        <v>0.27753679607315096</v>
      </c>
      <c r="L32" s="1201">
        <f t="shared" ref="L32" si="75">L31/K31-1</f>
        <v>0.203083777769544</v>
      </c>
      <c r="O32" s="1208"/>
      <c r="P32" s="1201">
        <f t="shared" ref="P32" si="76">P31/O31-1</f>
        <v>0.14561340292618175</v>
      </c>
      <c r="Q32" s="1201">
        <f t="shared" ref="Q32" si="77">Q31/P31-1</f>
        <v>0.42654775302532055</v>
      </c>
      <c r="R32" s="1201">
        <f t="shared" ref="R32" si="78">R31/Q31-1</f>
        <v>-2.5861618513060991</v>
      </c>
      <c r="S32" s="1201">
        <f t="shared" ref="S32" si="79">S31/R31-1</f>
        <v>-1.0824709409754418</v>
      </c>
      <c r="T32" s="1201">
        <f t="shared" ref="T32" si="80">T31/S31-1</f>
        <v>9.5867430054701153</v>
      </c>
      <c r="U32" s="1201">
        <f t="shared" ref="U32" si="81">U31/T31-1</f>
        <v>0.43992286024156679</v>
      </c>
      <c r="W32" s="1204">
        <f t="shared" si="68"/>
        <v>0</v>
      </c>
      <c r="X32" s="1204">
        <f t="shared" si="68"/>
        <v>0</v>
      </c>
      <c r="Y32" s="1204">
        <f t="shared" si="68"/>
        <v>1.1915306592507502E-2</v>
      </c>
      <c r="Z32" s="1204">
        <f t="shared" si="68"/>
        <v>0.34985799719304644</v>
      </c>
      <c r="AA32" s="1204">
        <f t="shared" si="68"/>
        <v>-0.23987821671604403</v>
      </c>
      <c r="AB32" s="1204">
        <f t="shared" si="68"/>
        <v>-7.5954776992700062</v>
      </c>
      <c r="AC32" s="1204">
        <f t="shared" si="68"/>
        <v>0.5396202187428023</v>
      </c>
    </row>
    <row r="33" spans="2:29">
      <c r="B33" s="342" t="s">
        <v>768</v>
      </c>
      <c r="C33" s="342"/>
      <c r="D33" s="1208">
        <f t="shared" ref="D33:J33" si="82">D31/D$24</f>
        <v>3.8473276742833726E-2</v>
      </c>
      <c r="E33" s="1208">
        <f t="shared" si="82"/>
        <v>3.9738324681351155E-2</v>
      </c>
      <c r="F33" s="1208">
        <f t="shared" si="82"/>
        <v>5.3723326660288555E-2</v>
      </c>
      <c r="G33" s="1208">
        <f t="shared" si="82"/>
        <v>-5.3779432940048388E-2</v>
      </c>
      <c r="H33" s="1208">
        <f t="shared" si="82"/>
        <v>1.5573116180236843E-2</v>
      </c>
      <c r="I33" s="1208">
        <f t="shared" si="82"/>
        <v>4.4637304824687266E-2</v>
      </c>
      <c r="J33" s="1208">
        <f t="shared" si="82"/>
        <v>8.46750301157837E-2</v>
      </c>
      <c r="K33" s="1208">
        <f t="shared" ref="K33:L33" si="83">K31/K$24</f>
        <v>0.10366809789008886</v>
      </c>
      <c r="L33" s="1208">
        <f t="shared" si="83"/>
        <v>0.11953092610079709</v>
      </c>
      <c r="O33" s="1208">
        <f t="shared" ref="O33:U33" si="84">O31/O$24</f>
        <v>3.8473276742833726E-2</v>
      </c>
      <c r="P33" s="1208">
        <f t="shared" si="84"/>
        <v>3.9738324681351155E-2</v>
      </c>
      <c r="Q33" s="1208">
        <f t="shared" si="84"/>
        <v>5.3369258319647547E-2</v>
      </c>
      <c r="R33" s="1208">
        <f t="shared" si="84"/>
        <v>-7.036550956871844E-2</v>
      </c>
      <c r="S33" s="1208">
        <f t="shared" si="84"/>
        <v>5.3658082855822017E-3</v>
      </c>
      <c r="T33" s="1208">
        <f t="shared" si="84"/>
        <v>5.4767924586357535E-2</v>
      </c>
      <c r="U33" s="1208">
        <f t="shared" si="84"/>
        <v>7.3487750800460563E-2</v>
      </c>
      <c r="W33" s="1204">
        <f t="shared" si="68"/>
        <v>0</v>
      </c>
      <c r="X33" s="1204">
        <f t="shared" si="68"/>
        <v>0</v>
      </c>
      <c r="Y33" s="1204">
        <f t="shared" si="68"/>
        <v>3.5406834064100751E-4</v>
      </c>
      <c r="Z33" s="1204">
        <f t="shared" si="68"/>
        <v>1.6586076628670052E-2</v>
      </c>
      <c r="AA33" s="1204">
        <f t="shared" si="68"/>
        <v>1.0207307894654641E-2</v>
      </c>
      <c r="AB33" s="1204">
        <f t="shared" si="68"/>
        <v>-1.0130619761670269E-2</v>
      </c>
      <c r="AC33" s="1204">
        <f t="shared" si="68"/>
        <v>1.1187279315323137E-2</v>
      </c>
    </row>
    <row r="34" spans="2:29">
      <c r="B34" s="342"/>
      <c r="C34" s="342"/>
    </row>
    <row r="35" spans="2:29">
      <c r="B35" s="330" t="s">
        <v>248</v>
      </c>
      <c r="C35" s="330"/>
      <c r="D35" s="1188">
        <f>'Balance Sheet and Cflow'!R75</f>
        <v>9063</v>
      </c>
      <c r="E35" s="1188">
        <f>'Balance Sheet and Cflow'!S75</f>
        <v>7158</v>
      </c>
      <c r="F35" s="1188">
        <f>'Balance Sheet and Cflow'!T75</f>
        <v>7382</v>
      </c>
      <c r="G35" s="1188">
        <f>'Balance Sheet and Cflow'!V75</f>
        <v>20387.570799343855</v>
      </c>
      <c r="H35" s="1188">
        <f>'Balance Sheet and Cflow'!W75</f>
        <v>10401.935594551464</v>
      </c>
      <c r="I35" s="1188">
        <f>'Balance Sheet and Cflow'!X75</f>
        <v>10361.99235565762</v>
      </c>
      <c r="J35" s="1188">
        <f>'Balance Sheet and Cflow'!Y75</f>
        <v>10813.115188025306</v>
      </c>
      <c r="K35" s="1188">
        <f>'Balance Sheet and Cflow'!Z75</f>
        <v>11283.256908849437</v>
      </c>
      <c r="L35" s="1188">
        <f>'Balance Sheet and Cflow'!AA75</f>
        <v>12053.5329260614</v>
      </c>
      <c r="O35" s="1190">
        <f>D35</f>
        <v>9063</v>
      </c>
      <c r="P35" s="1190">
        <f>E35</f>
        <v>7158</v>
      </c>
      <c r="Q35" s="1296" cm="1">
        <f t="array" ref="Q35">_xll.VAData("EXCL_IJ", "FY-"&amp;Q$5, "Capex", "Consensus", "CD", "IMPL","","")</f>
        <v>8888.7718317750005</v>
      </c>
      <c r="R35" s="1296" cm="1">
        <f t="array" ref="R35">_xll.VAData("EXCL_IJ", "FY-"&amp;R$5, "Capex", "Consensus", "CD", "IMPL","","")</f>
        <v>14552.810879250645</v>
      </c>
      <c r="S35" s="1296" cm="1">
        <f t="array" ref="S35">_xll.VAData("EXCL_IJ", "FY-"&amp;S$5, "Capex", "Consensus", "CD", "IMPL","","")</f>
        <v>13313.988226215928</v>
      </c>
      <c r="T35" s="1296" cm="1">
        <f t="array" ref="T35">_xll.VAData("EXCL_IJ", "FY-"&amp;T$5, "Capex", "Consensus", "CD", "IMPL","","")</f>
        <v>12789.982079934472</v>
      </c>
      <c r="U35" s="1296" cm="1">
        <f t="array" ref="U35">_xll.VAData("EXCL_IJ", "FY-"&amp;U$5, "Capex", "Consensus", "CD", "IMPL","","")</f>
        <v>9861.3785339640799</v>
      </c>
      <c r="W35" s="1204">
        <f t="shared" ref="W35:AC37" si="85">D35-O35</f>
        <v>0</v>
      </c>
      <c r="X35" s="1204">
        <f t="shared" si="85"/>
        <v>0</v>
      </c>
      <c r="Y35" s="1204">
        <f t="shared" si="85"/>
        <v>-1506.7718317750005</v>
      </c>
      <c r="Z35" s="1204">
        <f t="shared" si="85"/>
        <v>5834.7599200932109</v>
      </c>
      <c r="AA35" s="1204">
        <f t="shared" si="85"/>
        <v>-2912.0526316644646</v>
      </c>
      <c r="AB35" s="1204">
        <f t="shared" si="85"/>
        <v>-2427.9897242768529</v>
      </c>
      <c r="AC35" s="1204">
        <f t="shared" si="85"/>
        <v>951.73665406122564</v>
      </c>
    </row>
    <row r="36" spans="2:29">
      <c r="B36" s="341" t="s">
        <v>0</v>
      </c>
      <c r="C36" s="341"/>
      <c r="E36" s="1214">
        <f>E35/D35-1</f>
        <v>-0.21019529956967886</v>
      </c>
      <c r="F36" s="1214">
        <f t="shared" ref="F36:J36" si="86">F35/E35-1</f>
        <v>3.1293657446213929E-2</v>
      </c>
      <c r="G36" s="1214">
        <f t="shared" si="86"/>
        <v>1.7617950148122263</v>
      </c>
      <c r="H36" s="1214">
        <f t="shared" si="86"/>
        <v>-0.48979033858775201</v>
      </c>
      <c r="I36" s="1214">
        <f t="shared" si="86"/>
        <v>-3.8399813698871688E-3</v>
      </c>
      <c r="J36" s="1214">
        <f t="shared" si="86"/>
        <v>4.3536302371558255E-2</v>
      </c>
      <c r="K36" s="1214">
        <f t="shared" ref="K36" si="87">K35/J35-1</f>
        <v>4.3478841448464145E-2</v>
      </c>
      <c r="L36" s="1214">
        <f t="shared" ref="L36" si="88">L35/K35-1</f>
        <v>6.8267169970032127E-2</v>
      </c>
      <c r="O36" s="1188"/>
      <c r="P36" s="1214">
        <f>P35/O35-1</f>
        <v>-0.21019529956967886</v>
      </c>
      <c r="Q36" s="1214">
        <f t="shared" ref="Q36" si="89">Q35/P35-1</f>
        <v>0.24179545009430026</v>
      </c>
      <c r="R36" s="1214">
        <f t="shared" ref="R36" si="90">R35/Q35-1</f>
        <v>0.63721278424857397</v>
      </c>
      <c r="S36" s="1214">
        <f t="shared" ref="S36" si="91">S35/R35-1</f>
        <v>-8.5126005093698165E-2</v>
      </c>
      <c r="T36" s="1214">
        <f t="shared" ref="T36" si="92">T35/S35-1</f>
        <v>-3.9357564193249095E-2</v>
      </c>
      <c r="U36" s="1214">
        <f t="shared" ref="U36" si="93">U35/T35-1</f>
        <v>-0.2289763603785594</v>
      </c>
      <c r="W36" s="1204">
        <f t="shared" si="85"/>
        <v>0</v>
      </c>
      <c r="X36" s="1204">
        <f t="shared" si="85"/>
        <v>0</v>
      </c>
      <c r="Y36" s="1204">
        <f t="shared" si="85"/>
        <v>-0.21050179264808633</v>
      </c>
      <c r="Z36" s="1204">
        <f t="shared" si="85"/>
        <v>1.1245822305636524</v>
      </c>
      <c r="AA36" s="1204">
        <f t="shared" si="85"/>
        <v>-0.40466433349405384</v>
      </c>
      <c r="AB36" s="1204">
        <f t="shared" si="85"/>
        <v>3.5517582823361926E-2</v>
      </c>
      <c r="AC36" s="1204">
        <f t="shared" si="85"/>
        <v>0.27251266275011765</v>
      </c>
    </row>
    <row r="37" spans="2:29">
      <c r="B37" s="343" t="s">
        <v>181</v>
      </c>
      <c r="C37" s="343"/>
      <c r="D37" s="1214">
        <f>D35/D$24</f>
        <v>0.31099450504313464</v>
      </c>
      <c r="E37" s="1214">
        <f t="shared" ref="E37:J37" si="94">E35/E$24</f>
        <v>0.22145460779191653</v>
      </c>
      <c r="F37" s="1214">
        <f t="shared" si="94"/>
        <v>0.21464545540005017</v>
      </c>
      <c r="G37" s="1214">
        <f t="shared" si="94"/>
        <v>0.48000000000000004</v>
      </c>
      <c r="H37" s="1214">
        <f t="shared" si="94"/>
        <v>0.22</v>
      </c>
      <c r="I37" s="1214">
        <f t="shared" si="94"/>
        <v>0.21</v>
      </c>
      <c r="J37" s="1214">
        <f t="shared" si="94"/>
        <v>0.21</v>
      </c>
      <c r="K37" s="1214">
        <f t="shared" ref="K37:L37" si="95">K35/K$24</f>
        <v>0.21000000000000002</v>
      </c>
      <c r="L37" s="1214">
        <f t="shared" si="95"/>
        <v>0.21499999999999997</v>
      </c>
      <c r="O37" s="1214">
        <f>O35/O$24</f>
        <v>0.31099450504313464</v>
      </c>
      <c r="P37" s="1214">
        <f t="shared" ref="P37:U37" si="96">P35/P$24</f>
        <v>0.22145460779191653</v>
      </c>
      <c r="Q37" s="1214">
        <f t="shared" si="96"/>
        <v>0.25889882822802573</v>
      </c>
      <c r="R37" s="1214">
        <f t="shared" si="96"/>
        <v>0.35233548211536297</v>
      </c>
      <c r="S37" s="1214">
        <f t="shared" si="96"/>
        <v>0.29805199228643176</v>
      </c>
      <c r="T37" s="1214">
        <f t="shared" si="96"/>
        <v>0.27604669887411903</v>
      </c>
      <c r="U37" s="1214">
        <f t="shared" si="96"/>
        <v>0.19833515350648073</v>
      </c>
      <c r="W37" s="1204">
        <f t="shared" si="85"/>
        <v>0</v>
      </c>
      <c r="X37" s="1204">
        <f t="shared" si="85"/>
        <v>0</v>
      </c>
      <c r="Y37" s="1204">
        <f t="shared" si="85"/>
        <v>-4.4253372827975562E-2</v>
      </c>
      <c r="Z37" s="1204">
        <f t="shared" si="85"/>
        <v>0.12766451788463706</v>
      </c>
      <c r="AA37" s="1204">
        <f t="shared" si="85"/>
        <v>-7.8051992286431754E-2</v>
      </c>
      <c r="AB37" s="1204">
        <f t="shared" si="85"/>
        <v>-6.6046698874119042E-2</v>
      </c>
      <c r="AC37" s="1204">
        <f t="shared" si="85"/>
        <v>1.166484649351926E-2</v>
      </c>
    </row>
    <row r="39" spans="2:29">
      <c r="B39" s="330" t="s">
        <v>141</v>
      </c>
      <c r="D39" s="1188">
        <f>D27-D35</f>
        <v>5172</v>
      </c>
      <c r="E39" s="1188">
        <f t="shared" ref="E39:L39" si="97">E27-E35</f>
        <v>8727</v>
      </c>
      <c r="F39" s="1188">
        <f t="shared" si="97"/>
        <v>10497</v>
      </c>
      <c r="G39" s="1188">
        <f t="shared" si="97"/>
        <v>-1839.7928466557314</v>
      </c>
      <c r="H39" s="1188">
        <f t="shared" si="97"/>
        <v>11624.167289751093</v>
      </c>
      <c r="I39" s="1188">
        <f t="shared" si="97"/>
        <v>13904.817760144348</v>
      </c>
      <c r="J39" s="1188">
        <f t="shared" si="97"/>
        <v>15807.744584398901</v>
      </c>
      <c r="K39" s="1188">
        <f t="shared" si="97"/>
        <v>16656.236389253929</v>
      </c>
      <c r="L39" s="1188">
        <f t="shared" si="97"/>
        <v>17267.38670338098</v>
      </c>
      <c r="O39" s="1188">
        <f t="shared" ref="O39:U39" si="98">O27-O35</f>
        <v>5172</v>
      </c>
      <c r="P39" s="1188">
        <f t="shared" si="98"/>
        <v>8727</v>
      </c>
      <c r="Q39" s="1188">
        <f t="shared" si="98"/>
        <v>8887.5092607250008</v>
      </c>
      <c r="R39" s="1188">
        <f t="shared" si="98"/>
        <v>3719.5337439829691</v>
      </c>
      <c r="S39" s="1188">
        <f t="shared" si="98"/>
        <v>7588.0672045266019</v>
      </c>
      <c r="T39" s="1188">
        <f t="shared" si="98"/>
        <v>9708.0648047089471</v>
      </c>
      <c r="U39" s="1188">
        <f t="shared" si="98"/>
        <v>14449.017886967196</v>
      </c>
    </row>
    <row r="44" spans="2:29">
      <c r="B44" s="344" t="s">
        <v>769</v>
      </c>
      <c r="C44" s="344"/>
    </row>
    <row r="45" spans="2:29">
      <c r="B45" s="345" t="s">
        <v>770</v>
      </c>
      <c r="C45" s="345"/>
    </row>
    <row r="46" spans="2:29">
      <c r="B46" s="345" t="s">
        <v>771</v>
      </c>
      <c r="C46" s="345"/>
    </row>
    <row r="47" spans="2:29">
      <c r="B47" s="345" t="s">
        <v>288</v>
      </c>
      <c r="C47" s="345"/>
    </row>
    <row r="48" spans="2:29">
      <c r="B48" s="345" t="s">
        <v>772</v>
      </c>
      <c r="C48" s="345"/>
    </row>
    <row r="51" spans="1:29" s="1184" customFormat="1">
      <c r="A51" s="1164" t="s">
        <v>615</v>
      </c>
      <c r="B51" s="1163" t="s">
        <v>577</v>
      </c>
      <c r="C51" s="1163"/>
      <c r="D51" s="1217"/>
      <c r="E51" s="1217"/>
      <c r="F51" s="1217"/>
      <c r="O51" s="1186"/>
      <c r="P51" s="1186"/>
      <c r="Q51" s="1186"/>
      <c r="R51" s="1186"/>
      <c r="S51" s="1186"/>
      <c r="T51" s="1186"/>
      <c r="U51" s="1186"/>
    </row>
    <row r="53" spans="1:29">
      <c r="B53" s="1168" t="s">
        <v>766</v>
      </c>
      <c r="C53" s="1168"/>
    </row>
    <row r="54" spans="1:29">
      <c r="B54" s="1169" t="s">
        <v>437</v>
      </c>
      <c r="C54" s="1169"/>
      <c r="D54" s="1164"/>
    </row>
    <row r="55" spans="1:29">
      <c r="B55" s="328" t="s">
        <v>773</v>
      </c>
      <c r="C55" s="328"/>
      <c r="D55" s="1188">
        <f>'Income Statement'!BZ96</f>
        <v>57500</v>
      </c>
      <c r="E55" s="1188">
        <f>'Income Statement'!CE96</f>
        <v>57500</v>
      </c>
      <c r="F55" s="1188">
        <f>'Income Statement'!CJ96</f>
        <v>58800</v>
      </c>
      <c r="G55" s="1188">
        <f>'Income Statement'!CO96</f>
        <v>82771.271720245146</v>
      </c>
      <c r="H55" s="1188">
        <f>'Income Statement'!CP96</f>
        <v>83969.257163598711</v>
      </c>
      <c r="I55" s="1188">
        <f>'Income Statement'!CQ96</f>
        <v>85182.942914061918</v>
      </c>
      <c r="J55" s="1188">
        <f>'Income Statement'!CR96</f>
        <v>86412.523357124315</v>
      </c>
      <c r="K55" s="1188">
        <f>'Income Statement'!CS96</f>
        <v>87658.195197739857</v>
      </c>
      <c r="L55" s="1188">
        <f>'Income Statement'!CT96</f>
        <v>88920.15748729551</v>
      </c>
      <c r="O55" s="1190">
        <f>D55</f>
        <v>57500</v>
      </c>
      <c r="P55" s="1190">
        <f>E55</f>
        <v>57500</v>
      </c>
      <c r="Q55" s="1297" cm="1">
        <f t="array" ref="Q55">_xll.VAData("EXCL_IJ", "FY-"&amp;Q$5, "Total subs", "Consensus", "CD", "IMPL","","")</f>
        <v>58890.528086628437</v>
      </c>
      <c r="R55" s="1297" cm="1">
        <f t="array" ref="R55">_xll.VAData("EXCL_IJ", "FY-"&amp;R$5, "Total subs", "Consensus", "CD", "IMPL","","")</f>
        <v>81676.307300072105</v>
      </c>
      <c r="S55" s="1297" cm="1">
        <f t="array" ref="S55">_xll.VAData("EXCL_IJ", "FY-"&amp;S$5, "Total subs", "Consensus", "CD", "IMPL","","")</f>
        <v>82043.296740210993</v>
      </c>
      <c r="T55" s="1297" cm="1">
        <f t="array" ref="T55">_xll.VAData("EXCL_IJ", "FY-"&amp;T$5, "Total subs", "Consensus", "CD", "IMPL","","")</f>
        <v>83218.155819326304</v>
      </c>
      <c r="U55" s="1297" cm="1">
        <f t="array" ref="U55">_xll.VAData("EXCL_IJ", "FY-"&amp;U$5, "Total subs", "Consensus", "CD", "IMPL","","")</f>
        <v>83812.587736281101</v>
      </c>
      <c r="W55" s="1204">
        <f t="shared" ref="W55:AC55" si="99">D55-O55</f>
        <v>0</v>
      </c>
      <c r="X55" s="1204">
        <f t="shared" si="99"/>
        <v>0</v>
      </c>
      <c r="Y55" s="1204">
        <f t="shared" si="99"/>
        <v>-90.52808662843745</v>
      </c>
      <c r="Z55" s="1204">
        <f t="shared" si="99"/>
        <v>1094.9644201730407</v>
      </c>
      <c r="AA55" s="1204">
        <f t="shared" si="99"/>
        <v>1925.960423387718</v>
      </c>
      <c r="AB55" s="1204">
        <f t="shared" si="99"/>
        <v>1964.7870947356132</v>
      </c>
      <c r="AC55" s="1204">
        <f t="shared" si="99"/>
        <v>2599.9356208432146</v>
      </c>
    </row>
    <row r="56" spans="1:29">
      <c r="B56" s="328"/>
      <c r="C56" s="328"/>
      <c r="G56" s="1188"/>
      <c r="H56" s="1188"/>
      <c r="I56" s="1188"/>
      <c r="J56" s="1188"/>
      <c r="K56" s="1188"/>
      <c r="L56" s="1188"/>
      <c r="O56" s="1190"/>
      <c r="P56" s="1190"/>
      <c r="Q56" s="1190"/>
      <c r="R56" s="1190"/>
      <c r="S56" s="1190"/>
      <c r="T56" s="1190"/>
      <c r="U56" s="1190"/>
    </row>
    <row r="57" spans="1:29">
      <c r="B57" s="1169" t="s">
        <v>21</v>
      </c>
      <c r="C57" s="1169"/>
      <c r="G57" s="1188"/>
      <c r="H57" s="1188"/>
      <c r="I57" s="1188"/>
      <c r="J57" s="1188"/>
      <c r="K57" s="1188"/>
      <c r="L57" s="1188"/>
      <c r="O57" s="1190"/>
      <c r="P57" s="1190"/>
      <c r="Q57" s="1190"/>
      <c r="R57" s="1190"/>
      <c r="S57" s="1190"/>
      <c r="T57" s="1190"/>
      <c r="U57" s="1190"/>
    </row>
    <row r="58" spans="1:29">
      <c r="B58" s="328" t="s">
        <v>774</v>
      </c>
      <c r="C58" s="328"/>
      <c r="E58" s="1188">
        <f>E55-D55</f>
        <v>0</v>
      </c>
      <c r="F58" s="1188">
        <f t="shared" ref="F58:J58" si="100">F55-E55</f>
        <v>1300</v>
      </c>
      <c r="G58" s="1188">
        <f t="shared" si="100"/>
        <v>23971.271720245146</v>
      </c>
      <c r="H58" s="1188">
        <f t="shared" si="100"/>
        <v>1197.9854433535656</v>
      </c>
      <c r="I58" s="1188">
        <f t="shared" si="100"/>
        <v>1213.6857504632062</v>
      </c>
      <c r="J58" s="1188">
        <f t="shared" si="100"/>
        <v>1229.5804430623975</v>
      </c>
      <c r="K58" s="1188">
        <f t="shared" ref="K58" si="101">K55-J55</f>
        <v>1245.6718406155414</v>
      </c>
      <c r="L58" s="1188">
        <f t="shared" ref="L58" si="102">L55-K55</f>
        <v>1261.9622895556531</v>
      </c>
      <c r="O58" s="1190"/>
      <c r="P58" s="1188">
        <f>P55-O55</f>
        <v>0</v>
      </c>
      <c r="Q58" s="1188">
        <f t="shared" ref="Q58" si="103">Q55-P55</f>
        <v>1390.5280866284374</v>
      </c>
      <c r="R58" s="1188">
        <f t="shared" ref="R58" si="104">R55-Q55</f>
        <v>22785.779213443668</v>
      </c>
      <c r="S58" s="1188">
        <f t="shared" ref="S58" si="105">S55-R55</f>
        <v>366.98944013888831</v>
      </c>
      <c r="T58" s="1188">
        <f t="shared" ref="T58" si="106">T55-S55</f>
        <v>1174.859079115311</v>
      </c>
      <c r="U58" s="1188">
        <f t="shared" ref="U58" si="107">U55-T55</f>
        <v>594.43191695479618</v>
      </c>
      <c r="W58" s="1204">
        <f t="shared" ref="W58:AC58" si="108">D58-O58</f>
        <v>0</v>
      </c>
      <c r="X58" s="1204">
        <f t="shared" si="108"/>
        <v>0</v>
      </c>
      <c r="Y58" s="1204">
        <f t="shared" si="108"/>
        <v>-90.52808662843745</v>
      </c>
      <c r="Z58" s="1204">
        <f t="shared" si="108"/>
        <v>1185.4925068014782</v>
      </c>
      <c r="AA58" s="1204">
        <f t="shared" si="108"/>
        <v>830.99600321467733</v>
      </c>
      <c r="AB58" s="1204">
        <f t="shared" si="108"/>
        <v>38.826671347895171</v>
      </c>
      <c r="AC58" s="1204">
        <f t="shared" si="108"/>
        <v>635.14852610760136</v>
      </c>
    </row>
    <row r="59" spans="1:29">
      <c r="B59" s="1169"/>
      <c r="C59" s="1169"/>
      <c r="G59" s="1188"/>
      <c r="H59" s="1188"/>
      <c r="I59" s="1188"/>
      <c r="J59" s="1188"/>
      <c r="K59" s="1188"/>
      <c r="L59" s="1188"/>
      <c r="O59" s="1190"/>
      <c r="P59" s="1190"/>
      <c r="Q59" s="1190"/>
      <c r="R59" s="1190"/>
      <c r="S59" s="1190"/>
      <c r="T59" s="1190"/>
      <c r="U59" s="1190"/>
    </row>
    <row r="60" spans="1:29" s="1188" customFormat="1">
      <c r="A60" s="1164"/>
      <c r="B60" s="1169" t="s">
        <v>852</v>
      </c>
      <c r="C60" s="1169"/>
      <c r="O60" s="1190"/>
      <c r="P60" s="1190"/>
      <c r="Q60" s="1190"/>
      <c r="R60" s="1190"/>
      <c r="S60" s="1190"/>
      <c r="T60" s="1190"/>
      <c r="U60" s="1190"/>
    </row>
    <row r="61" spans="1:29" s="1188" customFormat="1">
      <c r="A61" s="1164"/>
      <c r="B61" s="328" t="s">
        <v>775</v>
      </c>
      <c r="C61" s="328"/>
      <c r="D61" s="1188">
        <f>'Income Statement'!BZ136</f>
        <v>38750</v>
      </c>
      <c r="E61" s="1188">
        <f>'Income Statement'!CE136</f>
        <v>41750</v>
      </c>
      <c r="F61" s="1298">
        <f>F20*10^6/AVERAGE(E55,F55)/12</f>
        <v>48174.847520779593</v>
      </c>
      <c r="G61" s="1298">
        <f>G20*10^6/AVERAGE(F55,G55)/12</f>
        <v>48999.346272989154</v>
      </c>
      <c r="H61" s="1298">
        <f>H20*10^6/AVERAGE(G55,H55)/12</f>
        <v>46340.064930939778</v>
      </c>
      <c r="I61" s="1298">
        <f>I20*10^6/AVERAGE(H55,I55)/12</f>
        <v>47655.938922332301</v>
      </c>
      <c r="J61" s="1298">
        <f>J20*10^6/AVERAGE(I55,J55)/12</f>
        <v>49007.000590844233</v>
      </c>
      <c r="K61" s="1298">
        <f t="shared" ref="K61:L61" si="109">K20*10^6/AVERAGE(J55,K55)/12</f>
        <v>50394.230802242972</v>
      </c>
      <c r="L61" s="1298">
        <f t="shared" si="109"/>
        <v>51818.638301997933</v>
      </c>
      <c r="O61" s="1190">
        <f>D61</f>
        <v>38750</v>
      </c>
      <c r="P61" s="1190">
        <f>E61</f>
        <v>41750</v>
      </c>
      <c r="Q61" s="1188">
        <f>Q20*10^6/AVERAGE(P55,Q55)/12</f>
        <v>47866.929394940169</v>
      </c>
      <c r="R61" s="1188">
        <f>R20*10^6/AVERAGE(Q55,R55)/12</f>
        <v>47704.443267546834</v>
      </c>
      <c r="S61" s="1188">
        <f>S20*10^6/AVERAGE(R55,S55)/12</f>
        <v>44310.8246116804</v>
      </c>
      <c r="T61" s="1188">
        <f>T20*10^6/AVERAGE(S55,T55)/12</f>
        <v>45463.907395441645</v>
      </c>
      <c r="U61" s="1188">
        <f>U20*10^6/AVERAGE(T55,U55)/12</f>
        <v>48213.557266314507</v>
      </c>
      <c r="W61" s="1204">
        <f t="shared" ref="W61:AC61" si="110">D61-O61</f>
        <v>0</v>
      </c>
      <c r="X61" s="1204">
        <f t="shared" si="110"/>
        <v>0</v>
      </c>
      <c r="Y61" s="1204">
        <f t="shared" si="110"/>
        <v>307.91812583942374</v>
      </c>
      <c r="Z61" s="1204">
        <f t="shared" si="110"/>
        <v>1294.9030054423201</v>
      </c>
      <c r="AA61" s="1204">
        <f t="shared" si="110"/>
        <v>2029.2403192593774</v>
      </c>
      <c r="AB61" s="1204">
        <f t="shared" si="110"/>
        <v>2192.0315268906561</v>
      </c>
      <c r="AC61" s="1204">
        <f t="shared" si="110"/>
        <v>793.44332452972594</v>
      </c>
    </row>
    <row r="62" spans="1:29" s="1188" customFormat="1">
      <c r="A62" s="1164"/>
      <c r="B62" s="1170" t="s">
        <v>0</v>
      </c>
      <c r="C62" s="1170"/>
      <c r="E62" s="1214">
        <f>E61/D61-1</f>
        <v>7.7419354838709653E-2</v>
      </c>
      <c r="F62" s="1214">
        <f t="shared" ref="F62:J62" si="111">F61/E61-1</f>
        <v>0.15388856337196621</v>
      </c>
      <c r="G62" s="1214">
        <f t="shared" si="111"/>
        <v>1.7114714309244494E-2</v>
      </c>
      <c r="H62" s="1214">
        <f t="shared" si="111"/>
        <v>-5.427177185658294E-2</v>
      </c>
      <c r="I62" s="1214">
        <f t="shared" si="111"/>
        <v>2.8396032533695381E-2</v>
      </c>
      <c r="J62" s="1214">
        <f t="shared" si="111"/>
        <v>2.8350331544486851E-2</v>
      </c>
      <c r="K62" s="1214">
        <f t="shared" ref="K62" si="112">K61/J61-1</f>
        <v>2.8306776474255502E-2</v>
      </c>
      <c r="L62" s="1214">
        <f t="shared" ref="L62" si="113">L61/K61-1</f>
        <v>2.8265289043593489E-2</v>
      </c>
      <c r="O62" s="1216"/>
      <c r="P62" s="1191">
        <f>P61/O61-1</f>
        <v>7.7419354838709653E-2</v>
      </c>
      <c r="Q62" s="1191">
        <f t="shared" ref="Q62" si="114">Q61/P61-1</f>
        <v>0.14651327892072263</v>
      </c>
      <c r="R62" s="1191">
        <f t="shared" ref="R62" si="115">R61/Q61-1</f>
        <v>-3.3945383471895019E-3</v>
      </c>
      <c r="S62" s="1191">
        <f t="shared" ref="S62" si="116">S61/R61-1</f>
        <v>-7.1138418633953537E-2</v>
      </c>
      <c r="T62" s="1191">
        <f t="shared" ref="T62" si="117">T61/S61-1</f>
        <v>2.6022598176999256E-2</v>
      </c>
      <c r="U62" s="1191">
        <f t="shared" ref="U62" si="118">U61/T61-1</f>
        <v>6.0479840567961185E-2</v>
      </c>
    </row>
    <row r="63" spans="1:29" s="1188" customFormat="1">
      <c r="A63" s="1164"/>
      <c r="B63" s="328"/>
      <c r="C63" s="328"/>
      <c r="G63" s="1164"/>
      <c r="H63" s="1164"/>
      <c r="I63" s="1164"/>
      <c r="J63" s="1164"/>
      <c r="K63" s="1164"/>
      <c r="L63" s="1164"/>
      <c r="O63" s="1187"/>
      <c r="P63" s="1187"/>
      <c r="Q63" s="1187"/>
      <c r="R63" s="1187"/>
      <c r="S63" s="1187"/>
      <c r="T63" s="1187"/>
      <c r="U63" s="1187"/>
    </row>
    <row r="64" spans="1:29" s="1188" customFormat="1">
      <c r="A64" s="1164"/>
      <c r="B64" s="1168" t="s">
        <v>776</v>
      </c>
      <c r="C64" s="1168"/>
      <c r="G64" s="1164"/>
      <c r="H64" s="1164"/>
      <c r="I64" s="1164"/>
      <c r="J64" s="1164"/>
      <c r="K64" s="1164"/>
      <c r="L64" s="1164"/>
      <c r="O64" s="1187"/>
      <c r="P64" s="1187"/>
      <c r="Q64" s="1187"/>
      <c r="R64" s="1187"/>
      <c r="S64" s="1187"/>
      <c r="T64" s="1187"/>
      <c r="U64" s="1187"/>
    </row>
    <row r="65" spans="1:21" s="1188" customFormat="1">
      <c r="A65" s="1164"/>
      <c r="B65" s="1169" t="s">
        <v>437</v>
      </c>
      <c r="C65" s="1169"/>
      <c r="G65" s="1164"/>
      <c r="H65" s="1164"/>
      <c r="I65" s="1164"/>
      <c r="J65" s="1164"/>
      <c r="K65" s="1164"/>
      <c r="L65" s="1164"/>
      <c r="O65" s="1187"/>
      <c r="P65" s="1187"/>
      <c r="Q65" s="1187"/>
      <c r="R65" s="1187"/>
      <c r="S65" s="1187"/>
      <c r="T65" s="1187"/>
      <c r="U65" s="1187"/>
    </row>
    <row r="66" spans="1:21" s="1188" customFormat="1">
      <c r="A66" s="1164"/>
      <c r="B66" s="328" t="s">
        <v>777</v>
      </c>
      <c r="C66" s="328"/>
      <c r="G66" s="1164"/>
      <c r="H66" s="1164"/>
      <c r="I66" s="1164"/>
      <c r="J66" s="1164"/>
      <c r="K66" s="1164"/>
      <c r="L66" s="1164"/>
      <c r="O66" s="1187"/>
      <c r="P66" s="1187"/>
      <c r="Q66" s="1187"/>
      <c r="R66" s="1187"/>
      <c r="S66" s="1187"/>
      <c r="T66" s="1187"/>
      <c r="U66" s="1187"/>
    </row>
    <row r="67" spans="1:21" s="1188" customFormat="1">
      <c r="A67" s="1164"/>
      <c r="B67" s="328"/>
      <c r="C67" s="328"/>
      <c r="G67" s="1164"/>
      <c r="H67" s="1164"/>
      <c r="I67" s="1164"/>
      <c r="J67" s="1164"/>
      <c r="K67" s="1164"/>
      <c r="L67" s="1164"/>
      <c r="O67" s="1187"/>
      <c r="P67" s="1187"/>
      <c r="Q67" s="1187"/>
      <c r="R67" s="1187"/>
      <c r="S67" s="1187"/>
      <c r="T67" s="1187"/>
      <c r="U67" s="1187"/>
    </row>
    <row r="68" spans="1:21" s="1188" customFormat="1">
      <c r="A68" s="1164"/>
      <c r="B68" s="1169" t="s">
        <v>21</v>
      </c>
      <c r="C68" s="1169"/>
      <c r="G68" s="1164"/>
      <c r="H68" s="1164"/>
      <c r="I68" s="1164"/>
      <c r="J68" s="1164"/>
      <c r="K68" s="1164"/>
      <c r="L68" s="1164"/>
      <c r="O68" s="1187"/>
      <c r="P68" s="1187"/>
      <c r="Q68" s="1187"/>
      <c r="R68" s="1187"/>
      <c r="S68" s="1187"/>
      <c r="T68" s="1187"/>
      <c r="U68" s="1187"/>
    </row>
    <row r="69" spans="1:21" s="1188" customFormat="1">
      <c r="A69" s="1164"/>
      <c r="B69" s="328" t="s">
        <v>778</v>
      </c>
      <c r="C69" s="328"/>
      <c r="G69" s="1164"/>
      <c r="H69" s="1164"/>
      <c r="I69" s="1164"/>
      <c r="J69" s="1164"/>
      <c r="K69" s="1164"/>
      <c r="L69" s="1164"/>
      <c r="O69" s="1187"/>
      <c r="P69" s="1187"/>
      <c r="Q69" s="1187"/>
      <c r="R69" s="1187"/>
      <c r="S69" s="1187"/>
      <c r="T69" s="1187"/>
      <c r="U69" s="1187"/>
    </row>
    <row r="70" spans="1:21" s="1188" customFormat="1">
      <c r="A70" s="1164"/>
      <c r="B70" s="328"/>
      <c r="C70" s="328"/>
      <c r="G70" s="1164"/>
      <c r="H70" s="1164"/>
      <c r="I70" s="1164"/>
      <c r="J70" s="1164"/>
      <c r="K70" s="1164"/>
      <c r="L70" s="1164"/>
      <c r="O70" s="1187"/>
      <c r="P70" s="1187"/>
      <c r="Q70" s="1187"/>
      <c r="R70" s="1187"/>
      <c r="S70" s="1187"/>
      <c r="T70" s="1187"/>
      <c r="U70" s="1187"/>
    </row>
    <row r="71" spans="1:21" s="1188" customFormat="1">
      <c r="A71" s="1164"/>
      <c r="B71" s="1169" t="s">
        <v>40</v>
      </c>
      <c r="C71" s="1169"/>
      <c r="G71" s="1164"/>
      <c r="H71" s="1164"/>
      <c r="I71" s="1164"/>
      <c r="J71" s="1164"/>
      <c r="K71" s="1164"/>
      <c r="L71" s="1164"/>
      <c r="O71" s="1187"/>
      <c r="P71" s="1187"/>
      <c r="Q71" s="1187"/>
      <c r="R71" s="1187"/>
      <c r="S71" s="1187"/>
      <c r="T71" s="1187"/>
      <c r="U71" s="1187"/>
    </row>
    <row r="72" spans="1:21" s="1188" customFormat="1">
      <c r="A72" s="1164"/>
      <c r="B72" s="328" t="s">
        <v>489</v>
      </c>
      <c r="C72" s="328"/>
      <c r="G72" s="1164"/>
      <c r="H72" s="1164"/>
      <c r="I72" s="1164"/>
      <c r="J72" s="1164"/>
      <c r="K72" s="1164"/>
      <c r="L72" s="1164"/>
      <c r="O72" s="1187"/>
      <c r="P72" s="1187"/>
      <c r="Q72" s="1187"/>
      <c r="R72" s="1187"/>
      <c r="S72" s="1187"/>
      <c r="T72" s="1187"/>
      <c r="U72" s="1187"/>
    </row>
    <row r="73" spans="1:21" s="1188" customFormat="1">
      <c r="A73" s="1164"/>
      <c r="B73" s="1170" t="s">
        <v>0</v>
      </c>
      <c r="C73" s="1170"/>
      <c r="G73" s="1164"/>
      <c r="H73" s="1164"/>
      <c r="I73" s="1164"/>
      <c r="J73" s="1164"/>
      <c r="K73" s="1164"/>
      <c r="L73" s="1164"/>
      <c r="O73" s="1187"/>
      <c r="P73" s="1187"/>
      <c r="Q73" s="1187"/>
      <c r="R73" s="1187"/>
      <c r="S73" s="1187"/>
      <c r="T73" s="1187"/>
      <c r="U73" s="1187"/>
    </row>
    <row r="75" spans="1:21" s="1184" customFormat="1">
      <c r="A75" s="1164" t="s">
        <v>615</v>
      </c>
      <c r="B75" s="1163" t="s">
        <v>851</v>
      </c>
      <c r="C75" s="1163"/>
      <c r="D75" s="1217"/>
      <c r="E75" s="1217"/>
      <c r="F75" s="1217"/>
      <c r="O75" s="1186"/>
      <c r="P75" s="1186"/>
      <c r="Q75" s="1186"/>
      <c r="R75" s="1186"/>
      <c r="S75" s="1186"/>
      <c r="T75" s="1186"/>
      <c r="U75" s="1186"/>
    </row>
    <row r="77" spans="1:21">
      <c r="B77" s="330" t="s">
        <v>853</v>
      </c>
    </row>
    <row r="78" spans="1:21">
      <c r="B78" s="1165" t="s">
        <v>802</v>
      </c>
      <c r="E78" s="1188">
        <f>E9-D9</f>
        <v>17.669999999999845</v>
      </c>
      <c r="F78" s="1188">
        <f t="shared" ref="F78:J78" si="119">F9-E9</f>
        <v>88.500000000000227</v>
      </c>
      <c r="G78" s="1188">
        <f t="shared" si="119"/>
        <v>185.28776114024799</v>
      </c>
      <c r="H78" s="1188">
        <f t="shared" si="119"/>
        <v>68.22694401679496</v>
      </c>
      <c r="I78" s="1188">
        <f t="shared" si="119"/>
        <v>125.36257172348064</v>
      </c>
      <c r="J78" s="1188">
        <f t="shared" si="119"/>
        <v>129.45719460574901</v>
      </c>
      <c r="K78" s="1188">
        <f t="shared" ref="K78" si="120">K9-J9</f>
        <v>133.65835318792642</v>
      </c>
      <c r="L78" s="1188">
        <f t="shared" ref="L78" si="121">L9-K9</f>
        <v>137.96850341518393</v>
      </c>
    </row>
    <row r="79" spans="1:21">
      <c r="B79" s="1165" t="s">
        <v>803</v>
      </c>
      <c r="E79" s="1188">
        <f>E11-D11</f>
        <v>1641.6599999999999</v>
      </c>
      <c r="F79" s="1188">
        <f t="shared" ref="F79:J79" si="122">F11-E11</f>
        <v>1199.25</v>
      </c>
      <c r="G79" s="1188">
        <f>G11-F11</f>
        <v>5390.096685174678</v>
      </c>
      <c r="H79" s="1188">
        <f t="shared" si="122"/>
        <v>4009.7801548590869</v>
      </c>
      <c r="I79" s="1188">
        <f t="shared" si="122"/>
        <v>1639.1315264498626</v>
      </c>
      <c r="J79" s="1188">
        <f t="shared" si="122"/>
        <v>1710.1472671878873</v>
      </c>
      <c r="K79" s="1188">
        <f t="shared" ref="K79" si="123">K11-J11</f>
        <v>1784.2103293417968</v>
      </c>
      <c r="L79" s="1188">
        <f t="shared" ref="L79" si="124">L11-K11</f>
        <v>1861.4504076408848</v>
      </c>
    </row>
    <row r="80" spans="1:21">
      <c r="B80" s="1165" t="s">
        <v>501</v>
      </c>
      <c r="E80" s="1188">
        <f>E13-D13</f>
        <v>1150.5679999999977</v>
      </c>
      <c r="F80" s="1188">
        <f t="shared" ref="F80:J80" si="125">F13-E13</f>
        <v>784.07560000000694</v>
      </c>
      <c r="G80" s="1188">
        <f t="shared" si="125"/>
        <v>1369.5973000000022</v>
      </c>
      <c r="H80" s="1188">
        <f t="shared" si="125"/>
        <v>410.87919000000147</v>
      </c>
      <c r="I80" s="1188">
        <f t="shared" si="125"/>
        <v>135.59013270000014</v>
      </c>
      <c r="J80" s="1188">
        <f t="shared" si="125"/>
        <v>139.65783668099994</v>
      </c>
      <c r="K80" s="1188">
        <f t="shared" ref="K80" si="126">K13-J13</f>
        <v>143.84757178143082</v>
      </c>
      <c r="L80" s="1188">
        <f t="shared" ref="L80" si="127">L13-K13</f>
        <v>148.16299893487303</v>
      </c>
    </row>
    <row r="81" spans="2:12">
      <c r="B81" s="889" t="s">
        <v>826</v>
      </c>
      <c r="E81" s="1188">
        <f>E15-D15</f>
        <v>2809.8979999999974</v>
      </c>
      <c r="F81" s="1188">
        <f t="shared" ref="F81:J81" si="128">F15-E15</f>
        <v>2071.8256000000038</v>
      </c>
      <c r="G81" s="1188">
        <f t="shared" si="128"/>
        <v>6944.9817463149302</v>
      </c>
      <c r="H81" s="1188">
        <f t="shared" si="128"/>
        <v>4488.8862888758886</v>
      </c>
      <c r="I81" s="1188">
        <f t="shared" si="128"/>
        <v>1900.0842308733409</v>
      </c>
      <c r="J81" s="1188">
        <f t="shared" si="128"/>
        <v>1979.262298474634</v>
      </c>
      <c r="K81" s="1188">
        <f t="shared" ref="K81" si="129">K15-J15</f>
        <v>2061.7162543111554</v>
      </c>
      <c r="L81" s="1188">
        <f t="shared" ref="L81" si="130">L15-K15</f>
        <v>2147.5819099909422</v>
      </c>
    </row>
    <row r="82" spans="2:12">
      <c r="B82" s="767" t="s">
        <v>825</v>
      </c>
      <c r="E82" s="1188">
        <f>E17-D17</f>
        <v>64.986000000000104</v>
      </c>
      <c r="F82" s="1188">
        <f t="shared" ref="F82:J82" si="131">F17-E17</f>
        <v>-290.22800000000007</v>
      </c>
      <c r="G82" s="1188">
        <f t="shared" si="131"/>
        <v>1060.2950000000001</v>
      </c>
      <c r="H82" s="1188">
        <f t="shared" si="131"/>
        <v>250.50207330036892</v>
      </c>
      <c r="I82" s="1188">
        <f t="shared" si="131"/>
        <v>106.03410481986248</v>
      </c>
      <c r="J82" s="1188">
        <f t="shared" si="131"/>
        <v>110.45263289512104</v>
      </c>
      <c r="K82" s="1188">
        <f t="shared" ref="K82" si="132">K17-J17</f>
        <v>115.05397174837981</v>
      </c>
      <c r="L82" s="1188">
        <f t="shared" ref="L82" si="133">L17-K17</f>
        <v>119.84570033958607</v>
      </c>
    </row>
    <row r="83" spans="2:12">
      <c r="B83" s="759" t="s">
        <v>830</v>
      </c>
      <c r="E83" s="1188">
        <f>E22-D22</f>
        <v>289.27400000000307</v>
      </c>
      <c r="F83" s="1188">
        <f t="shared" ref="F83:J83" si="134">F22-E22</f>
        <v>274.17839999999524</v>
      </c>
      <c r="G83" s="1188">
        <f t="shared" si="134"/>
        <v>77.518839999999955</v>
      </c>
      <c r="H83" s="1188">
        <f t="shared" si="134"/>
        <v>68.216579199999956</v>
      </c>
      <c r="I83" s="1188">
        <f t="shared" si="134"/>
        <v>55.255429152000033</v>
      </c>
      <c r="J83" s="1188">
        <f t="shared" si="134"/>
        <v>58.57075490112004</v>
      </c>
      <c r="K83" s="1188">
        <f t="shared" ref="K83" si="135">K22-J22</f>
        <v>62.085000195187149</v>
      </c>
      <c r="L83" s="1188">
        <f t="shared" ref="L83" si="136">L22-K22</f>
        <v>65.810100206898369</v>
      </c>
    </row>
    <row r="84" spans="2:12">
      <c r="E84" s="1188">
        <f>E24-D24</f>
        <v>3180.6570000000029</v>
      </c>
      <c r="F84" s="1188">
        <f t="shared" ref="F84:J84" si="137">F24-E24</f>
        <v>2068.9459999999963</v>
      </c>
      <c r="G84" s="1188">
        <f t="shared" si="137"/>
        <v>8082.5088319663628</v>
      </c>
      <c r="H84" s="1188">
        <f t="shared" si="137"/>
        <v>4807.4195978130156</v>
      </c>
      <c r="I84" s="1188">
        <f t="shared" si="137"/>
        <v>2061.2953114473785</v>
      </c>
      <c r="J84" s="1188">
        <f t="shared" si="137"/>
        <v>2148.203963655651</v>
      </c>
      <c r="K84" s="1188">
        <f t="shared" ref="K84" si="138">K24-J24</f>
        <v>2238.7700991625243</v>
      </c>
      <c r="L84" s="1188">
        <f t="shared" ref="L84" si="139">L24-K24</f>
        <v>2333.1490381011172</v>
      </c>
    </row>
    <row r="85" spans="2:12">
      <c r="G85" s="1188"/>
      <c r="H85" s="1188"/>
      <c r="I85" s="1188"/>
      <c r="J85" s="1188"/>
      <c r="K85" s="1188"/>
      <c r="L85" s="118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3" ma:contentTypeDescription="Create a new document." ma:contentTypeScope="" ma:versionID="50426ec59f94b759e879659ac1f2e13b">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a789d95a063a6d3dc8c2f1015f5afca9"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dsFormulaCache xmlns="urn:fdsformulacache" version="2" timestamp="1766374482"><![CDATA[{"EXCL-JKT^FG_MKT_VALUE(0)":45841996.0,"EXCL-ID^FF_ENTRPR_VAL_DAILY(0,,,,,\"DIL\")":98836180.334797,"EXCL-ID^FF_AMORT_INTANG(QTR_R,2022/3F)":3783.0,"EXCL-ID^FF_AMORT_INTANG(ANN_R,2020)":21842.0,"6888-MY^FE_ESTIMATE(EPS,MEAN,ANN_ROLL,+1,NOW,,,'')":0.0688712,"^P_EXCH_RATE(USD,IDR,0)":16304.0,"EXCL-ID^FF_COM_SHS_OUT(CURR,0)":17105.223213,"EXCL-ID^FG_PRICE(0)":3900.0}]]></FdsFormulaCache>
</file>

<file path=customXml/itemProps1.xml><?xml version="1.0" encoding="utf-8"?>
<ds:datastoreItem xmlns:ds="http://schemas.openxmlformats.org/officeDocument/2006/customXml" ds:itemID="{427A2CC8-D5CD-46E2-9957-DB9686893F27}">
  <ds:schemaRefs>
    <ds:schemaRef ds:uri="http://purl.org/dc/terms/"/>
    <ds:schemaRef ds:uri="http://schemas.microsoft.com/office/2006/documentManagement/types"/>
    <ds:schemaRef ds:uri="http://purl.org/dc/elements/1.1/"/>
    <ds:schemaRef ds:uri="http://purl.org/dc/dcmitype/"/>
    <ds:schemaRef ds:uri="http://www.w3.org/XML/1998/namespace"/>
    <ds:schemaRef ds:uri="http://schemas.openxmlformats.org/package/2006/metadata/core-properties"/>
    <ds:schemaRef ds:uri="http://schemas.microsoft.com/office/infopath/2007/PartnerControls"/>
    <ds:schemaRef ds:uri="7a64ecaf-0ff2-4962-b687-c42052c96c69"/>
    <ds:schemaRef ds:uri="ac44878d-96d9-4f15-b496-a71362426953"/>
    <ds:schemaRef ds:uri="http://schemas.microsoft.com/office/2006/metadata/properties"/>
  </ds:schemaRefs>
</ds:datastoreItem>
</file>

<file path=customXml/itemProps2.xml><?xml version="1.0" encoding="utf-8"?>
<ds:datastoreItem xmlns:ds="http://schemas.openxmlformats.org/officeDocument/2006/customXml" ds:itemID="{6F6CA035-28A1-48AC-A1A4-404FCA853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4ecaf-0ff2-4962-b687-c42052c96c69"/>
    <ds:schemaRef ds:uri="ac44878d-96d9-4f15-b496-a71362426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524F24-A8DA-4512-A6E8-14863067A41B}">
  <ds:schemaRefs>
    <ds:schemaRef ds:uri="http://schemas.microsoft.com/sharepoint/v3/contenttype/forms"/>
  </ds:schemaRefs>
</ds:datastoreItem>
</file>

<file path=customXml/itemProps4.xml><?xml version="1.0" encoding="utf-8"?>
<ds:datastoreItem xmlns:ds="http://schemas.openxmlformats.org/officeDocument/2006/customXml" ds:itemID="{823E1A1B-EA7D-41FB-AC29-FFE2DA504BD8}">
  <ds:schemaRefs>
    <ds:schemaRef ds:uri="urn:fdsformulacach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DCF</vt:lpstr>
      <vt:lpstr>Valuation</vt:lpstr>
      <vt:lpstr>Income Statement</vt:lpstr>
      <vt:lpstr>Balance Sheet and Cflow</vt:lpstr>
      <vt:lpstr>Inputs</vt:lpstr>
      <vt:lpstr>Forecast changes</vt:lpstr>
      <vt:lpstr>Vs Consensus</vt:lpstr>
      <vt:lpstr>Notes</vt:lpstr>
      <vt:lpstr>Link for Market model</vt:lpstr>
      <vt:lpstr>Lisbon - New</vt:lpstr>
      <vt:lpstr>Anna</vt:lpstr>
      <vt:lpstr>Link for Axiata</vt:lpstr>
      <vt:lpstr>Old</vt:lpstr>
      <vt:lpstr>Merger workings</vt:lpstr>
      <vt:lpstr>XLSmart-Proforma</vt:lpstr>
      <vt:lpstr>XLSmart</vt:lpstr>
      <vt:lpstr>Synergy notes</vt:lpstr>
      <vt:lpstr>Comps with other mergers</vt:lpstr>
      <vt:lpstr>Link to One-pager</vt:lpstr>
      <vt:lpstr>Hipernet</vt:lpstr>
      <vt:lpstr>Rights issue</vt:lpstr>
      <vt:lpstr>ROIC</vt:lpstr>
      <vt:lpstr>Link for Telenor</vt:lpstr>
      <vt:lpstr>New vs old</vt:lpstr>
      <vt:lpstr>Snap charts</vt:lpstr>
      <vt:lpstr>Debt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 Erskine</dc:creator>
  <cp:lastModifiedBy>Jake Ng</cp:lastModifiedBy>
  <cp:lastPrinted>2025-03-11T07:25:03Z</cp:lastPrinted>
  <dcterms:created xsi:type="dcterms:W3CDTF">2016-12-16T15:03:17Z</dcterms:created>
  <dcterms:modified xsi:type="dcterms:W3CDTF">2025-12-22T03:34:43Z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Order">
    <vt:r8>8263000</vt:r8>
  </property>
  <property fmtid="{D5CDD505-2E9C-101B-9397-08002B2CF9AE}" pid="4" name="MediaServiceImageTags">
    <vt:lpwstr/>
  </property>
  <property fmtid="{D5CDD505-2E9C-101B-9397-08002B2CF9AE}" pid="5" name="=fdsSearchOrder">
    <vt:i4>0</vt:i4>
  </property>
</Properties>
</file>